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Users\Shirley\Desktop\Older Desktop Icons\OLD D DRIVE\Electoral Reform\Simple Vote PR\"/>
    </mc:Choice>
  </mc:AlternateContent>
  <xr:revisionPtr revIDLastSave="0" documentId="13_ncr:1_{337A7E65-929A-4FC9-A58E-640A11912B98}" xr6:coauthVersionLast="47" xr6:coauthVersionMax="47" xr10:uidLastSave="{00000000-0000-0000-0000-000000000000}"/>
  <bookViews>
    <workbookView xWindow="-120" yWindow="-120" windowWidth="29040" windowHeight="15840" tabRatio="474" xr2:uid="{00000000-000D-0000-FFFF-FFFF00000000}"/>
  </bookViews>
  <sheets>
    <sheet name="HowItWorks" sheetId="1" r:id="rId1"/>
    <sheet name="Summary" sheetId="2" r:id="rId2"/>
    <sheet name="Other Elections" sheetId="4" r:id="rId3"/>
  </sheets>
  <definedNames>
    <definedName name="A_National_General_Election">HowItWorks!$E$37</definedName>
    <definedName name="_xlnm.Print_Area" localSheetId="0">HowItWorks!$C$135:$N$200</definedName>
    <definedName name="_xlnm.Print_Area" localSheetId="1">Summary!#REF!</definedName>
    <definedName name="Z_828C1003_5BBC_4D2D_BF7A_3218457CB106_.wvu.PrintArea" localSheetId="0" hidden="1">HowItWorks!$C$135:$N$200</definedName>
    <definedName name="Z_828C1003_5BBC_4D2D_BF7A_3218457CB106_.wvu.PrintArea" localSheetId="1" hidden="1">Summary!#REF!</definedName>
  </definedNames>
  <calcPr calcId="191029"/>
  <customWorkbookViews>
    <customWorkbookView name="JOHN - Personal View" guid="{828C1003-5BBC-4D2D-BF7A-3218457CB106}" mergeInterval="0" personalView="1" maximized="1" xWindow="1" yWindow="1" windowWidth="1096" windowHeight="540" activeSheetId="2"/>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1" l="1"/>
  <c r="F56" i="1"/>
  <c r="O52" i="1"/>
  <c r="O51" i="1"/>
  <c r="O50" i="1"/>
  <c r="O49" i="1"/>
  <c r="E98" i="1" l="1"/>
  <c r="E99" i="1"/>
  <c r="E100" i="1"/>
  <c r="E101" i="1"/>
  <c r="E102" i="1"/>
  <c r="E103" i="1"/>
  <c r="E104" i="1"/>
  <c r="E105" i="1"/>
  <c r="E106" i="1"/>
  <c r="E107" i="1"/>
  <c r="E108" i="1"/>
  <c r="E86" i="1"/>
  <c r="E85" i="1"/>
  <c r="E84" i="1"/>
  <c r="E83" i="1"/>
  <c r="R267" i="1"/>
  <c r="S267" i="1" s="1"/>
  <c r="AE47" i="1"/>
  <c r="J23" i="4"/>
  <c r="J17" i="4"/>
  <c r="J14" i="4"/>
  <c r="J13" i="4"/>
  <c r="J9" i="4"/>
  <c r="E23" i="4"/>
  <c r="I23" i="4" s="1"/>
  <c r="I22" i="4"/>
  <c r="F20" i="4"/>
  <c r="F24" i="4" s="1"/>
  <c r="J22" i="4" s="1"/>
  <c r="E14" i="4"/>
  <c r="F6" i="4"/>
  <c r="AI266" i="1"/>
  <c r="AI265" i="1"/>
  <c r="AI264" i="1"/>
  <c r="AI263" i="1"/>
  <c r="AI262" i="1"/>
  <c r="AI261" i="1"/>
  <c r="AI260" i="1"/>
  <c r="AI259" i="1"/>
  <c r="AI258" i="1"/>
  <c r="AI257" i="1"/>
  <c r="AI256" i="1"/>
  <c r="AI255" i="1"/>
  <c r="AI254" i="1"/>
  <c r="AI253" i="1"/>
  <c r="AI252" i="1"/>
  <c r="AI251" i="1"/>
  <c r="AI250" i="1"/>
  <c r="AI249" i="1"/>
  <c r="AI248" i="1"/>
  <c r="AI247" i="1"/>
  <c r="AI246" i="1"/>
  <c r="AI245" i="1"/>
  <c r="AI244" i="1"/>
  <c r="AI243" i="1"/>
  <c r="AI242" i="1"/>
  <c r="AI241" i="1"/>
  <c r="AI240" i="1"/>
  <c r="AI239" i="1"/>
  <c r="AI238" i="1"/>
  <c r="AI237" i="1"/>
  <c r="AI236" i="1"/>
  <c r="AI235" i="1"/>
  <c r="AI234" i="1"/>
  <c r="AI233" i="1"/>
  <c r="AI232" i="1"/>
  <c r="AI231" i="1"/>
  <c r="AI230" i="1"/>
  <c r="AI229" i="1"/>
  <c r="AI228" i="1"/>
  <c r="AI227" i="1"/>
  <c r="AI226" i="1"/>
  <c r="AI225" i="1"/>
  <c r="AI224" i="1"/>
  <c r="AI223" i="1"/>
  <c r="AI222" i="1"/>
  <c r="AI221" i="1"/>
  <c r="AI220" i="1"/>
  <c r="AI219" i="1"/>
  <c r="AH266" i="1"/>
  <c r="AH265" i="1"/>
  <c r="AJ265" i="1" s="1"/>
  <c r="AH264" i="1"/>
  <c r="AJ264" i="1" s="1"/>
  <c r="AH263" i="1"/>
  <c r="AJ263" i="1" s="1"/>
  <c r="AH262" i="1"/>
  <c r="AH261" i="1"/>
  <c r="AJ261" i="1" s="1"/>
  <c r="AH260" i="1"/>
  <c r="AH259" i="1"/>
  <c r="AH258" i="1"/>
  <c r="AH257" i="1"/>
  <c r="AJ257" i="1" s="1"/>
  <c r="AH256" i="1"/>
  <c r="AJ256" i="1" s="1"/>
  <c r="AH255" i="1"/>
  <c r="AJ255" i="1" s="1"/>
  <c r="AH254" i="1"/>
  <c r="AJ254" i="1" s="1"/>
  <c r="AH253" i="1"/>
  <c r="AJ253" i="1" s="1"/>
  <c r="AH252" i="1"/>
  <c r="AH251" i="1"/>
  <c r="AJ251" i="1" s="1"/>
  <c r="AH250" i="1"/>
  <c r="AH249" i="1"/>
  <c r="AJ249" i="1" s="1"/>
  <c r="AH248" i="1"/>
  <c r="AJ248" i="1" s="1"/>
  <c r="AH247" i="1"/>
  <c r="AJ247" i="1" s="1"/>
  <c r="AH246" i="1"/>
  <c r="AH245" i="1"/>
  <c r="AJ245" i="1" s="1"/>
  <c r="AH244" i="1"/>
  <c r="AH243" i="1"/>
  <c r="AJ243" i="1" s="1"/>
  <c r="AH242" i="1"/>
  <c r="AH241" i="1"/>
  <c r="AJ241" i="1" s="1"/>
  <c r="AH240" i="1"/>
  <c r="AJ240" i="1" s="1"/>
  <c r="AH239" i="1"/>
  <c r="AJ239" i="1" s="1"/>
  <c r="AH238" i="1"/>
  <c r="AH237" i="1"/>
  <c r="AJ237" i="1" s="1"/>
  <c r="AH236" i="1"/>
  <c r="AJ236" i="1" s="1"/>
  <c r="AH235" i="1"/>
  <c r="AJ235" i="1" s="1"/>
  <c r="AH234" i="1"/>
  <c r="AH233" i="1"/>
  <c r="AJ233" i="1" s="1"/>
  <c r="AH232" i="1"/>
  <c r="AJ232" i="1" s="1"/>
  <c r="AH231" i="1"/>
  <c r="AH230" i="1"/>
  <c r="AH229" i="1"/>
  <c r="AJ229" i="1" s="1"/>
  <c r="AH228" i="1"/>
  <c r="AJ228" i="1" s="1"/>
  <c r="AH227" i="1"/>
  <c r="AJ227" i="1" s="1"/>
  <c r="AH226" i="1"/>
  <c r="AJ226" i="1" s="1"/>
  <c r="AH225" i="1"/>
  <c r="AJ225" i="1" s="1"/>
  <c r="AH224" i="1"/>
  <c r="AJ224" i="1" s="1"/>
  <c r="AH223" i="1"/>
  <c r="AH222" i="1"/>
  <c r="AJ222" i="1" s="1"/>
  <c r="AH221" i="1"/>
  <c r="AJ221" i="1" s="1"/>
  <c r="AH220" i="1"/>
  <c r="AJ220" i="1" s="1"/>
  <c r="AH219" i="1"/>
  <c r="AE266" i="1"/>
  <c r="AF266" i="1" s="1"/>
  <c r="AG266" i="1" s="1"/>
  <c r="S266" i="1" s="1"/>
  <c r="AE265" i="1"/>
  <c r="AF265" i="1" s="1"/>
  <c r="AG265" i="1" s="1"/>
  <c r="S265" i="1" s="1"/>
  <c r="AE264" i="1"/>
  <c r="AF264" i="1" s="1"/>
  <c r="AG264" i="1" s="1"/>
  <c r="S264" i="1" s="1"/>
  <c r="AE263" i="1"/>
  <c r="AK263" i="1" s="1"/>
  <c r="AE262" i="1"/>
  <c r="AK262" i="1" s="1"/>
  <c r="AE261" i="1"/>
  <c r="AF261" i="1" s="1"/>
  <c r="AG261" i="1" s="1"/>
  <c r="S261" i="1" s="1"/>
  <c r="AE260" i="1"/>
  <c r="AF260" i="1" s="1"/>
  <c r="AG260" i="1" s="1"/>
  <c r="S260" i="1" s="1"/>
  <c r="AE259" i="1"/>
  <c r="AE258" i="1"/>
  <c r="AF258" i="1" s="1"/>
  <c r="AG258" i="1" s="1"/>
  <c r="S258" i="1" s="1"/>
  <c r="AE257" i="1"/>
  <c r="AK257" i="1" s="1"/>
  <c r="AE256" i="1"/>
  <c r="AF256" i="1" s="1"/>
  <c r="AG256" i="1" s="1"/>
  <c r="S256" i="1" s="1"/>
  <c r="AE255" i="1"/>
  <c r="AK255" i="1" s="1"/>
  <c r="AE254" i="1"/>
  <c r="AF254" i="1" s="1"/>
  <c r="AG254" i="1" s="1"/>
  <c r="S254" i="1" s="1"/>
  <c r="AE253" i="1"/>
  <c r="AF253" i="1" s="1"/>
  <c r="AG253" i="1" s="1"/>
  <c r="S253" i="1" s="1"/>
  <c r="AE252" i="1"/>
  <c r="AF252" i="1" s="1"/>
  <c r="AG252" i="1" s="1"/>
  <c r="S252" i="1" s="1"/>
  <c r="AE251" i="1"/>
  <c r="AE250" i="1"/>
  <c r="AF250" i="1" s="1"/>
  <c r="AG250" i="1" s="1"/>
  <c r="S250" i="1" s="1"/>
  <c r="AE249" i="1"/>
  <c r="AK249" i="1" s="1"/>
  <c r="AE248" i="1"/>
  <c r="AF248" i="1" s="1"/>
  <c r="AG248" i="1" s="1"/>
  <c r="S248" i="1" s="1"/>
  <c r="AE247" i="1"/>
  <c r="AF247" i="1" s="1"/>
  <c r="AG247" i="1" s="1"/>
  <c r="S247" i="1" s="1"/>
  <c r="AE246" i="1"/>
  <c r="AK246" i="1" s="1"/>
  <c r="AE245" i="1"/>
  <c r="AK245" i="1" s="1"/>
  <c r="AE244" i="1"/>
  <c r="AF244" i="1" s="1"/>
  <c r="AG244" i="1" s="1"/>
  <c r="S244" i="1" s="1"/>
  <c r="AE243" i="1"/>
  <c r="AK243" i="1" s="1"/>
  <c r="AE242" i="1"/>
  <c r="AF242" i="1" s="1"/>
  <c r="AG242" i="1" s="1"/>
  <c r="S242" i="1" s="1"/>
  <c r="AE241" i="1"/>
  <c r="AF241" i="1" s="1"/>
  <c r="AE240" i="1"/>
  <c r="AF240" i="1" s="1"/>
  <c r="AE239" i="1"/>
  <c r="AF239" i="1" s="1"/>
  <c r="AE238" i="1"/>
  <c r="AF238" i="1" s="1"/>
  <c r="AG238" i="1" s="1"/>
  <c r="S238" i="1" s="1"/>
  <c r="AE237" i="1"/>
  <c r="AF237" i="1" s="1"/>
  <c r="AG237" i="1" s="1"/>
  <c r="S237" i="1" s="1"/>
  <c r="AE236" i="1"/>
  <c r="AF236" i="1" s="1"/>
  <c r="AE235" i="1"/>
  <c r="AF235" i="1" s="1"/>
  <c r="AE234" i="1"/>
  <c r="AF234" i="1" s="1"/>
  <c r="AE233" i="1"/>
  <c r="AF233" i="1" s="1"/>
  <c r="AG233" i="1" s="1"/>
  <c r="S233" i="1" s="1"/>
  <c r="AE232" i="1"/>
  <c r="AF232" i="1" s="1"/>
  <c r="AG232" i="1" s="1"/>
  <c r="S232" i="1" s="1"/>
  <c r="AE231" i="1"/>
  <c r="AF231" i="1" s="1"/>
  <c r="AE230" i="1"/>
  <c r="AF230" i="1" s="1"/>
  <c r="AE229" i="1"/>
  <c r="AF229" i="1" s="1"/>
  <c r="AE228" i="1"/>
  <c r="AF228" i="1" s="1"/>
  <c r="AG228" i="1" s="1"/>
  <c r="S228" i="1" s="1"/>
  <c r="AE227" i="1"/>
  <c r="AF227" i="1" s="1"/>
  <c r="AE226" i="1"/>
  <c r="AF226" i="1" s="1"/>
  <c r="AE225" i="1"/>
  <c r="AF225" i="1" s="1"/>
  <c r="AE224" i="1"/>
  <c r="AF224" i="1" s="1"/>
  <c r="AE223" i="1"/>
  <c r="AF223" i="1" s="1"/>
  <c r="AG223" i="1" s="1"/>
  <c r="S223" i="1" s="1"/>
  <c r="AE222" i="1"/>
  <c r="AF222" i="1" s="1"/>
  <c r="AE221" i="1"/>
  <c r="AF221" i="1" s="1"/>
  <c r="AE220" i="1"/>
  <c r="AF220" i="1" s="1"/>
  <c r="AE219" i="1"/>
  <c r="AF219" i="1" s="1"/>
  <c r="AG219" i="1" s="1"/>
  <c r="S219" i="1" s="1"/>
  <c r="AJ266" i="1"/>
  <c r="P220" i="1"/>
  <c r="P221" i="1" s="1"/>
  <c r="P222" i="1" s="1"/>
  <c r="P223" i="1" s="1"/>
  <c r="P224" i="1" s="1"/>
  <c r="P225" i="1" s="1"/>
  <c r="P226" i="1" s="1"/>
  <c r="P227" i="1" s="1"/>
  <c r="P228" i="1" s="1"/>
  <c r="P229" i="1" s="1"/>
  <c r="P230" i="1" s="1"/>
  <c r="P231" i="1" s="1"/>
  <c r="P232" i="1" s="1"/>
  <c r="P233" i="1" s="1"/>
  <c r="P234" i="1" s="1"/>
  <c r="P235" i="1" s="1"/>
  <c r="P236" i="1" s="1"/>
  <c r="P237" i="1" s="1"/>
  <c r="P238" i="1" s="1"/>
  <c r="P239" i="1" s="1"/>
  <c r="P240" i="1" s="1"/>
  <c r="P241" i="1" s="1"/>
  <c r="P242" i="1" s="1"/>
  <c r="P243" i="1" s="1"/>
  <c r="P244" i="1" s="1"/>
  <c r="P245" i="1" s="1"/>
  <c r="P246" i="1" s="1"/>
  <c r="P247" i="1" s="1"/>
  <c r="P248" i="1" s="1"/>
  <c r="P249" i="1" s="1"/>
  <c r="P250" i="1" s="1"/>
  <c r="P251" i="1" s="1"/>
  <c r="P252" i="1" s="1"/>
  <c r="P253" i="1" s="1"/>
  <c r="P254" i="1" s="1"/>
  <c r="P255" i="1" s="1"/>
  <c r="P256" i="1" s="1"/>
  <c r="P257" i="1" s="1"/>
  <c r="P258" i="1" s="1"/>
  <c r="P259" i="1" s="1"/>
  <c r="P260" i="1" s="1"/>
  <c r="P261" i="1" s="1"/>
  <c r="P262" i="1" s="1"/>
  <c r="P263" i="1" s="1"/>
  <c r="P264" i="1" s="1"/>
  <c r="P265" i="1" s="1"/>
  <c r="P266" i="1" s="1"/>
  <c r="G39" i="1"/>
  <c r="E516" i="4"/>
  <c r="E523" i="4" s="1"/>
  <c r="E527" i="4" s="1"/>
  <c r="E544" i="4"/>
  <c r="E548" i="4" s="1"/>
  <c r="F544" i="4"/>
  <c r="F548" i="4" s="1"/>
  <c r="J119" i="1"/>
  <c r="J59" i="2" s="1"/>
  <c r="U39" i="1"/>
  <c r="E506" i="4"/>
  <c r="E502" i="4"/>
  <c r="G195" i="1"/>
  <c r="E475" i="4"/>
  <c r="E481" i="4" s="1"/>
  <c r="E484" i="4"/>
  <c r="F523" i="4"/>
  <c r="F527" i="4" s="1"/>
  <c r="F502" i="4"/>
  <c r="F506" i="4" s="1"/>
  <c r="Q52" i="1"/>
  <c r="Q51" i="1"/>
  <c r="Q50" i="1"/>
  <c r="Q49" i="1"/>
  <c r="Q48" i="1"/>
  <c r="Q47" i="1"/>
  <c r="Q46" i="1"/>
  <c r="Q45" i="1"/>
  <c r="Q44" i="1"/>
  <c r="Q43" i="1"/>
  <c r="Q42" i="1"/>
  <c r="Q41" i="1"/>
  <c r="F481" i="4"/>
  <c r="F485" i="4" s="1"/>
  <c r="E450" i="4"/>
  <c r="E449" i="4"/>
  <c r="E448" i="4"/>
  <c r="E447" i="4"/>
  <c r="E446" i="4"/>
  <c r="F68" i="2"/>
  <c r="AE160" i="1"/>
  <c r="AE158" i="1"/>
  <c r="AE156" i="1"/>
  <c r="AE155" i="1"/>
  <c r="AE154" i="1"/>
  <c r="AE153" i="1"/>
  <c r="AE152" i="1"/>
  <c r="AE151" i="1"/>
  <c r="AE150" i="1"/>
  <c r="AE149" i="1"/>
  <c r="F458" i="4"/>
  <c r="F462" i="4" s="1"/>
  <c r="AH54" i="1"/>
  <c r="AN54" i="1" s="1"/>
  <c r="AE54" i="1"/>
  <c r="AH52" i="1"/>
  <c r="AE52" i="1"/>
  <c r="AH47" i="1"/>
  <c r="AH46" i="1"/>
  <c r="AE46" i="1"/>
  <c r="AH45" i="1"/>
  <c r="AE45" i="1"/>
  <c r="AH44" i="1"/>
  <c r="AE44" i="1"/>
  <c r="AH43" i="1"/>
  <c r="AE43" i="1"/>
  <c r="AH42" i="1"/>
  <c r="AE42" i="1"/>
  <c r="AH41" i="1"/>
  <c r="AE41" i="1"/>
  <c r="AK260" i="1" l="1"/>
  <c r="AK244" i="1"/>
  <c r="AK248" i="1"/>
  <c r="AK264" i="1"/>
  <c r="AK252" i="1"/>
  <c r="AK256" i="1"/>
  <c r="AK254" i="1"/>
  <c r="AK266" i="1"/>
  <c r="AK250" i="1"/>
  <c r="AJ259" i="1"/>
  <c r="AF249" i="1"/>
  <c r="AG249" i="1" s="1"/>
  <c r="S249" i="1" s="1"/>
  <c r="AF257" i="1"/>
  <c r="AG257" i="1" s="1"/>
  <c r="S257" i="1" s="1"/>
  <c r="AK261" i="1"/>
  <c r="AF262" i="1"/>
  <c r="AG262" i="1" s="1"/>
  <c r="S262" i="1" s="1"/>
  <c r="AJ230" i="1"/>
  <c r="AJ234" i="1"/>
  <c r="AJ262" i="1"/>
  <c r="AK253" i="1"/>
  <c r="AK265" i="1"/>
  <c r="AF243" i="1"/>
  <c r="AG243" i="1" s="1"/>
  <c r="S243" i="1" s="1"/>
  <c r="AF251" i="1"/>
  <c r="AF255" i="1"/>
  <c r="AG255" i="1" s="1"/>
  <c r="S255" i="1" s="1"/>
  <c r="AF259" i="1"/>
  <c r="AF263" i="1"/>
  <c r="AG263" i="1" s="1"/>
  <c r="S263" i="1" s="1"/>
  <c r="AF245" i="1"/>
  <c r="AG245" i="1" s="1"/>
  <c r="S245" i="1" s="1"/>
  <c r="AF246" i="1"/>
  <c r="AG246" i="1" s="1"/>
  <c r="S246" i="1" s="1"/>
  <c r="AJ244" i="1"/>
  <c r="AJ252" i="1"/>
  <c r="AJ260" i="1"/>
  <c r="J10" i="4"/>
  <c r="J18" i="4"/>
  <c r="E20" i="4"/>
  <c r="J11" i="4"/>
  <c r="J15" i="4"/>
  <c r="J19" i="4"/>
  <c r="E24" i="4"/>
  <c r="I15" i="4" s="1"/>
  <c r="J8" i="4"/>
  <c r="J20" i="4" s="1"/>
  <c r="J24" i="4" s="1"/>
  <c r="J12" i="4"/>
  <c r="J16" i="4"/>
  <c r="I11" i="4"/>
  <c r="AH267" i="1"/>
  <c r="AK228" i="1"/>
  <c r="AK233" i="1"/>
  <c r="AJ223" i="1"/>
  <c r="AJ231" i="1"/>
  <c r="AK232" i="1"/>
  <c r="AK247" i="1"/>
  <c r="AJ219" i="1"/>
  <c r="AK219" i="1"/>
  <c r="AK223" i="1"/>
  <c r="AK238" i="1"/>
  <c r="AJ238" i="1"/>
  <c r="AJ242" i="1"/>
  <c r="AJ246" i="1"/>
  <c r="AJ250" i="1"/>
  <c r="AK237" i="1"/>
  <c r="I541" i="4"/>
  <c r="I546" i="4"/>
  <c r="I542" i="4"/>
  <c r="I540" i="4"/>
  <c r="I538" i="4"/>
  <c r="I536" i="4"/>
  <c r="I534" i="4"/>
  <c r="I532" i="4"/>
  <c r="I547" i="4"/>
  <c r="I543" i="4"/>
  <c r="I539" i="4"/>
  <c r="I537" i="4"/>
  <c r="I535" i="4"/>
  <c r="I533" i="4"/>
  <c r="I525" i="4"/>
  <c r="I521" i="4"/>
  <c r="I519" i="4"/>
  <c r="I517" i="4"/>
  <c r="I515" i="4"/>
  <c r="I513" i="4"/>
  <c r="I511" i="4"/>
  <c r="I526" i="4"/>
  <c r="I522" i="4"/>
  <c r="I520" i="4"/>
  <c r="I518" i="4"/>
  <c r="I516" i="4"/>
  <c r="I514" i="4"/>
  <c r="I512" i="4"/>
  <c r="I504" i="4"/>
  <c r="I500" i="4"/>
  <c r="I498" i="4"/>
  <c r="I496" i="4"/>
  <c r="I494" i="4"/>
  <c r="I492" i="4"/>
  <c r="I490" i="4"/>
  <c r="I501" i="4"/>
  <c r="I499" i="4"/>
  <c r="I497" i="4"/>
  <c r="I495" i="4"/>
  <c r="I493" i="4"/>
  <c r="I491" i="4"/>
  <c r="Q53" i="1"/>
  <c r="E458" i="4"/>
  <c r="E461" i="4" s="1"/>
  <c r="F369" i="4"/>
  <c r="E369" i="4"/>
  <c r="E373" i="4" s="1"/>
  <c r="I19" i="4" l="1"/>
  <c r="I16" i="4"/>
  <c r="I10" i="4"/>
  <c r="I9" i="4"/>
  <c r="I17" i="4"/>
  <c r="I18" i="4"/>
  <c r="I13" i="4"/>
  <c r="I8" i="4"/>
  <c r="I12" i="4"/>
  <c r="I14" i="4"/>
  <c r="I523" i="4"/>
  <c r="I527" i="4" s="1"/>
  <c r="I544" i="4"/>
  <c r="I548" i="4" s="1"/>
  <c r="J371" i="4"/>
  <c r="J372" i="4"/>
  <c r="I502" i="4"/>
  <c r="I506" i="4" s="1"/>
  <c r="F373" i="4"/>
  <c r="L369" i="4"/>
  <c r="E462" i="4"/>
  <c r="AC52" i="1"/>
  <c r="AC51" i="1"/>
  <c r="AC50" i="1"/>
  <c r="AC49" i="1"/>
  <c r="O48" i="1"/>
  <c r="AC48" i="1" s="1"/>
  <c r="O46" i="1"/>
  <c r="AC46" i="1" s="1"/>
  <c r="O45" i="1"/>
  <c r="AC45" i="1" s="1"/>
  <c r="O44" i="1"/>
  <c r="AC44" i="1" s="1"/>
  <c r="O43" i="1"/>
  <c r="AC43" i="1" s="1"/>
  <c r="O42" i="1"/>
  <c r="AC42" i="1" s="1"/>
  <c r="O41" i="1"/>
  <c r="AC41" i="1" s="1"/>
  <c r="O47" i="1"/>
  <c r="AC47" i="1" s="1"/>
  <c r="I20" i="4" l="1"/>
  <c r="I24" i="4" s="1"/>
  <c r="I455" i="4"/>
  <c r="I451" i="4"/>
  <c r="I460" i="4"/>
  <c r="I454" i="4"/>
  <c r="I457" i="4"/>
  <c r="I453" i="4"/>
  <c r="I456" i="4"/>
  <c r="I452" i="4"/>
  <c r="I447" i="4"/>
  <c r="I450" i="4"/>
  <c r="I448" i="4"/>
  <c r="I449" i="4"/>
  <c r="I446" i="4"/>
  <c r="J366" i="4"/>
  <c r="J362" i="4"/>
  <c r="J358" i="4"/>
  <c r="J365" i="4"/>
  <c r="J361" i="4"/>
  <c r="J357" i="4"/>
  <c r="J368" i="4"/>
  <c r="J364" i="4"/>
  <c r="J360" i="4"/>
  <c r="J363" i="4"/>
  <c r="J359" i="4"/>
  <c r="J367" i="4"/>
  <c r="I461" i="4"/>
  <c r="E485" i="4"/>
  <c r="O62" i="1"/>
  <c r="J369" i="4" l="1"/>
  <c r="I484" i="4"/>
  <c r="I483" i="4"/>
  <c r="I479" i="4"/>
  <c r="I475" i="4"/>
  <c r="I471" i="4"/>
  <c r="I474" i="4"/>
  <c r="I470" i="4"/>
  <c r="I477" i="4"/>
  <c r="I473" i="4"/>
  <c r="I469" i="4"/>
  <c r="I480" i="4"/>
  <c r="I476" i="4"/>
  <c r="I472" i="4"/>
  <c r="I478" i="4"/>
  <c r="AE51" i="1"/>
  <c r="AH50" i="1"/>
  <c r="AE50" i="1"/>
  <c r="AE49" i="1"/>
  <c r="AH48" i="1"/>
  <c r="AE48" i="1"/>
  <c r="I481" i="4" l="1"/>
  <c r="I485" i="4" s="1"/>
  <c r="AH49" i="1"/>
  <c r="AE157" i="1"/>
  <c r="AH51" i="1"/>
  <c r="AE159" i="1"/>
  <c r="AE53" i="1"/>
  <c r="AE55" i="1" s="1"/>
  <c r="AE161" i="1" l="1"/>
  <c r="D203" i="1"/>
  <c r="F79" i="4" l="1"/>
  <c r="F81" i="4" s="1"/>
  <c r="E79" i="4"/>
  <c r="E81" i="4" s="1"/>
  <c r="I76" i="4" l="1"/>
  <c r="I74" i="4"/>
  <c r="I72" i="4"/>
  <c r="I70" i="4"/>
  <c r="I77" i="4"/>
  <c r="I73" i="4"/>
  <c r="I69" i="4"/>
  <c r="I75" i="4"/>
  <c r="I71" i="4"/>
  <c r="I78" i="4"/>
  <c r="J80" i="4"/>
  <c r="J76" i="4"/>
  <c r="J72" i="4"/>
  <c r="J77" i="4"/>
  <c r="J75" i="4"/>
  <c r="J73" i="4"/>
  <c r="J71" i="4"/>
  <c r="J69" i="4"/>
  <c r="J78" i="4"/>
  <c r="J74" i="4"/>
  <c r="J70" i="4"/>
  <c r="I80" i="4"/>
  <c r="W39" i="1"/>
  <c r="F180" i="1"/>
  <c r="G180" i="1"/>
  <c r="V39" i="1"/>
  <c r="I79" i="4" l="1"/>
  <c r="I81" i="4" s="1"/>
  <c r="J79" i="4"/>
  <c r="J81" i="4" s="1"/>
  <c r="Y108" i="1"/>
  <c r="Y107" i="1"/>
  <c r="Y106" i="1"/>
  <c r="Y105" i="1"/>
  <c r="Y104" i="1"/>
  <c r="Y103" i="1"/>
  <c r="Y102" i="1"/>
  <c r="Y101" i="1"/>
  <c r="Y100" i="1"/>
  <c r="Y99" i="1"/>
  <c r="Y98" i="1"/>
  <c r="Y97" i="1"/>
  <c r="K49" i="1" l="1"/>
  <c r="AG49" i="1" s="1"/>
  <c r="X107" i="1"/>
  <c r="AA97" i="1"/>
  <c r="H70" i="1" l="1"/>
  <c r="D75" i="2" l="1"/>
  <c r="F74" i="2"/>
  <c r="L74" i="2" s="1"/>
  <c r="D74" i="2"/>
  <c r="D73" i="2"/>
  <c r="F72" i="2"/>
  <c r="E72" i="2"/>
  <c r="D72" i="2"/>
  <c r="F71" i="2"/>
  <c r="E71" i="2"/>
  <c r="D71" i="2"/>
  <c r="F70" i="2"/>
  <c r="E70" i="2"/>
  <c r="D70" i="2"/>
  <c r="F69" i="2"/>
  <c r="E69" i="2"/>
  <c r="D69" i="2"/>
  <c r="E68" i="2"/>
  <c r="D68" i="2"/>
  <c r="E67" i="2"/>
  <c r="D67" i="2"/>
  <c r="F66" i="2"/>
  <c r="E66" i="2"/>
  <c r="D66" i="2"/>
  <c r="F65" i="2"/>
  <c r="E65" i="2"/>
  <c r="D65" i="2"/>
  <c r="F64" i="2"/>
  <c r="E64" i="2"/>
  <c r="D64" i="2"/>
  <c r="F63" i="2"/>
  <c r="E63" i="2"/>
  <c r="D63" i="2"/>
  <c r="F62" i="2"/>
  <c r="E62" i="2"/>
  <c r="D62" i="2"/>
  <c r="F61" i="2"/>
  <c r="E61" i="2"/>
  <c r="D61" i="2"/>
  <c r="M59" i="2"/>
  <c r="H59" i="2"/>
  <c r="E59" i="2"/>
  <c r="D59" i="2"/>
  <c r="N53" i="2" s="1"/>
  <c r="L56" i="2"/>
  <c r="F56" i="2"/>
  <c r="F55" i="2"/>
  <c r="K58" i="1" l="1"/>
  <c r="X98" i="1" l="1"/>
  <c r="E407" i="4" l="1"/>
  <c r="AG145" i="1" l="1"/>
  <c r="AG143" i="1"/>
  <c r="F67" i="2"/>
  <c r="F214" i="1" l="1"/>
  <c r="C190" i="4" l="1"/>
  <c r="C191" i="4" s="1"/>
  <c r="C192" i="4" s="1"/>
  <c r="C193" i="4" s="1"/>
  <c r="C194" i="4" s="1"/>
  <c r="C195" i="4" s="1"/>
  <c r="C196" i="4" s="1"/>
  <c r="C197" i="4" s="1"/>
  <c r="C198" i="4" s="1"/>
  <c r="C199" i="4" s="1"/>
  <c r="C200" i="4" s="1"/>
  <c r="E74" i="2" l="1"/>
  <c r="E73" i="2" l="1"/>
  <c r="E394" i="4" l="1"/>
  <c r="F435" i="4" l="1"/>
  <c r="F439" i="4" s="1"/>
  <c r="J438" i="4" s="1"/>
  <c r="E435" i="4"/>
  <c r="E439" i="4" s="1"/>
  <c r="I432" i="4" s="1"/>
  <c r="F413" i="4"/>
  <c r="F417" i="4" s="1"/>
  <c r="E413" i="4"/>
  <c r="E417" i="4" s="1"/>
  <c r="J540" i="4" l="1"/>
  <c r="J532" i="4"/>
  <c r="J544" i="4" s="1"/>
  <c r="J548" i="4" s="1"/>
  <c r="J539" i="4"/>
  <c r="J538" i="4"/>
  <c r="J547" i="4"/>
  <c r="J537" i="4"/>
  <c r="J546" i="4"/>
  <c r="J536" i="4"/>
  <c r="J543" i="4"/>
  <c r="J535" i="4"/>
  <c r="J542" i="4"/>
  <c r="J534" i="4"/>
  <c r="J541" i="4"/>
  <c r="J533" i="4"/>
  <c r="J519" i="4"/>
  <c r="J511" i="4"/>
  <c r="J518" i="4"/>
  <c r="J499" i="4"/>
  <c r="J491" i="4"/>
  <c r="J504" i="4"/>
  <c r="J526" i="4"/>
  <c r="J516" i="4"/>
  <c r="J497" i="4"/>
  <c r="J498" i="4"/>
  <c r="J500" i="4"/>
  <c r="J525" i="4"/>
  <c r="J515" i="4"/>
  <c r="J522" i="4"/>
  <c r="J514" i="4"/>
  <c r="J505" i="4"/>
  <c r="J495" i="4"/>
  <c r="J494" i="4"/>
  <c r="J496" i="4"/>
  <c r="J521" i="4"/>
  <c r="J513" i="4"/>
  <c r="J520" i="4"/>
  <c r="J512" i="4"/>
  <c r="J501" i="4"/>
  <c r="J493" i="4"/>
  <c r="J490" i="4"/>
  <c r="J492" i="4"/>
  <c r="J517" i="4"/>
  <c r="I416" i="4"/>
  <c r="J416" i="4"/>
  <c r="J483" i="4"/>
  <c r="J477" i="4"/>
  <c r="J473" i="4"/>
  <c r="L473" i="4" s="1"/>
  <c r="J469" i="4"/>
  <c r="L469" i="4" s="1"/>
  <c r="J461" i="4"/>
  <c r="J457" i="4"/>
  <c r="J455" i="4"/>
  <c r="J453" i="4"/>
  <c r="J451" i="4"/>
  <c r="J448" i="4"/>
  <c r="J480" i="4"/>
  <c r="J476" i="4"/>
  <c r="J472" i="4"/>
  <c r="L472" i="4" s="1"/>
  <c r="J460" i="4"/>
  <c r="J447" i="4"/>
  <c r="J478" i="4"/>
  <c r="J474" i="4"/>
  <c r="L474" i="4" s="1"/>
  <c r="J479" i="4"/>
  <c r="J475" i="4"/>
  <c r="L475" i="4" s="1"/>
  <c r="J471" i="4"/>
  <c r="L471" i="4" s="1"/>
  <c r="J456" i="4"/>
  <c r="J454" i="4"/>
  <c r="J452" i="4"/>
  <c r="J450" i="4"/>
  <c r="J446" i="4"/>
  <c r="J484" i="4"/>
  <c r="J470" i="4"/>
  <c r="L470" i="4" s="1"/>
  <c r="J449" i="4"/>
  <c r="I429" i="4"/>
  <c r="I423" i="4"/>
  <c r="I430" i="4"/>
  <c r="I426" i="4"/>
  <c r="I437" i="4"/>
  <c r="I434" i="4"/>
  <c r="J425" i="4"/>
  <c r="J429" i="4"/>
  <c r="I425" i="4"/>
  <c r="I433" i="4"/>
  <c r="J433" i="4"/>
  <c r="J426" i="4"/>
  <c r="J430" i="4"/>
  <c r="J434" i="4"/>
  <c r="I438" i="4"/>
  <c r="I427" i="4"/>
  <c r="I431" i="4"/>
  <c r="J423" i="4"/>
  <c r="J427" i="4"/>
  <c r="J431" i="4"/>
  <c r="J437" i="4"/>
  <c r="I424" i="4"/>
  <c r="I428" i="4"/>
  <c r="J424" i="4"/>
  <c r="J428" i="4"/>
  <c r="J432" i="4"/>
  <c r="I402" i="4"/>
  <c r="J401" i="4"/>
  <c r="J409" i="4"/>
  <c r="J403" i="4"/>
  <c r="J407" i="4"/>
  <c r="J411" i="4"/>
  <c r="J412" i="4"/>
  <c r="J415" i="4"/>
  <c r="J404" i="4"/>
  <c r="J408" i="4"/>
  <c r="J405" i="4"/>
  <c r="J402" i="4"/>
  <c r="J406" i="4"/>
  <c r="J410" i="4"/>
  <c r="I403" i="4"/>
  <c r="I407" i="4"/>
  <c r="I411" i="4"/>
  <c r="I412" i="4"/>
  <c r="I406" i="4"/>
  <c r="I410" i="4"/>
  <c r="I404" i="4"/>
  <c r="I408" i="4"/>
  <c r="I401" i="4"/>
  <c r="I405" i="4"/>
  <c r="I409" i="4"/>
  <c r="I415" i="4"/>
  <c r="AJ258" i="1" l="1"/>
  <c r="AJ267" i="1" s="1"/>
  <c r="AJ268" i="1" s="1"/>
  <c r="AI267" i="1"/>
  <c r="AK258" i="1"/>
  <c r="J523" i="4"/>
  <c r="J527" i="4" s="1"/>
  <c r="J502" i="4"/>
  <c r="J506" i="4" s="1"/>
  <c r="J481" i="4"/>
  <c r="J485" i="4" s="1"/>
  <c r="I458" i="4"/>
  <c r="I462" i="4" s="1"/>
  <c r="J458" i="4"/>
  <c r="J462" i="4" s="1"/>
  <c r="I435" i="4"/>
  <c r="I439" i="4" s="1"/>
  <c r="J435" i="4"/>
  <c r="J439" i="4" s="1"/>
  <c r="I413" i="4"/>
  <c r="I417" i="4" s="1"/>
  <c r="J413" i="4"/>
  <c r="J417" i="4" s="1"/>
  <c r="AG259" i="1" l="1"/>
  <c r="AG251" i="1"/>
  <c r="S259" i="1"/>
  <c r="AK259" i="1"/>
  <c r="AG239" i="1"/>
  <c r="S239" i="1" s="1"/>
  <c r="AG235" i="1"/>
  <c r="S235" i="1" s="1"/>
  <c r="AG231" i="1"/>
  <c r="S231" i="1" s="1"/>
  <c r="AG227" i="1"/>
  <c r="S227" i="1" s="1"/>
  <c r="AG234" i="1"/>
  <c r="S234" i="1" s="1"/>
  <c r="AG230" i="1"/>
  <c r="S230" i="1" s="1"/>
  <c r="AG226" i="1"/>
  <c r="S226" i="1" s="1"/>
  <c r="AG222" i="1"/>
  <c r="S222" i="1" s="1"/>
  <c r="AG241" i="1"/>
  <c r="S241" i="1" s="1"/>
  <c r="AG229" i="1"/>
  <c r="S229" i="1" s="1"/>
  <c r="AG225" i="1"/>
  <c r="S225" i="1" s="1"/>
  <c r="AG221" i="1"/>
  <c r="S221" i="1" s="1"/>
  <c r="AG240" i="1"/>
  <c r="S240" i="1" s="1"/>
  <c r="AG236" i="1"/>
  <c r="S236" i="1" s="1"/>
  <c r="AG224" i="1"/>
  <c r="S224" i="1" s="1"/>
  <c r="AG220" i="1"/>
  <c r="S220" i="1" s="1"/>
  <c r="AK239" i="1"/>
  <c r="AK235" i="1"/>
  <c r="AK231" i="1"/>
  <c r="AK227" i="1"/>
  <c r="AK242" i="1"/>
  <c r="L315" i="4"/>
  <c r="L316" i="4" s="1"/>
  <c r="S251" i="1" l="1"/>
  <c r="AK251" i="1"/>
  <c r="AK234" i="1"/>
  <c r="AK229" i="1"/>
  <c r="AK241" i="1"/>
  <c r="AK222" i="1"/>
  <c r="AK230" i="1"/>
  <c r="AK221" i="1"/>
  <c r="AK236" i="1"/>
  <c r="AK240" i="1"/>
  <c r="AK224" i="1"/>
  <c r="AK225" i="1"/>
  <c r="AK226" i="1"/>
  <c r="AK220" i="1"/>
  <c r="AG267" i="1"/>
  <c r="H230" i="1"/>
  <c r="E228" i="1"/>
  <c r="E227" i="1"/>
  <c r="E226" i="1"/>
  <c r="E225" i="1"/>
  <c r="E224" i="1"/>
  <c r="E223" i="1"/>
  <c r="E222" i="1"/>
  <c r="E221" i="1"/>
  <c r="E220" i="1"/>
  <c r="E219" i="1"/>
  <c r="E218" i="1"/>
  <c r="E217" i="1"/>
  <c r="AK267" i="1" l="1"/>
  <c r="S268" i="1" s="1"/>
  <c r="R268" i="1" s="1"/>
  <c r="Q272" i="1" s="1"/>
  <c r="AF75" i="1"/>
  <c r="AF76" i="1"/>
  <c r="AF77" i="1"/>
  <c r="AF78" i="1"/>
  <c r="AF79" i="1"/>
  <c r="AF80" i="1"/>
  <c r="AF81" i="1"/>
  <c r="AF82" i="1"/>
  <c r="AF83" i="1"/>
  <c r="AF84" i="1"/>
  <c r="AF85" i="1"/>
  <c r="AF86" i="1"/>
  <c r="F391" i="4" l="1"/>
  <c r="F395" i="4" s="1"/>
  <c r="J394" i="4" s="1"/>
  <c r="E391" i="4"/>
  <c r="E395" i="4" s="1"/>
  <c r="I390" i="4" l="1"/>
  <c r="I386" i="4"/>
  <c r="I382" i="4"/>
  <c r="I384" i="4"/>
  <c r="I387" i="4"/>
  <c r="I379" i="4"/>
  <c r="I389" i="4"/>
  <c r="I385" i="4"/>
  <c r="I381" i="4"/>
  <c r="I388" i="4"/>
  <c r="I380" i="4"/>
  <c r="I383" i="4"/>
  <c r="J388" i="4"/>
  <c r="J381" i="4"/>
  <c r="J389" i="4"/>
  <c r="J382" i="4"/>
  <c r="J386" i="4"/>
  <c r="J390" i="4"/>
  <c r="J380" i="4"/>
  <c r="J385" i="4"/>
  <c r="J379" i="4"/>
  <c r="J383" i="4"/>
  <c r="J387" i="4"/>
  <c r="J393" i="4"/>
  <c r="J384" i="4"/>
  <c r="I391" i="4" l="1"/>
  <c r="J391" i="4"/>
  <c r="J395" i="4" s="1"/>
  <c r="J86" i="1"/>
  <c r="K86" i="1" s="1"/>
  <c r="J85" i="1"/>
  <c r="K85" i="1" s="1"/>
  <c r="J84" i="1"/>
  <c r="K84" i="1" s="1"/>
  <c r="J83" i="1"/>
  <c r="K83" i="1" s="1"/>
  <c r="J82" i="1"/>
  <c r="K82" i="1" s="1"/>
  <c r="J81" i="1"/>
  <c r="K81" i="1" s="1"/>
  <c r="J80" i="1"/>
  <c r="K80" i="1" s="1"/>
  <c r="J79" i="1"/>
  <c r="K79" i="1" s="1"/>
  <c r="J78" i="1"/>
  <c r="K78" i="1" s="1"/>
  <c r="J77" i="1"/>
  <c r="K77" i="1" s="1"/>
  <c r="J76" i="1"/>
  <c r="K76" i="1" s="1"/>
  <c r="J75" i="1"/>
  <c r="K75" i="1" s="1"/>
  <c r="AH71" i="1"/>
  <c r="AF71" i="1"/>
  <c r="F348" i="4"/>
  <c r="F352" i="4" s="1"/>
  <c r="J336" i="4" s="1"/>
  <c r="E348" i="4"/>
  <c r="E352" i="4" s="1"/>
  <c r="B337" i="4"/>
  <c r="B338" i="4" s="1"/>
  <c r="B339" i="4" s="1"/>
  <c r="B340" i="4" s="1"/>
  <c r="B341" i="4" s="1"/>
  <c r="B342" i="4" s="1"/>
  <c r="B343" i="4" s="1"/>
  <c r="B344" i="4" s="1"/>
  <c r="B345" i="4" s="1"/>
  <c r="B346" i="4" s="1"/>
  <c r="B347" i="4" s="1"/>
  <c r="E195" i="1"/>
  <c r="E329" i="4"/>
  <c r="J87" i="1" l="1"/>
  <c r="F326" i="4"/>
  <c r="E326" i="4"/>
  <c r="E330" i="4" s="1"/>
  <c r="L329" i="4" s="1"/>
  <c r="B315" i="4"/>
  <c r="B316" i="4" s="1"/>
  <c r="B317" i="4" s="1"/>
  <c r="B318" i="4" s="1"/>
  <c r="B319" i="4" s="1"/>
  <c r="B320" i="4" s="1"/>
  <c r="B321" i="4" s="1"/>
  <c r="B322" i="4" s="1"/>
  <c r="B323" i="4" s="1"/>
  <c r="B324" i="4" s="1"/>
  <c r="B325" i="4" s="1"/>
  <c r="I324" i="4" l="1"/>
  <c r="I320" i="4"/>
  <c r="I316" i="4"/>
  <c r="I328" i="4"/>
  <c r="I322" i="4"/>
  <c r="I325" i="4"/>
  <c r="I317" i="4"/>
  <c r="I323" i="4"/>
  <c r="I319" i="4"/>
  <c r="I315" i="4"/>
  <c r="I318" i="4"/>
  <c r="I321" i="4"/>
  <c r="I314" i="4"/>
  <c r="F330" i="4"/>
  <c r="L320" i="4"/>
  <c r="L321" i="4" s="1"/>
  <c r="I329" i="4"/>
  <c r="G149" i="1"/>
  <c r="G150" i="1"/>
  <c r="G151" i="1"/>
  <c r="G152" i="1"/>
  <c r="G153" i="1"/>
  <c r="G154" i="1"/>
  <c r="G155" i="1"/>
  <c r="G156" i="1"/>
  <c r="G157" i="1"/>
  <c r="G158" i="1"/>
  <c r="G159" i="1"/>
  <c r="G160" i="1"/>
  <c r="F304" i="4"/>
  <c r="F308" i="4" s="1"/>
  <c r="E304" i="4"/>
  <c r="E308" i="4" s="1"/>
  <c r="B293" i="4"/>
  <c r="B294" i="4" s="1"/>
  <c r="B295" i="4" s="1"/>
  <c r="B296" i="4" s="1"/>
  <c r="B297" i="4" s="1"/>
  <c r="B298" i="4" s="1"/>
  <c r="B299" i="4" s="1"/>
  <c r="B300" i="4" s="1"/>
  <c r="B301" i="4" s="1"/>
  <c r="B302" i="4" s="1"/>
  <c r="B303" i="4" s="1"/>
  <c r="F146" i="1"/>
  <c r="I372" i="4" l="1"/>
  <c r="I367" i="4"/>
  <c r="I365" i="4"/>
  <c r="I363" i="4"/>
  <c r="I361" i="4"/>
  <c r="I359" i="4"/>
  <c r="I357" i="4"/>
  <c r="I368" i="4"/>
  <c r="I362" i="4"/>
  <c r="I358" i="4"/>
  <c r="I371" i="4"/>
  <c r="I366" i="4"/>
  <c r="I364" i="4"/>
  <c r="I360" i="4"/>
  <c r="I394" i="4"/>
  <c r="I393" i="4"/>
  <c r="I395" i="4" s="1"/>
  <c r="J328" i="4"/>
  <c r="J322" i="4"/>
  <c r="J318" i="4"/>
  <c r="J314" i="4"/>
  <c r="J324" i="4"/>
  <c r="J329" i="4"/>
  <c r="J319" i="4"/>
  <c r="J325" i="4"/>
  <c r="J321" i="4"/>
  <c r="J317" i="4"/>
  <c r="J320" i="4"/>
  <c r="J316" i="4"/>
  <c r="J323" i="4"/>
  <c r="J315" i="4"/>
  <c r="J350" i="4"/>
  <c r="J347" i="4"/>
  <c r="J345" i="4"/>
  <c r="J343" i="4"/>
  <c r="J341" i="4"/>
  <c r="J339" i="4"/>
  <c r="J337" i="4"/>
  <c r="J351" i="4"/>
  <c r="J346" i="4"/>
  <c r="J344" i="4"/>
  <c r="J342" i="4"/>
  <c r="J340" i="4"/>
  <c r="J338" i="4"/>
  <c r="I351" i="4"/>
  <c r="I346" i="4"/>
  <c r="I344" i="4"/>
  <c r="I342" i="4"/>
  <c r="I340" i="4"/>
  <c r="I338" i="4"/>
  <c r="I336" i="4"/>
  <c r="I350" i="4"/>
  <c r="I347" i="4"/>
  <c r="I345" i="4"/>
  <c r="I343" i="4"/>
  <c r="I341" i="4"/>
  <c r="I339" i="4"/>
  <c r="I337" i="4"/>
  <c r="J307" i="4"/>
  <c r="J303" i="4"/>
  <c r="J301" i="4"/>
  <c r="J299" i="4"/>
  <c r="J297" i="4"/>
  <c r="J295" i="4"/>
  <c r="J293" i="4"/>
  <c r="J306" i="4"/>
  <c r="J302" i="4"/>
  <c r="J300" i="4"/>
  <c r="J298" i="4"/>
  <c r="J296" i="4"/>
  <c r="J294" i="4"/>
  <c r="J292" i="4"/>
  <c r="I307" i="4"/>
  <c r="I306" i="4"/>
  <c r="I303" i="4"/>
  <c r="I302" i="4"/>
  <c r="I301" i="4"/>
  <c r="I300" i="4"/>
  <c r="I299" i="4"/>
  <c r="I298" i="4"/>
  <c r="I297" i="4"/>
  <c r="I296" i="4"/>
  <c r="I295" i="4"/>
  <c r="I294" i="4"/>
  <c r="I293" i="4"/>
  <c r="I292" i="4"/>
  <c r="I285" i="4"/>
  <c r="F284" i="4"/>
  <c r="F286" i="4" s="1"/>
  <c r="E284" i="4"/>
  <c r="E286" i="4" s="1"/>
  <c r="B273" i="4"/>
  <c r="B274" i="4" s="1"/>
  <c r="B275" i="4" s="1"/>
  <c r="B276" i="4" s="1"/>
  <c r="B277" i="4" s="1"/>
  <c r="B278" i="4" s="1"/>
  <c r="B279" i="4" s="1"/>
  <c r="B280" i="4" s="1"/>
  <c r="B281" i="4" s="1"/>
  <c r="B282" i="4" s="1"/>
  <c r="B283" i="4" s="1"/>
  <c r="I369" i="4" l="1"/>
  <c r="I373" i="4" s="1"/>
  <c r="I304" i="4"/>
  <c r="I308" i="4" s="1"/>
  <c r="I272" i="4"/>
  <c r="I281" i="4"/>
  <c r="I279" i="4"/>
  <c r="I277" i="4"/>
  <c r="I275" i="4"/>
  <c r="I273" i="4"/>
  <c r="I283" i="4"/>
  <c r="I282" i="4"/>
  <c r="I280" i="4"/>
  <c r="I278" i="4"/>
  <c r="I276" i="4"/>
  <c r="I274" i="4"/>
  <c r="I348" i="4"/>
  <c r="I352" i="4" s="1"/>
  <c r="J326" i="4"/>
  <c r="J330" i="4" s="1"/>
  <c r="J272" i="4"/>
  <c r="J283" i="4"/>
  <c r="J281" i="4"/>
  <c r="J279" i="4"/>
  <c r="J277" i="4"/>
  <c r="J275" i="4"/>
  <c r="J273" i="4"/>
  <c r="J282" i="4"/>
  <c r="J280" i="4"/>
  <c r="J278" i="4"/>
  <c r="J276" i="4"/>
  <c r="J274" i="4"/>
  <c r="J304" i="4"/>
  <c r="J308" i="4" s="1"/>
  <c r="I326" i="4"/>
  <c r="I330" i="4" s="1"/>
  <c r="J348" i="4"/>
  <c r="J352" i="4" s="1"/>
  <c r="F242" i="4"/>
  <c r="E242" i="4"/>
  <c r="B231" i="4"/>
  <c r="B232" i="4" s="1"/>
  <c r="B233" i="4" s="1"/>
  <c r="B234" i="4" s="1"/>
  <c r="B235" i="4" s="1"/>
  <c r="B236" i="4" s="1"/>
  <c r="B237" i="4" s="1"/>
  <c r="B238" i="4" s="1"/>
  <c r="B239" i="4" s="1"/>
  <c r="B240" i="4" s="1"/>
  <c r="B241" i="4" s="1"/>
  <c r="J284" i="4" l="1"/>
  <c r="I284" i="4"/>
  <c r="I286" i="4" s="1"/>
  <c r="I117" i="4"/>
  <c r="I116" i="4"/>
  <c r="B108" i="4"/>
  <c r="B109" i="4" s="1"/>
  <c r="B110" i="4" s="1"/>
  <c r="B111" i="4" s="1"/>
  <c r="B112" i="4" s="1"/>
  <c r="B113" i="4" s="1"/>
  <c r="B114" i="4" s="1"/>
  <c r="B115" i="4" s="1"/>
  <c r="B116" i="4" s="1"/>
  <c r="B117" i="4" s="1"/>
  <c r="B118" i="4" s="1"/>
  <c r="E191" i="1"/>
  <c r="E190" i="1"/>
  <c r="E130" i="1"/>
  <c r="AA85" i="1"/>
  <c r="AA84" i="1"/>
  <c r="AC85" i="1"/>
  <c r="AC84" i="1"/>
  <c r="I262" i="4"/>
  <c r="I261" i="4"/>
  <c r="I260" i="4"/>
  <c r="I259" i="4"/>
  <c r="I258" i="4"/>
  <c r="I257" i="4"/>
  <c r="I256" i="4"/>
  <c r="I255" i="4"/>
  <c r="I254" i="4"/>
  <c r="I253" i="4"/>
  <c r="I252" i="4"/>
  <c r="I251" i="4"/>
  <c r="E264" i="4"/>
  <c r="I264" i="4" s="1"/>
  <c r="B252" i="4"/>
  <c r="B253" i="4" s="1"/>
  <c r="B254" i="4" s="1"/>
  <c r="B255" i="4" s="1"/>
  <c r="B256" i="4" s="1"/>
  <c r="B257" i="4" s="1"/>
  <c r="B258" i="4" s="1"/>
  <c r="B259" i="4" s="1"/>
  <c r="B260" i="4" s="1"/>
  <c r="B261" i="4" s="1"/>
  <c r="B262" i="4" s="1"/>
  <c r="F263" i="4"/>
  <c r="F265" i="4" s="1"/>
  <c r="E263" i="4"/>
  <c r="B148" i="4"/>
  <c r="B149" i="4" s="1"/>
  <c r="B150" i="4" s="1"/>
  <c r="B151" i="4" s="1"/>
  <c r="B152" i="4" s="1"/>
  <c r="B153" i="4" s="1"/>
  <c r="B154" i="4" s="1"/>
  <c r="B155" i="4" s="1"/>
  <c r="B156" i="4" s="1"/>
  <c r="B157" i="4" s="1"/>
  <c r="B158" i="4" s="1"/>
  <c r="B159" i="4" s="1"/>
  <c r="B160" i="4" s="1"/>
  <c r="AC86" i="1"/>
  <c r="AC83" i="1"/>
  <c r="AC82" i="1"/>
  <c r="AC81" i="1"/>
  <c r="AC80" i="1"/>
  <c r="AC79" i="1"/>
  <c r="AC75" i="1"/>
  <c r="AC76" i="1"/>
  <c r="AC77" i="1"/>
  <c r="AC78" i="1"/>
  <c r="E97" i="1"/>
  <c r="E121" i="1"/>
  <c r="E150" i="1" s="1"/>
  <c r="G53" i="1"/>
  <c r="D150" i="1"/>
  <c r="T243" i="4"/>
  <c r="U243" i="4"/>
  <c r="S242" i="4"/>
  <c r="S244" i="4" s="1"/>
  <c r="P242" i="4"/>
  <c r="P244" i="4" s="1"/>
  <c r="R242" i="4"/>
  <c r="R244" i="4" s="1"/>
  <c r="T239" i="4"/>
  <c r="T231" i="4"/>
  <c r="T234" i="4"/>
  <c r="T230" i="4"/>
  <c r="T237" i="4"/>
  <c r="T232" i="4"/>
  <c r="T233" i="4"/>
  <c r="T235" i="4"/>
  <c r="T236" i="4"/>
  <c r="T238" i="4"/>
  <c r="O242" i="4"/>
  <c r="O244" i="4" s="1"/>
  <c r="L242" i="4"/>
  <c r="L244" i="4" s="1"/>
  <c r="U239" i="4"/>
  <c r="U231" i="4"/>
  <c r="U234" i="4"/>
  <c r="U230" i="4"/>
  <c r="U237" i="4"/>
  <c r="U232" i="4"/>
  <c r="U233" i="4"/>
  <c r="U235" i="4"/>
  <c r="U236" i="4"/>
  <c r="U238" i="4"/>
  <c r="E40" i="4"/>
  <c r="E41" i="4" s="1"/>
  <c r="F41" i="4"/>
  <c r="F43" i="4" s="1"/>
  <c r="E42" i="4"/>
  <c r="BB50" i="4"/>
  <c r="BB51" i="4"/>
  <c r="BB52" i="4"/>
  <c r="BB53" i="4"/>
  <c r="BB54" i="4"/>
  <c r="BB55" i="4"/>
  <c r="BB56" i="4"/>
  <c r="L57" i="4"/>
  <c r="L60" i="4" s="1"/>
  <c r="O57" i="4"/>
  <c r="R57" i="4"/>
  <c r="R60" i="4" s="1"/>
  <c r="U57" i="4"/>
  <c r="X57" i="4"/>
  <c r="X60" i="4" s="1"/>
  <c r="AA57" i="4"/>
  <c r="AD57" i="4"/>
  <c r="AG57" i="4"/>
  <c r="AJ57" i="4"/>
  <c r="AJ60" i="4" s="1"/>
  <c r="AM57" i="4"/>
  <c r="AP57" i="4"/>
  <c r="AP60" i="4" s="1"/>
  <c r="AS57" i="4"/>
  <c r="AV57" i="4"/>
  <c r="AV60" i="4" s="1"/>
  <c r="AY57" i="4"/>
  <c r="BB57" i="4"/>
  <c r="BB58" i="4"/>
  <c r="BB59" i="4"/>
  <c r="E60" i="4"/>
  <c r="I61" i="4" s="1"/>
  <c r="F60" i="4"/>
  <c r="F62" i="4" s="1"/>
  <c r="J50" i="4" s="1"/>
  <c r="M60" i="4"/>
  <c r="N50" i="4" s="1"/>
  <c r="P60" i="4"/>
  <c r="Q50" i="4" s="1"/>
  <c r="S60" i="4"/>
  <c r="T50" i="4" s="1"/>
  <c r="V60" i="4"/>
  <c r="W50" i="4" s="1"/>
  <c r="Y60" i="4"/>
  <c r="Z50" i="4" s="1"/>
  <c r="AB60" i="4"/>
  <c r="AC50" i="4" s="1"/>
  <c r="AD60" i="4"/>
  <c r="AE60" i="4"/>
  <c r="AF50" i="4" s="1"/>
  <c r="AH60" i="4"/>
  <c r="AI50" i="4" s="1"/>
  <c r="AK60" i="4"/>
  <c r="AL50" i="4" s="1"/>
  <c r="AN60" i="4"/>
  <c r="AO50" i="4" s="1"/>
  <c r="AQ60" i="4"/>
  <c r="AR50" i="4" s="1"/>
  <c r="AT60" i="4"/>
  <c r="AU50" i="4" s="1"/>
  <c r="AW60" i="4"/>
  <c r="AX50" i="4" s="1"/>
  <c r="AZ60" i="4"/>
  <c r="BA50" i="4" s="1"/>
  <c r="L83" i="4"/>
  <c r="E98" i="4"/>
  <c r="E100" i="4" s="1"/>
  <c r="I88" i="4" s="1"/>
  <c r="F98" i="4"/>
  <c r="F100" i="4" s="1"/>
  <c r="J88" i="4" s="1"/>
  <c r="I107" i="4"/>
  <c r="I108" i="4"/>
  <c r="I109" i="4"/>
  <c r="I110" i="4"/>
  <c r="I111" i="4"/>
  <c r="I112" i="4"/>
  <c r="I113" i="4"/>
  <c r="I114" i="4"/>
  <c r="I115" i="4"/>
  <c r="I118" i="4"/>
  <c r="E119" i="4"/>
  <c r="F119" i="4"/>
  <c r="F121" i="4" s="1"/>
  <c r="J107" i="4" s="1"/>
  <c r="I120" i="4"/>
  <c r="I128" i="4"/>
  <c r="I129" i="4"/>
  <c r="I130" i="4"/>
  <c r="I131" i="4"/>
  <c r="I132" i="4"/>
  <c r="I133" i="4"/>
  <c r="I134" i="4"/>
  <c r="I135" i="4"/>
  <c r="I136" i="4"/>
  <c r="I137" i="4"/>
  <c r="E138" i="4"/>
  <c r="F138" i="4"/>
  <c r="F140" i="4" s="1"/>
  <c r="I139" i="4"/>
  <c r="I147" i="4"/>
  <c r="I148" i="4"/>
  <c r="I149" i="4"/>
  <c r="I150" i="4"/>
  <c r="I151" i="4"/>
  <c r="I152" i="4"/>
  <c r="I153" i="4"/>
  <c r="I154" i="4"/>
  <c r="I155" i="4"/>
  <c r="I156" i="4"/>
  <c r="I157" i="4"/>
  <c r="I158" i="4"/>
  <c r="I159" i="4"/>
  <c r="I160" i="4"/>
  <c r="E161" i="4"/>
  <c r="F161" i="4"/>
  <c r="F163" i="4" s="1"/>
  <c r="J147" i="4" s="1"/>
  <c r="E162" i="4"/>
  <c r="I162" i="4" s="1"/>
  <c r="E180" i="4"/>
  <c r="E182" i="4" s="1"/>
  <c r="I170" i="4" s="1"/>
  <c r="F180" i="4"/>
  <c r="F182" i="4" s="1"/>
  <c r="J170" i="4" s="1"/>
  <c r="L182" i="4"/>
  <c r="E201" i="4"/>
  <c r="E203" i="4" s="1"/>
  <c r="I189" i="4" s="1"/>
  <c r="F201" i="4"/>
  <c r="F203" i="4" s="1"/>
  <c r="J189" i="4" s="1"/>
  <c r="L203" i="4"/>
  <c r="E216" i="4"/>
  <c r="F221" i="4"/>
  <c r="F223" i="4" s="1"/>
  <c r="J211" i="4" s="1"/>
  <c r="E244" i="4"/>
  <c r="I241" i="4" s="1"/>
  <c r="F244" i="4"/>
  <c r="J241" i="4" s="1"/>
  <c r="Q55" i="1"/>
  <c r="Q56" i="1" s="1"/>
  <c r="E181" i="1"/>
  <c r="D42" i="1"/>
  <c r="D43" i="1" s="1"/>
  <c r="D44" i="1" s="1"/>
  <c r="D45" i="1" s="1"/>
  <c r="D46" i="1" s="1"/>
  <c r="D47" i="1" s="1"/>
  <c r="D48" i="1" s="1"/>
  <c r="D49" i="1" s="1"/>
  <c r="D50" i="1" s="1"/>
  <c r="D51" i="1" s="1"/>
  <c r="D52" i="1" s="1"/>
  <c r="E182" i="1"/>
  <c r="E183" i="1"/>
  <c r="E184" i="1"/>
  <c r="E185" i="1"/>
  <c r="E186" i="1"/>
  <c r="E187" i="1"/>
  <c r="E188" i="1"/>
  <c r="E189" i="1"/>
  <c r="E192" i="1"/>
  <c r="E75" i="1"/>
  <c r="AA75" i="1" s="1"/>
  <c r="D76" i="1"/>
  <c r="D77" i="1" s="1"/>
  <c r="D78" i="1" s="1"/>
  <c r="D79" i="1" s="1"/>
  <c r="D80" i="1" s="1"/>
  <c r="D81" i="1" s="1"/>
  <c r="D82" i="1" s="1"/>
  <c r="D83" i="1" s="1"/>
  <c r="D84" i="1" s="1"/>
  <c r="D85" i="1" s="1"/>
  <c r="D86" i="1" s="1"/>
  <c r="E76" i="1"/>
  <c r="AA76" i="1" s="1"/>
  <c r="E77" i="1"/>
  <c r="AA77" i="1" s="1"/>
  <c r="E78" i="1"/>
  <c r="AA78" i="1" s="1"/>
  <c r="E79" i="1"/>
  <c r="AA79" i="1" s="1"/>
  <c r="E80" i="1"/>
  <c r="AA80" i="1" s="1"/>
  <c r="E81" i="1"/>
  <c r="AA81" i="1" s="1"/>
  <c r="E82" i="1"/>
  <c r="AA82" i="1" s="1"/>
  <c r="AA83" i="1"/>
  <c r="AA86" i="1"/>
  <c r="D98" i="1"/>
  <c r="D99" i="1" s="1"/>
  <c r="D100" i="1" s="1"/>
  <c r="D101" i="1" s="1"/>
  <c r="D102" i="1" s="1"/>
  <c r="D103" i="1" s="1"/>
  <c r="D104" i="1" s="1"/>
  <c r="D105" i="1" s="1"/>
  <c r="D106" i="1" s="1"/>
  <c r="D107" i="1" s="1"/>
  <c r="D108" i="1" s="1"/>
  <c r="D121" i="1"/>
  <c r="D122" i="1" s="1"/>
  <c r="D123" i="1" s="1"/>
  <c r="D124" i="1" s="1"/>
  <c r="D125" i="1" s="1"/>
  <c r="D126" i="1" s="1"/>
  <c r="D127" i="1" s="1"/>
  <c r="D128" i="1" s="1"/>
  <c r="F148" i="1"/>
  <c r="D182" i="1"/>
  <c r="D183" i="1" s="1"/>
  <c r="D184" i="1" s="1"/>
  <c r="D185" i="1" s="1"/>
  <c r="D186" i="1" s="1"/>
  <c r="D187" i="1" s="1"/>
  <c r="D188" i="1" s="1"/>
  <c r="D189" i="1" s="1"/>
  <c r="E196" i="1"/>
  <c r="G196" i="1"/>
  <c r="O57" i="1" l="1"/>
  <c r="J41" i="1"/>
  <c r="J42" i="1"/>
  <c r="F73" i="2"/>
  <c r="AH53" i="1"/>
  <c r="AH55" i="1" s="1"/>
  <c r="E128" i="1"/>
  <c r="E157" i="1" s="1"/>
  <c r="X105" i="1"/>
  <c r="E127" i="1"/>
  <c r="E156" i="1" s="1"/>
  <c r="X104" i="1"/>
  <c r="E129" i="1"/>
  <c r="E158" i="1" s="1"/>
  <c r="X106" i="1"/>
  <c r="E131" i="1"/>
  <c r="E160" i="1" s="1"/>
  <c r="X108" i="1"/>
  <c r="E125" i="1"/>
  <c r="E154" i="1" s="1"/>
  <c r="X102" i="1"/>
  <c r="E124" i="1"/>
  <c r="E153" i="1" s="1"/>
  <c r="X101" i="1"/>
  <c r="E122" i="1"/>
  <c r="E151" i="1" s="1"/>
  <c r="X99" i="1"/>
  <c r="E123" i="1"/>
  <c r="E152" i="1" s="1"/>
  <c r="X100" i="1"/>
  <c r="AD97" i="1"/>
  <c r="X97" i="1"/>
  <c r="E126" i="1"/>
  <c r="E155" i="1" s="1"/>
  <c r="X103" i="1"/>
  <c r="J52" i="1"/>
  <c r="H72" i="2" s="1"/>
  <c r="J50" i="1"/>
  <c r="J49" i="1"/>
  <c r="J48" i="1"/>
  <c r="J51" i="1"/>
  <c r="E75" i="2"/>
  <c r="J47" i="1"/>
  <c r="G57" i="1"/>
  <c r="J262" i="4"/>
  <c r="J285" i="4"/>
  <c r="J286" i="4" s="1"/>
  <c r="Z150" i="1"/>
  <c r="S55" i="1"/>
  <c r="J55" i="1"/>
  <c r="AF54" i="1" s="1"/>
  <c r="J44" i="1"/>
  <c r="D190" i="1"/>
  <c r="D191" i="1" s="1"/>
  <c r="I243" i="4"/>
  <c r="I239" i="4"/>
  <c r="I240" i="4"/>
  <c r="I238" i="4"/>
  <c r="I237" i="4"/>
  <c r="I236" i="4"/>
  <c r="I235" i="4"/>
  <c r="I234" i="4"/>
  <c r="I233" i="4"/>
  <c r="I232" i="4"/>
  <c r="I231" i="4"/>
  <c r="I230" i="4"/>
  <c r="J243" i="4"/>
  <c r="J239" i="4"/>
  <c r="J240" i="4"/>
  <c r="J238" i="4"/>
  <c r="J237" i="4"/>
  <c r="J236" i="4"/>
  <c r="J235" i="4"/>
  <c r="J234" i="4"/>
  <c r="J233" i="4"/>
  <c r="J232" i="4"/>
  <c r="J231" i="4"/>
  <c r="J230" i="4"/>
  <c r="I138" i="4"/>
  <c r="I140" i="4" s="1"/>
  <c r="J253" i="4"/>
  <c r="J257" i="4"/>
  <c r="J261" i="4"/>
  <c r="I197" i="4"/>
  <c r="I198" i="4"/>
  <c r="I199" i="4"/>
  <c r="I200" i="4"/>
  <c r="J116" i="4"/>
  <c r="J117" i="4"/>
  <c r="E62" i="4"/>
  <c r="I50" i="4" s="1"/>
  <c r="K63" i="4" s="1"/>
  <c r="E43" i="4"/>
  <c r="I32" i="4" s="1"/>
  <c r="T242" i="4"/>
  <c r="T244" i="4" s="1"/>
  <c r="J251" i="4"/>
  <c r="J255" i="4"/>
  <c r="J259" i="4"/>
  <c r="J264" i="4"/>
  <c r="J197" i="4"/>
  <c r="J198" i="4"/>
  <c r="J199" i="4"/>
  <c r="J200" i="4"/>
  <c r="J252" i="4"/>
  <c r="J254" i="4"/>
  <c r="J256" i="4"/>
  <c r="J258" i="4"/>
  <c r="J260" i="4"/>
  <c r="E120" i="1"/>
  <c r="E159" i="1"/>
  <c r="D129" i="1"/>
  <c r="D130" i="1" s="1"/>
  <c r="D131" i="1" s="1"/>
  <c r="I263" i="4"/>
  <c r="I265" i="4" s="1"/>
  <c r="I161" i="4"/>
  <c r="I163" i="4" s="1"/>
  <c r="I119" i="4"/>
  <c r="I121" i="4" s="1"/>
  <c r="AU57" i="4"/>
  <c r="AI57" i="4"/>
  <c r="W57" i="4"/>
  <c r="BA57" i="4"/>
  <c r="AO57" i="4"/>
  <c r="AC57" i="4"/>
  <c r="Q57" i="4"/>
  <c r="J162" i="4"/>
  <c r="AX57" i="4"/>
  <c r="AR57" i="4"/>
  <c r="AL57" i="4"/>
  <c r="AF57" i="4"/>
  <c r="Z57" i="4"/>
  <c r="T57" i="4"/>
  <c r="N57" i="4"/>
  <c r="U242" i="4"/>
  <c r="U244" i="4" s="1"/>
  <c r="J56" i="1"/>
  <c r="J128" i="4"/>
  <c r="J129" i="4"/>
  <c r="J130" i="4"/>
  <c r="J131" i="4"/>
  <c r="J132" i="4"/>
  <c r="J133" i="4"/>
  <c r="J134" i="4"/>
  <c r="J135" i="4"/>
  <c r="J136" i="4"/>
  <c r="J137" i="4"/>
  <c r="J138" i="4"/>
  <c r="J139" i="4"/>
  <c r="J31" i="4"/>
  <c r="J32" i="4"/>
  <c r="J33" i="4"/>
  <c r="J34" i="4"/>
  <c r="J35" i="4"/>
  <c r="J36" i="4"/>
  <c r="J37" i="4"/>
  <c r="J38" i="4"/>
  <c r="J39" i="4"/>
  <c r="J42" i="4"/>
  <c r="J40" i="4"/>
  <c r="J222" i="4"/>
  <c r="J220" i="4"/>
  <c r="J219" i="4"/>
  <c r="J218" i="4"/>
  <c r="J217" i="4"/>
  <c r="J216" i="4"/>
  <c r="J202" i="4"/>
  <c r="J196" i="4"/>
  <c r="J195" i="4"/>
  <c r="J194" i="4"/>
  <c r="J193" i="4"/>
  <c r="J192" i="4"/>
  <c r="J191" i="4"/>
  <c r="J190" i="4"/>
  <c r="I181" i="4"/>
  <c r="I179" i="4"/>
  <c r="I178" i="4"/>
  <c r="I177" i="4"/>
  <c r="I176" i="4"/>
  <c r="I175" i="4"/>
  <c r="I174" i="4"/>
  <c r="I173" i="4"/>
  <c r="I172" i="4"/>
  <c r="I171" i="4"/>
  <c r="I99" i="4"/>
  <c r="I97" i="4"/>
  <c r="I96" i="4"/>
  <c r="I95" i="4"/>
  <c r="I94" i="4"/>
  <c r="I93" i="4"/>
  <c r="I92" i="4"/>
  <c r="I91" i="4"/>
  <c r="I90" i="4"/>
  <c r="I89" i="4"/>
  <c r="I59" i="4"/>
  <c r="AX54" i="4"/>
  <c r="AR54" i="4"/>
  <c r="AL54" i="4"/>
  <c r="AF54" i="4"/>
  <c r="Z54" i="4"/>
  <c r="T54" i="4"/>
  <c r="N54" i="4"/>
  <c r="AX53" i="4"/>
  <c r="AR53" i="4"/>
  <c r="AL53" i="4"/>
  <c r="AF53" i="4"/>
  <c r="Z53" i="4"/>
  <c r="T53" i="4"/>
  <c r="N53" i="4"/>
  <c r="AX52" i="4"/>
  <c r="AR52" i="4"/>
  <c r="AL52" i="4"/>
  <c r="AF52" i="4"/>
  <c r="Z52" i="4"/>
  <c r="T52" i="4"/>
  <c r="N52" i="4"/>
  <c r="AX51" i="4"/>
  <c r="AR51" i="4"/>
  <c r="AL51" i="4"/>
  <c r="AF51" i="4"/>
  <c r="Z51" i="4"/>
  <c r="T51" i="4"/>
  <c r="N51" i="4"/>
  <c r="I42" i="4"/>
  <c r="E221" i="4"/>
  <c r="E223" i="4" s="1"/>
  <c r="I216" i="4" s="1"/>
  <c r="J215" i="4"/>
  <c r="J214" i="4"/>
  <c r="J213" i="4"/>
  <c r="J212" i="4"/>
  <c r="I202" i="4"/>
  <c r="I196" i="4"/>
  <c r="I195" i="4"/>
  <c r="I194" i="4"/>
  <c r="I193" i="4"/>
  <c r="I192" i="4"/>
  <c r="I191" i="4"/>
  <c r="I190" i="4"/>
  <c r="J181" i="4"/>
  <c r="J179" i="4"/>
  <c r="J178" i="4"/>
  <c r="J177" i="4"/>
  <c r="J176" i="4"/>
  <c r="J175" i="4"/>
  <c r="J174" i="4"/>
  <c r="J173" i="4"/>
  <c r="J172" i="4"/>
  <c r="J171" i="4"/>
  <c r="J160" i="4"/>
  <c r="J159" i="4"/>
  <c r="J158" i="4"/>
  <c r="J157" i="4"/>
  <c r="J156" i="4"/>
  <c r="J155" i="4"/>
  <c r="J154" i="4"/>
  <c r="J153" i="4"/>
  <c r="J152" i="4"/>
  <c r="J151" i="4"/>
  <c r="J150" i="4"/>
  <c r="J149" i="4"/>
  <c r="J148" i="4"/>
  <c r="J120" i="4"/>
  <c r="J118" i="4"/>
  <c r="J115" i="4"/>
  <c r="J114" i="4"/>
  <c r="J113" i="4"/>
  <c r="J112" i="4"/>
  <c r="J111" i="4"/>
  <c r="J110" i="4"/>
  <c r="J109" i="4"/>
  <c r="J108" i="4"/>
  <c r="J99" i="4"/>
  <c r="J98" i="4"/>
  <c r="J97" i="4"/>
  <c r="J96" i="4"/>
  <c r="J95" i="4"/>
  <c r="J94" i="4"/>
  <c r="J93" i="4"/>
  <c r="J92" i="4"/>
  <c r="J91" i="4"/>
  <c r="J90" i="4"/>
  <c r="J89" i="4"/>
  <c r="J61" i="4"/>
  <c r="AY60" i="4"/>
  <c r="AS60" i="4"/>
  <c r="AM60" i="4"/>
  <c r="AG60" i="4"/>
  <c r="AA60" i="4"/>
  <c r="U60" i="4"/>
  <c r="O60" i="4"/>
  <c r="J59" i="4"/>
  <c r="J58" i="4"/>
  <c r="J57" i="4"/>
  <c r="J56" i="4"/>
  <c r="J55" i="4"/>
  <c r="BA54" i="4"/>
  <c r="AU54" i="4"/>
  <c r="AO54" i="4"/>
  <c r="AI54" i="4"/>
  <c r="AC54" i="4"/>
  <c r="W54" i="4"/>
  <c r="Q54" i="4"/>
  <c r="J54" i="4"/>
  <c r="BA53" i="4"/>
  <c r="AU53" i="4"/>
  <c r="AO53" i="4"/>
  <c r="AI53" i="4"/>
  <c r="AC53" i="4"/>
  <c r="W53" i="4"/>
  <c r="Q53" i="4"/>
  <c r="J53" i="4"/>
  <c r="BA52" i="4"/>
  <c r="AU52" i="4"/>
  <c r="AO52" i="4"/>
  <c r="AI52" i="4"/>
  <c r="AC52" i="4"/>
  <c r="W52" i="4"/>
  <c r="Q52" i="4"/>
  <c r="J52" i="4"/>
  <c r="BA51" i="4"/>
  <c r="AU51" i="4"/>
  <c r="AO51" i="4"/>
  <c r="AI51" i="4"/>
  <c r="AC51" i="4"/>
  <c r="W51" i="4"/>
  <c r="Q51" i="4"/>
  <c r="J51" i="4"/>
  <c r="D151" i="1"/>
  <c r="I40" i="4" l="1"/>
  <c r="AI60" i="4"/>
  <c r="I33" i="4"/>
  <c r="I34" i="4"/>
  <c r="I36" i="4"/>
  <c r="I35" i="4"/>
  <c r="I37" i="4"/>
  <c r="I38" i="4"/>
  <c r="I31" i="4"/>
  <c r="I39" i="4"/>
  <c r="K50" i="1"/>
  <c r="AG50" i="1" s="1"/>
  <c r="K42" i="1"/>
  <c r="AG42" i="1" s="1"/>
  <c r="K41" i="1"/>
  <c r="Z154" i="1"/>
  <c r="AF50" i="1"/>
  <c r="AF51" i="1"/>
  <c r="AF52" i="1"/>
  <c r="AF44" i="1"/>
  <c r="AF48" i="1"/>
  <c r="AF47" i="1"/>
  <c r="AF49" i="1"/>
  <c r="A49" i="1"/>
  <c r="A47" i="1"/>
  <c r="A50" i="1"/>
  <c r="H64" i="2"/>
  <c r="A52" i="1"/>
  <c r="Z160" i="1"/>
  <c r="Z152" i="1"/>
  <c r="Z156" i="1"/>
  <c r="Z153" i="1"/>
  <c r="K46" i="1"/>
  <c r="AG46" i="1" s="1"/>
  <c r="K52" i="1"/>
  <c r="AG52" i="1" s="1"/>
  <c r="H68" i="2"/>
  <c r="A48" i="1"/>
  <c r="H71" i="2"/>
  <c r="A51" i="1"/>
  <c r="AO60" i="4"/>
  <c r="AC60" i="4"/>
  <c r="T60" i="4"/>
  <c r="AR60" i="4"/>
  <c r="I51" i="4"/>
  <c r="I52" i="4"/>
  <c r="I53" i="4"/>
  <c r="I54" i="4"/>
  <c r="I55" i="4"/>
  <c r="Q60" i="4"/>
  <c r="I57" i="4"/>
  <c r="K51" i="1"/>
  <c r="AG51" i="1" s="1"/>
  <c r="K47" i="1"/>
  <c r="AG47" i="1" s="1"/>
  <c r="D33" i="1"/>
  <c r="F145" i="1" s="1"/>
  <c r="AK145" i="1" s="1"/>
  <c r="F75" i="2"/>
  <c r="G62" i="2" s="1"/>
  <c r="K48" i="1"/>
  <c r="AG48" i="1" s="1"/>
  <c r="K55" i="1"/>
  <c r="AG54" i="1" s="1"/>
  <c r="H74" i="2"/>
  <c r="AB86" i="1"/>
  <c r="AD86" i="1" s="1"/>
  <c r="AE86" i="1" s="1"/>
  <c r="AG86" i="1" s="1"/>
  <c r="AB85" i="1"/>
  <c r="AD85" i="1" s="1"/>
  <c r="AE85" i="1" s="1"/>
  <c r="AG85" i="1" s="1"/>
  <c r="AB82" i="1"/>
  <c r="AD82" i="1" s="1"/>
  <c r="AE82" i="1" s="1"/>
  <c r="AG82" i="1" s="1"/>
  <c r="F82" i="1" s="1"/>
  <c r="AB78" i="1"/>
  <c r="AD78" i="1" s="1"/>
  <c r="AE78" i="1" s="1"/>
  <c r="AG78" i="1" s="1"/>
  <c r="F78" i="1" s="1"/>
  <c r="Z158" i="1"/>
  <c r="Z151" i="1"/>
  <c r="Z155" i="1"/>
  <c r="Z157" i="1"/>
  <c r="BA60" i="4"/>
  <c r="AF60" i="4"/>
  <c r="Z159" i="1"/>
  <c r="H70" i="2"/>
  <c r="J46" i="1"/>
  <c r="K56" i="1"/>
  <c r="H69" i="2"/>
  <c r="H67" i="2"/>
  <c r="J45" i="1"/>
  <c r="J43" i="1"/>
  <c r="AF41" i="1"/>
  <c r="AG41" i="1"/>
  <c r="K43" i="1"/>
  <c r="AG43" i="1" s="1"/>
  <c r="K44" i="1"/>
  <c r="AG44" i="1" s="1"/>
  <c r="K45" i="1"/>
  <c r="AG45" i="1" s="1"/>
  <c r="A44" i="1"/>
  <c r="W60" i="4"/>
  <c r="AU60" i="4"/>
  <c r="N60" i="4"/>
  <c r="Z60" i="4"/>
  <c r="AL60" i="4"/>
  <c r="AX60" i="4"/>
  <c r="I56" i="4"/>
  <c r="I58" i="4"/>
  <c r="J60" i="4"/>
  <c r="J62" i="4" s="1"/>
  <c r="E149" i="1"/>
  <c r="I242" i="4"/>
  <c r="I244" i="4" s="1"/>
  <c r="I98" i="4"/>
  <c r="I100" i="4" s="1"/>
  <c r="I180" i="4"/>
  <c r="I182" i="4" s="1"/>
  <c r="J201" i="4"/>
  <c r="J203" i="4" s="1"/>
  <c r="J242" i="4"/>
  <c r="J244" i="4" s="1"/>
  <c r="J180" i="4"/>
  <c r="J182" i="4" s="1"/>
  <c r="I201" i="4"/>
  <c r="I203" i="4" s="1"/>
  <c r="J221" i="4"/>
  <c r="J223" i="4" s="1"/>
  <c r="J119" i="4"/>
  <c r="J121" i="4" s="1"/>
  <c r="J161" i="4"/>
  <c r="J163" i="4" s="1"/>
  <c r="J263" i="4"/>
  <c r="J265" i="4" s="1"/>
  <c r="J140" i="4"/>
  <c r="D152" i="1"/>
  <c r="I217" i="4"/>
  <c r="I218" i="4"/>
  <c r="I219" i="4"/>
  <c r="I220" i="4"/>
  <c r="I222" i="4"/>
  <c r="I211" i="4"/>
  <c r="I212" i="4"/>
  <c r="I213" i="4"/>
  <c r="I214" i="4"/>
  <c r="I215" i="4"/>
  <c r="J100" i="4"/>
  <c r="J41" i="4"/>
  <c r="J43" i="4" s="1"/>
  <c r="G74" i="2" l="1"/>
  <c r="I41" i="4"/>
  <c r="I43" i="4" s="1"/>
  <c r="AF43" i="1"/>
  <c r="AF46" i="1"/>
  <c r="AF45" i="1"/>
  <c r="AF42" i="1"/>
  <c r="H61" i="2"/>
  <c r="H63" i="2"/>
  <c r="H65" i="2"/>
  <c r="H62" i="2"/>
  <c r="H66" i="2"/>
  <c r="A46" i="1"/>
  <c r="F86" i="1"/>
  <c r="F108" i="1" s="1"/>
  <c r="AB108" i="1" s="1"/>
  <c r="F85" i="1"/>
  <c r="F107" i="1" s="1"/>
  <c r="G66" i="2"/>
  <c r="G65" i="2"/>
  <c r="G69" i="2"/>
  <c r="G68" i="2"/>
  <c r="G63" i="2"/>
  <c r="G64" i="2"/>
  <c r="G67" i="2"/>
  <c r="G72" i="2"/>
  <c r="G70" i="2"/>
  <c r="G71" i="2"/>
  <c r="G61" i="2"/>
  <c r="AB76" i="1"/>
  <c r="AD76" i="1" s="1"/>
  <c r="AE76" i="1" s="1"/>
  <c r="AG76" i="1" s="1"/>
  <c r="F76" i="1" s="1"/>
  <c r="AB81" i="1"/>
  <c r="AD81" i="1" s="1"/>
  <c r="AE81" i="1" s="1"/>
  <c r="AB75" i="1"/>
  <c r="AD75" i="1" s="1"/>
  <c r="AE75" i="1" s="1"/>
  <c r="AG75" i="1" s="1"/>
  <c r="AB83" i="1"/>
  <c r="AD83" i="1" s="1"/>
  <c r="AE83" i="1" s="1"/>
  <c r="AG83" i="1" s="1"/>
  <c r="F83" i="1" s="1"/>
  <c r="AB80" i="1"/>
  <c r="AD80" i="1" s="1"/>
  <c r="AE80" i="1" s="1"/>
  <c r="F100" i="1"/>
  <c r="Z149" i="1"/>
  <c r="A45" i="1"/>
  <c r="AB79" i="1"/>
  <c r="A43" i="1"/>
  <c r="AB77" i="1"/>
  <c r="AB84" i="1"/>
  <c r="J53" i="1"/>
  <c r="A42" i="1"/>
  <c r="A41" i="1"/>
  <c r="K53" i="1"/>
  <c r="I60" i="4"/>
  <c r="I62" i="4" s="1"/>
  <c r="D153" i="1"/>
  <c r="I221" i="4"/>
  <c r="I223" i="4" s="1"/>
  <c r="H73" i="2" l="1"/>
  <c r="H75" i="2" s="1"/>
  <c r="K75" i="2" s="1"/>
  <c r="AF53" i="1"/>
  <c r="AF55" i="1" s="1"/>
  <c r="AB159" i="1"/>
  <c r="AC159" i="1" s="1"/>
  <c r="AB107" i="1"/>
  <c r="K107" i="1" s="1"/>
  <c r="K57" i="1"/>
  <c r="AG53" i="1"/>
  <c r="F75" i="1"/>
  <c r="F97" i="1" s="1"/>
  <c r="F104" i="1"/>
  <c r="F105" i="1"/>
  <c r="AB105" i="1" s="1"/>
  <c r="G73" i="2"/>
  <c r="G75" i="2" s="1"/>
  <c r="J57" i="1"/>
  <c r="AG81" i="1"/>
  <c r="AG80" i="1"/>
  <c r="F98" i="1"/>
  <c r="AD84" i="1"/>
  <c r="AE84" i="1" s="1"/>
  <c r="AG84" i="1" s="1"/>
  <c r="F84" i="1" s="1"/>
  <c r="AD77" i="1"/>
  <c r="AE77" i="1" s="1"/>
  <c r="AD79" i="1"/>
  <c r="AE79" i="1" s="1"/>
  <c r="D154" i="1"/>
  <c r="AI51" i="1" l="1"/>
  <c r="AI53" i="1"/>
  <c r="AG55" i="1"/>
  <c r="AI55" i="1" s="1"/>
  <c r="K105" i="1"/>
  <c r="F80" i="1"/>
  <c r="F102" i="1" s="1"/>
  <c r="F81" i="1"/>
  <c r="F103" i="1" s="1"/>
  <c r="F106" i="1"/>
  <c r="AG77" i="1"/>
  <c r="AG79" i="1"/>
  <c r="D155" i="1"/>
  <c r="AI49" i="1" l="1"/>
  <c r="F79" i="1"/>
  <c r="F101" i="1" s="1"/>
  <c r="F77" i="1"/>
  <c r="D156" i="1"/>
  <c r="F87" i="1" l="1"/>
  <c r="G84" i="1" s="1"/>
  <c r="Y84" i="1" s="1"/>
  <c r="F99" i="1"/>
  <c r="G85" i="1"/>
  <c r="Y85" i="1" s="1"/>
  <c r="G86" i="1"/>
  <c r="G83" i="1"/>
  <c r="D157" i="1"/>
  <c r="G80" i="1" l="1"/>
  <c r="Y80" i="1" s="1"/>
  <c r="G82" i="1"/>
  <c r="J104" i="1" s="1"/>
  <c r="F127" i="1" s="1"/>
  <c r="G78" i="1"/>
  <c r="Y78" i="1" s="1"/>
  <c r="G81" i="1"/>
  <c r="J103" i="1" s="1"/>
  <c r="F126" i="1" s="1"/>
  <c r="G79" i="1"/>
  <c r="Y79" i="1" s="1"/>
  <c r="F109" i="1"/>
  <c r="G109" i="1" s="1"/>
  <c r="G76" i="1"/>
  <c r="Y76" i="1" s="1"/>
  <c r="G77" i="1"/>
  <c r="Y77" i="1" s="1"/>
  <c r="J106" i="1"/>
  <c r="G75" i="1"/>
  <c r="J97" i="1" s="1"/>
  <c r="J107" i="1"/>
  <c r="F130" i="1" s="1"/>
  <c r="Y86" i="1"/>
  <c r="J108" i="1"/>
  <c r="F131" i="1" s="1"/>
  <c r="Y83" i="1"/>
  <c r="J105" i="1"/>
  <c r="F128" i="1" s="1"/>
  <c r="D158" i="1"/>
  <c r="G161" i="1"/>
  <c r="J102" i="1" l="1"/>
  <c r="F125" i="1" s="1"/>
  <c r="Y82" i="1"/>
  <c r="J100" i="1"/>
  <c r="F123" i="1" s="1"/>
  <c r="Y81" i="1"/>
  <c r="AB157" i="1"/>
  <c r="AC157" i="1" s="1"/>
  <c r="AB156" i="1"/>
  <c r="AC156" i="1" s="1"/>
  <c r="AB158" i="1"/>
  <c r="AC158" i="1" s="1"/>
  <c r="G104" i="1"/>
  <c r="AB104" i="1" s="1"/>
  <c r="K104" i="1" s="1"/>
  <c r="J101" i="1"/>
  <c r="F124" i="1" s="1"/>
  <c r="AB154" i="1"/>
  <c r="AC154" i="1" s="1"/>
  <c r="AB155" i="1"/>
  <c r="AC155" i="1" s="1"/>
  <c r="AB151" i="1"/>
  <c r="AC151" i="1" s="1"/>
  <c r="AB160" i="1"/>
  <c r="AC160" i="1" s="1"/>
  <c r="J98" i="1"/>
  <c r="F121" i="1" s="1"/>
  <c r="F150" i="1" s="1"/>
  <c r="AB152" i="1"/>
  <c r="AC152" i="1" s="1"/>
  <c r="AB150" i="1"/>
  <c r="AC150" i="1" s="1"/>
  <c r="AB149" i="1"/>
  <c r="AB153" i="1"/>
  <c r="AC153" i="1" s="1"/>
  <c r="F129" i="1"/>
  <c r="F158" i="1" s="1"/>
  <c r="Z97" i="1"/>
  <c r="F120" i="1"/>
  <c r="F149" i="1" s="1"/>
  <c r="G87" i="1"/>
  <c r="J99" i="1"/>
  <c r="F122" i="1" s="1"/>
  <c r="F151" i="1" s="1"/>
  <c r="Y75" i="1"/>
  <c r="G97" i="1"/>
  <c r="G106" i="1"/>
  <c r="AB106" i="1" s="1"/>
  <c r="K106" i="1" s="1"/>
  <c r="G108" i="1"/>
  <c r="K108" i="1" s="1"/>
  <c r="G107" i="1"/>
  <c r="F159" i="1"/>
  <c r="F156" i="1"/>
  <c r="G105" i="1"/>
  <c r="G103" i="1"/>
  <c r="D159" i="1"/>
  <c r="AI50" i="1" l="1"/>
  <c r="AI48" i="1"/>
  <c r="AC149" i="1"/>
  <c r="AH149" i="1"/>
  <c r="G102" i="1"/>
  <c r="G100" i="1"/>
  <c r="AB100" i="1" s="1"/>
  <c r="K100" i="1" s="1"/>
  <c r="AH158" i="1"/>
  <c r="G101" i="1"/>
  <c r="AB101" i="1" s="1"/>
  <c r="K101" i="1" s="1"/>
  <c r="AI52" i="1"/>
  <c r="AB103" i="1"/>
  <c r="K103" i="1" s="1"/>
  <c r="AB97" i="1"/>
  <c r="K97" i="1" s="1"/>
  <c r="G98" i="1"/>
  <c r="J109" i="1"/>
  <c r="G99" i="1"/>
  <c r="AH159" i="1"/>
  <c r="F160" i="1"/>
  <c r="F152" i="1"/>
  <c r="F154" i="1"/>
  <c r="AH156" i="1"/>
  <c r="F157" i="1"/>
  <c r="F155" i="1"/>
  <c r="AH151" i="1"/>
  <c r="AH150" i="1"/>
  <c r="F153" i="1"/>
  <c r="F132" i="1"/>
  <c r="D160" i="1"/>
  <c r="AB102" i="1" l="1"/>
  <c r="K102" i="1" s="1"/>
  <c r="AC97" i="1"/>
  <c r="AI47" i="1"/>
  <c r="AI41" i="1"/>
  <c r="AI45" i="1"/>
  <c r="AB98" i="1"/>
  <c r="AI44" i="1"/>
  <c r="AB99" i="1"/>
  <c r="K99" i="1" s="1"/>
  <c r="AH160" i="1"/>
  <c r="AH157" i="1"/>
  <c r="AH154" i="1"/>
  <c r="AH155" i="1"/>
  <c r="AH152" i="1"/>
  <c r="F161" i="1"/>
  <c r="AI46" i="1" l="1"/>
  <c r="AD98" i="1"/>
  <c r="K98" i="1"/>
  <c r="AC98" i="1"/>
  <c r="AA98" i="1" s="1"/>
  <c r="AI43" i="1"/>
  <c r="AH161" i="1"/>
  <c r="AJ161" i="1" s="1"/>
  <c r="AB161" i="1"/>
  <c r="AD99" i="1" l="1"/>
  <c r="Z98" i="1"/>
  <c r="AC99" i="1"/>
  <c r="AC100" i="1" s="1"/>
  <c r="AC101" i="1" s="1"/>
  <c r="AC102" i="1" s="1"/>
  <c r="AC103" i="1" s="1"/>
  <c r="AC104" i="1" s="1"/>
  <c r="AC105" i="1" s="1"/>
  <c r="AC106" i="1" s="1"/>
  <c r="AC107" i="1" s="1"/>
  <c r="AC108" i="1" s="1"/>
  <c r="AI42" i="1"/>
  <c r="Z99" i="1" l="1"/>
  <c r="Z100" i="1" s="1"/>
  <c r="Z101" i="1" s="1"/>
  <c r="Z102" i="1" s="1"/>
  <c r="Z103" i="1" s="1"/>
  <c r="Z104" i="1" s="1"/>
  <c r="AA99" i="1"/>
  <c r="AA100" i="1" s="1"/>
  <c r="AA101" i="1" s="1"/>
  <c r="AA102" i="1" s="1"/>
  <c r="AA103" i="1" s="1"/>
  <c r="AA104" i="1" s="1"/>
  <c r="AA105" i="1" s="1"/>
  <c r="AA106" i="1" s="1"/>
  <c r="AA107" i="1" s="1"/>
  <c r="AA108" i="1" s="1"/>
  <c r="F115" i="1" s="1"/>
  <c r="AD100" i="1"/>
  <c r="AD101" i="1" s="1"/>
  <c r="AD102" i="1" s="1"/>
  <c r="AD103" i="1" s="1"/>
  <c r="AD104" i="1" s="1"/>
  <c r="AD105" i="1" s="1"/>
  <c r="AD106" i="1" s="1"/>
  <c r="AD107" i="1" s="1"/>
  <c r="AD108" i="1" s="1"/>
  <c r="H93" i="1" s="1"/>
  <c r="E115" i="1" s="1"/>
  <c r="J94" i="1" l="1"/>
  <c r="Z105" i="1"/>
  <c r="Z106" i="1" s="1"/>
  <c r="Z107" i="1" s="1"/>
  <c r="Z108" i="1" s="1"/>
  <c r="F116" i="1" s="1"/>
  <c r="L51" i="1" l="1"/>
  <c r="L49" i="1"/>
  <c r="L52" i="1"/>
  <c r="AJ52" i="1" s="1"/>
  <c r="L48" i="1"/>
  <c r="AJ48" i="1" s="1"/>
  <c r="L50" i="1"/>
  <c r="AJ50" i="1" s="1"/>
  <c r="L47" i="1"/>
  <c r="AJ47" i="1" s="1"/>
  <c r="L41" i="1"/>
  <c r="AJ41" i="1" s="1"/>
  <c r="L44" i="1"/>
  <c r="AJ44" i="1" s="1"/>
  <c r="L45" i="1"/>
  <c r="AJ45" i="1" s="1"/>
  <c r="L46" i="1"/>
  <c r="AJ46" i="1" s="1"/>
  <c r="L43" i="1"/>
  <c r="AJ43" i="1" s="1"/>
  <c r="L42" i="1"/>
  <c r="AJ42" i="1" s="1"/>
  <c r="AJ51" i="1"/>
  <c r="AJ49" i="1"/>
  <c r="I71" i="2" l="1"/>
  <c r="I69" i="2"/>
  <c r="I72" i="2"/>
  <c r="I64" i="2"/>
  <c r="I66" i="2"/>
  <c r="I62" i="2"/>
  <c r="I70" i="2"/>
  <c r="I65" i="2"/>
  <c r="I67" i="2"/>
  <c r="I68" i="2"/>
  <c r="I63" i="2"/>
  <c r="I61" i="2"/>
  <c r="F117" i="1"/>
  <c r="J131" i="1" s="1"/>
  <c r="AK52" i="1" s="1"/>
  <c r="J126" i="1" l="1"/>
  <c r="AK47" i="1" s="1"/>
  <c r="J127" i="1"/>
  <c r="J129" i="1"/>
  <c r="J128" i="1"/>
  <c r="J125" i="1"/>
  <c r="AA154" i="1" s="1"/>
  <c r="H130" i="1"/>
  <c r="H121" i="1"/>
  <c r="F228" i="1"/>
  <c r="J228" i="1" s="1"/>
  <c r="AA160" i="1"/>
  <c r="J122" i="1"/>
  <c r="H126" i="1"/>
  <c r="H129" i="1"/>
  <c r="J130" i="1"/>
  <c r="AK51" i="1" s="1"/>
  <c r="H127" i="1"/>
  <c r="J123" i="1"/>
  <c r="J121" i="1"/>
  <c r="AK42" i="1" s="1"/>
  <c r="H125" i="1"/>
  <c r="H132" i="1"/>
  <c r="H124" i="1"/>
  <c r="J124" i="1"/>
  <c r="J120" i="1"/>
  <c r="AK41" i="1" s="1"/>
  <c r="H123" i="1"/>
  <c r="H128" i="1"/>
  <c r="H120" i="1"/>
  <c r="H122" i="1"/>
  <c r="H131" i="1"/>
  <c r="F223" i="1" l="1"/>
  <c r="J223" i="1" s="1"/>
  <c r="AA155" i="1"/>
  <c r="F220" i="1"/>
  <c r="J220" i="1" s="1"/>
  <c r="AK44" i="1"/>
  <c r="AA158" i="1"/>
  <c r="AK50" i="1"/>
  <c r="F221" i="1"/>
  <c r="J221" i="1" s="1"/>
  <c r="AK45" i="1"/>
  <c r="AA156" i="1"/>
  <c r="AK48" i="1"/>
  <c r="AA157" i="1"/>
  <c r="AK49" i="1"/>
  <c r="AA151" i="1"/>
  <c r="AK43" i="1"/>
  <c r="F222" i="1"/>
  <c r="J222" i="1" s="1"/>
  <c r="AK46" i="1"/>
  <c r="F226" i="1"/>
  <c r="J226" i="1" s="1"/>
  <c r="F224" i="1"/>
  <c r="J224" i="1" s="1"/>
  <c r="F225" i="1"/>
  <c r="J225" i="1" s="1"/>
  <c r="AA159" i="1"/>
  <c r="AA149" i="1"/>
  <c r="AA150" i="1"/>
  <c r="F219" i="1"/>
  <c r="J219" i="1" s="1"/>
  <c r="F227" i="1"/>
  <c r="J227" i="1" s="1"/>
  <c r="AA152" i="1"/>
  <c r="F218" i="1"/>
  <c r="J218" i="1" s="1"/>
  <c r="F217" i="1"/>
  <c r="J217" i="1" s="1"/>
  <c r="AA153" i="1"/>
  <c r="J132" i="1"/>
  <c r="AD150" i="1" s="1"/>
  <c r="AD159" i="1" l="1"/>
  <c r="AF159" i="1" s="1"/>
  <c r="AG159" i="1" s="1"/>
  <c r="AJ159" i="1" s="1"/>
  <c r="AK159" i="1" s="1"/>
  <c r="AL159" i="1" s="1"/>
  <c r="AM159" i="1" s="1"/>
  <c r="AK53" i="1"/>
  <c r="AA161" i="1"/>
  <c r="AD154" i="1"/>
  <c r="AF154" i="1" s="1"/>
  <c r="AG154" i="1" s="1"/>
  <c r="AI154" i="1" s="1"/>
  <c r="AD157" i="1"/>
  <c r="AF157" i="1" s="1"/>
  <c r="AG157" i="1" s="1"/>
  <c r="AD158" i="1"/>
  <c r="AF158" i="1" s="1"/>
  <c r="AG158" i="1" s="1"/>
  <c r="AD156" i="1"/>
  <c r="AF156" i="1" s="1"/>
  <c r="AG156" i="1" s="1"/>
  <c r="AD149" i="1"/>
  <c r="AF150" i="1"/>
  <c r="AG150" i="1" s="1"/>
  <c r="AD144" i="1"/>
  <c r="AD160" i="1"/>
  <c r="AF160" i="1" s="1"/>
  <c r="AG160" i="1" s="1"/>
  <c r="AD155" i="1"/>
  <c r="AF155" i="1" s="1"/>
  <c r="AG155" i="1" s="1"/>
  <c r="AI155" i="1" s="1"/>
  <c r="AD151" i="1"/>
  <c r="AF151" i="1" s="1"/>
  <c r="AG151" i="1" s="1"/>
  <c r="AI151" i="1" s="1"/>
  <c r="AD152" i="1"/>
  <c r="AF152" i="1" s="1"/>
  <c r="AG152" i="1" s="1"/>
  <c r="AI152" i="1" s="1"/>
  <c r="AD153" i="1"/>
  <c r="AF153" i="1" s="1"/>
  <c r="AG153" i="1" s="1"/>
  <c r="AI153" i="1" s="1"/>
  <c r="AI159" i="1" l="1"/>
  <c r="AF149" i="1"/>
  <c r="AG149" i="1" s="1"/>
  <c r="AI149" i="1" s="1"/>
  <c r="AD161" i="1"/>
  <c r="AI157" i="1"/>
  <c r="AI158" i="1"/>
  <c r="AI150" i="1"/>
  <c r="AI160" i="1"/>
  <c r="AI156" i="1"/>
  <c r="AF161" i="1" l="1"/>
  <c r="AG161" i="1"/>
  <c r="AJ158" i="1" s="1"/>
  <c r="AK158" i="1" s="1"/>
  <c r="AL158" i="1" s="1"/>
  <c r="AI161" i="1"/>
  <c r="AJ160" i="1"/>
  <c r="AK160" i="1" s="1"/>
  <c r="AL160" i="1" s="1"/>
  <c r="J159" i="1"/>
  <c r="R51" i="1" s="1"/>
  <c r="AJ149" i="1" l="1"/>
  <c r="AJ150" i="1"/>
  <c r="AK150" i="1" s="1"/>
  <c r="AL150" i="1" s="1"/>
  <c r="AM150" i="1" s="1"/>
  <c r="J150" i="1" s="1"/>
  <c r="R42" i="1" s="1"/>
  <c r="AJ151" i="1"/>
  <c r="AK151" i="1" s="1"/>
  <c r="AL151" i="1" s="1"/>
  <c r="AM151" i="1" s="1"/>
  <c r="J151" i="1" s="1"/>
  <c r="R43" i="1" s="1"/>
  <c r="AM158" i="1"/>
  <c r="J158" i="1" s="1"/>
  <c r="AM160" i="1"/>
  <c r="J160" i="1" s="1"/>
  <c r="R52" i="1" s="1"/>
  <c r="AL51" i="1"/>
  <c r="AJ155" i="1"/>
  <c r="AK155" i="1" s="1"/>
  <c r="AL155" i="1" s="1"/>
  <c r="AJ157" i="1"/>
  <c r="AK157" i="1" s="1"/>
  <c r="AL157" i="1" s="1"/>
  <c r="AJ156" i="1"/>
  <c r="AK156" i="1" s="1"/>
  <c r="AL156" i="1" s="1"/>
  <c r="K159" i="1"/>
  <c r="AL50" i="1" l="1"/>
  <c r="R50" i="1"/>
  <c r="F191" i="1"/>
  <c r="T51" i="1" s="1"/>
  <c r="G191" i="1"/>
  <c r="AK149" i="1"/>
  <c r="AL149" i="1" s="1"/>
  <c r="AM149" i="1" s="1"/>
  <c r="J149" i="1" s="1"/>
  <c r="AL43" i="1"/>
  <c r="K151" i="1"/>
  <c r="BC52" i="4"/>
  <c r="K160" i="1"/>
  <c r="AL52" i="1"/>
  <c r="BC59" i="4"/>
  <c r="K158" i="1"/>
  <c r="AL42" i="1"/>
  <c r="BC51" i="4"/>
  <c r="K150" i="1"/>
  <c r="AM156" i="1"/>
  <c r="J156" i="1" s="1"/>
  <c r="R48" i="1" s="1"/>
  <c r="AM157" i="1"/>
  <c r="J157" i="1" s="1"/>
  <c r="AM155" i="1"/>
  <c r="J155" i="1" s="1"/>
  <c r="R47" i="1" s="1"/>
  <c r="J71" i="2"/>
  <c r="U51" i="1" l="1"/>
  <c r="F182" i="1"/>
  <c r="T42" i="1" s="1"/>
  <c r="G182" i="1"/>
  <c r="F183" i="1"/>
  <c r="T43" i="1" s="1"/>
  <c r="G183" i="1"/>
  <c r="F190" i="1"/>
  <c r="T50" i="1" s="1"/>
  <c r="G190" i="1"/>
  <c r="K157" i="1"/>
  <c r="R49" i="1"/>
  <c r="F192" i="1"/>
  <c r="T52" i="1" s="1"/>
  <c r="G192" i="1"/>
  <c r="K149" i="1"/>
  <c r="R41" i="1"/>
  <c r="BC50" i="4"/>
  <c r="AL41" i="1"/>
  <c r="J63" i="2"/>
  <c r="AL48" i="1"/>
  <c r="BC57" i="4"/>
  <c r="K156" i="1"/>
  <c r="AL47" i="1"/>
  <c r="K155" i="1"/>
  <c r="AL49" i="1"/>
  <c r="U50" i="1" l="1"/>
  <c r="U43" i="1"/>
  <c r="J72" i="2"/>
  <c r="U42" i="1"/>
  <c r="J70" i="2"/>
  <c r="U52" i="1"/>
  <c r="J62" i="2"/>
  <c r="F187" i="1"/>
  <c r="U47" i="1" s="1"/>
  <c r="G187" i="1"/>
  <c r="F181" i="1"/>
  <c r="G181" i="1"/>
  <c r="F189" i="1"/>
  <c r="G189" i="1"/>
  <c r="F188" i="1"/>
  <c r="U48" i="1" s="1"/>
  <c r="G188" i="1"/>
  <c r="J67" i="2"/>
  <c r="T47" i="1" l="1"/>
  <c r="J68" i="2"/>
  <c r="T41" i="1"/>
  <c r="J61" i="2"/>
  <c r="U41" i="1"/>
  <c r="T48" i="1"/>
  <c r="T49" i="1"/>
  <c r="J69" i="2"/>
  <c r="U49" i="1"/>
  <c r="BC56" i="4"/>
  <c r="BC58" i="4"/>
  <c r="S42" i="1" l="1"/>
  <c r="W42" i="1" s="1"/>
  <c r="AM42" i="1"/>
  <c r="AN42" i="1" s="1"/>
  <c r="L62" i="2" l="1"/>
  <c r="I182" i="1"/>
  <c r="M62" i="2" s="1"/>
  <c r="AM44" i="1"/>
  <c r="I187" i="1"/>
  <c r="AM47" i="1"/>
  <c r="AN47" i="1" s="1"/>
  <c r="L68" i="2"/>
  <c r="AM48" i="1"/>
  <c r="AN48" i="1" s="1"/>
  <c r="L72" i="2"/>
  <c r="AM52" i="1"/>
  <c r="AN52" i="1" s="1"/>
  <c r="I189" i="1"/>
  <c r="AM49" i="1"/>
  <c r="AN49" i="1" s="1"/>
  <c r="L70" i="2"/>
  <c r="AM50" i="1"/>
  <c r="AN50" i="1" s="1"/>
  <c r="I191" i="1"/>
  <c r="AM51" i="1"/>
  <c r="AN51" i="1" s="1"/>
  <c r="S43" i="1"/>
  <c r="W43" i="1" s="1"/>
  <c r="AM43" i="1"/>
  <c r="AN43" i="1" s="1"/>
  <c r="AM46" i="1"/>
  <c r="AM45" i="1"/>
  <c r="S49" i="1" l="1"/>
  <c r="W49" i="1" s="1"/>
  <c r="I188" i="1"/>
  <c r="M68" i="2" s="1"/>
  <c r="AO42" i="1"/>
  <c r="S50" i="1"/>
  <c r="W50" i="1" s="1"/>
  <c r="I183" i="1"/>
  <c r="M63" i="2" s="1"/>
  <c r="I190" i="1"/>
  <c r="AO50" i="1" s="1"/>
  <c r="S48" i="1"/>
  <c r="W48" i="1" s="1"/>
  <c r="S52" i="1"/>
  <c r="W52" i="1" s="1"/>
  <c r="I192" i="1"/>
  <c r="M72" i="2" s="1"/>
  <c r="L63" i="2"/>
  <c r="L67" i="2"/>
  <c r="S51" i="1"/>
  <c r="W51" i="1" s="1"/>
  <c r="L71" i="2"/>
  <c r="M71" i="2"/>
  <c r="AO51" i="1"/>
  <c r="M69" i="2"/>
  <c r="AO49" i="1"/>
  <c r="M67" i="2"/>
  <c r="AO47" i="1"/>
  <c r="AM41" i="1"/>
  <c r="AN41" i="1" s="1"/>
  <c r="S47" i="1"/>
  <c r="W47" i="1" s="1"/>
  <c r="L69" i="2"/>
  <c r="I181" i="1"/>
  <c r="M70" i="2" l="1"/>
  <c r="AO48" i="1"/>
  <c r="AO43" i="1"/>
  <c r="AO52" i="1"/>
  <c r="M61" i="2"/>
  <c r="AO41" i="1"/>
  <c r="AM53" i="1"/>
  <c r="AM55" i="1" s="1"/>
  <c r="S41" i="1"/>
  <c r="W41" i="1" s="1"/>
  <c r="L61" i="2"/>
  <c r="J373" i="4" l="1"/>
  <c r="AJ153" i="1"/>
  <c r="AK153" i="1" s="1"/>
  <c r="AL153" i="1" s="1"/>
  <c r="AM153" i="1" s="1"/>
  <c r="J153" i="1" s="1"/>
  <c r="AJ154" i="1"/>
  <c r="AK154" i="1" s="1"/>
  <c r="AL154" i="1" s="1"/>
  <c r="AM154" i="1" s="1"/>
  <c r="J154" i="1" s="1"/>
  <c r="R46" i="1" s="1"/>
  <c r="AJ152" i="1"/>
  <c r="AK152" i="1" s="1"/>
  <c r="AL152" i="1" s="1"/>
  <c r="BC54" i="4" l="1"/>
  <c r="R45" i="1"/>
  <c r="AL161" i="1"/>
  <c r="AM161" i="1" s="1"/>
  <c r="AM152" i="1"/>
  <c r="J152" i="1" s="1"/>
  <c r="K154" i="1"/>
  <c r="G186" i="1" s="1"/>
  <c r="AL46" i="1"/>
  <c r="AN46" i="1" s="1"/>
  <c r="BC55" i="4"/>
  <c r="AK161" i="1"/>
  <c r="K153" i="1"/>
  <c r="G185" i="1" s="1"/>
  <c r="AL45" i="1"/>
  <c r="AN45" i="1" s="1"/>
  <c r="AL44" i="1" l="1"/>
  <c r="AN44" i="1" s="1"/>
  <c r="AN53" i="1" s="1"/>
  <c r="AN55" i="1" s="1"/>
  <c r="R44" i="1"/>
  <c r="R53" i="1" s="1"/>
  <c r="R56" i="1" s="1"/>
  <c r="J161" i="1"/>
  <c r="BC60" i="4" s="1"/>
  <c r="K152" i="1"/>
  <c r="BC53" i="4"/>
  <c r="F185" i="1"/>
  <c r="F186" i="1"/>
  <c r="AL53" i="1" l="1"/>
  <c r="AL55" i="1" s="1"/>
  <c r="K161" i="1"/>
  <c r="G184" i="1"/>
  <c r="F184" i="1"/>
  <c r="L66" i="2"/>
  <c r="S46" i="1"/>
  <c r="I186" i="1"/>
  <c r="L65" i="2"/>
  <c r="I185" i="1"/>
  <c r="S45" i="1"/>
  <c r="T45" i="1"/>
  <c r="U45" i="1"/>
  <c r="J65" i="2"/>
  <c r="T46" i="1"/>
  <c r="J66" i="2"/>
  <c r="U46" i="1"/>
  <c r="S44" i="1" l="1"/>
  <c r="I184" i="1"/>
  <c r="L64" i="2"/>
  <c r="L73" i="2" s="1"/>
  <c r="L75" i="2" s="1"/>
  <c r="G193" i="1"/>
  <c r="F193" i="1"/>
  <c r="T44" i="1"/>
  <c r="T53" i="1" s="1"/>
  <c r="T56" i="1" s="1"/>
  <c r="U44" i="1"/>
  <c r="J64" i="2"/>
  <c r="W45" i="1"/>
  <c r="AO45" i="1"/>
  <c r="M65" i="2"/>
  <c r="AO46" i="1"/>
  <c r="M66" i="2"/>
  <c r="W46" i="1"/>
  <c r="H178" i="1" l="1"/>
  <c r="W44" i="1"/>
  <c r="G197" i="1"/>
  <c r="U53" i="1"/>
  <c r="J73" i="2"/>
  <c r="AO44" i="1"/>
  <c r="M64" i="2"/>
  <c r="I193" i="1"/>
  <c r="AO53" i="1" s="1"/>
  <c r="AO55" i="1" s="1"/>
  <c r="S53" i="1"/>
  <c r="I195" i="1"/>
  <c r="Z61" i="1"/>
  <c r="P73" i="2" l="1"/>
  <c r="M74" i="2"/>
  <c r="S56" i="1"/>
  <c r="T61" i="1" s="1"/>
  <c r="W53" i="1"/>
  <c r="AK54" i="1"/>
  <c r="AK55" i="1" s="1"/>
  <c r="F195" i="1"/>
  <c r="AO54" i="1"/>
  <c r="M73" i="2"/>
  <c r="J74" i="2" s="1"/>
  <c r="J75" i="2" s="1"/>
  <c r="U55" i="1"/>
  <c r="K71" i="2" l="1"/>
  <c r="K63" i="2"/>
  <c r="K68" i="2"/>
  <c r="K64" i="2"/>
  <c r="K69" i="2"/>
  <c r="K70" i="2"/>
  <c r="K66" i="2"/>
  <c r="K72" i="2"/>
  <c r="K67" i="2"/>
  <c r="F229" i="1"/>
  <c r="F197" i="1"/>
  <c r="U56" i="1" s="1"/>
  <c r="K65" i="2"/>
  <c r="M75" i="2"/>
  <c r="K62" i="2"/>
  <c r="K74" i="2"/>
  <c r="K61" i="2"/>
  <c r="K73" i="2" l="1"/>
  <c r="V48" i="1"/>
  <c r="V42" i="1"/>
  <c r="V44" i="1"/>
  <c r="V50" i="1"/>
  <c r="V51" i="1"/>
  <c r="V45" i="1"/>
  <c r="V49" i="1"/>
  <c r="T60" i="1"/>
  <c r="V41" i="1"/>
  <c r="V46" i="1"/>
  <c r="V55" i="1"/>
  <c r="V47" i="1"/>
  <c r="V52" i="1"/>
  <c r="V43" i="1"/>
  <c r="J229" i="1"/>
  <c r="F230" i="1"/>
  <c r="V53" i="1" l="1"/>
  <c r="V5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Stillich</author>
    <author>Shirley</author>
  </authors>
  <commentList>
    <comment ref="H30" authorId="0" shapeId="0" xr:uid="{15F02E1C-0D89-43E6-BACC-9AC64CCF80A9}">
      <text>
        <r>
          <rPr>
            <sz val="9"/>
            <color indexed="81"/>
            <rFont val="Tahoma"/>
            <family val="2"/>
          </rPr>
          <t>10% seems to work best.</t>
        </r>
      </text>
    </comment>
    <comment ref="H32" authorId="0" shapeId="0" xr:uid="{00000000-0006-0000-0000-000001000000}">
      <text>
        <r>
          <rPr>
            <sz val="10"/>
            <color indexed="81"/>
            <rFont val="Tahoma"/>
            <family val="2"/>
          </rPr>
          <t>The Party List formula is not designed to go much higher than 10% more Members of Parliament; otherwise, the number of Members added to under-represented parties may result in some votes per Member of less than 1.0 full vote.
N.B. Even with List seats set to zero, a single seat is awarded to parties that elect no one but meet the popular vote threshold for representation in the parliament/legislature/assembly.</t>
        </r>
      </text>
    </comment>
    <comment ref="S268" authorId="1" shapeId="0" xr:uid="{A94D7A48-9A5D-47B9-B633-6D5D9FAB34EC}">
      <text>
        <r>
          <rPr>
            <sz val="9"/>
            <color indexed="81"/>
            <rFont val="Tahoma"/>
            <family val="2"/>
          </rPr>
          <t>Votes per Members in this column.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author>
    <author>John Stillich</author>
  </authors>
  <commentList>
    <comment ref="E264" authorId="0" shapeId="0" xr:uid="{00000000-0006-0000-0200-000001000000}">
      <text>
        <r>
          <rPr>
            <sz val="9"/>
            <color indexed="81"/>
            <rFont val="Tahoma"/>
            <family val="2"/>
          </rPr>
          <t>34,617 for Speaker, 17,689 for Sylvia Hermon</t>
        </r>
      </text>
    </comment>
    <comment ref="D338" authorId="1" shapeId="0" xr:uid="{00000000-0006-0000-0200-000002000000}">
      <text>
        <r>
          <rPr>
            <sz val="9"/>
            <color indexed="81"/>
            <rFont val="Tahoma"/>
            <family val="2"/>
          </rPr>
          <t>The Australian electoral system uses a ranking system to identify two main parties.  The Liberal/National Coalition received enugh votes to form the government, with 76 out of 150 seats.</t>
        </r>
      </text>
    </comment>
  </commentList>
</comments>
</file>

<file path=xl/sharedStrings.xml><?xml version="1.0" encoding="utf-8"?>
<sst xmlns="http://schemas.openxmlformats.org/spreadsheetml/2006/main" count="948" uniqueCount="495">
  <si>
    <t>Independents</t>
  </si>
  <si>
    <t xml:space="preserve"> </t>
  </si>
  <si>
    <t>Do Not Erase</t>
  </si>
  <si>
    <t>Totals</t>
  </si>
  <si>
    <t>Total for Parties</t>
  </si>
  <si>
    <t>=</t>
  </si>
  <si>
    <t>X</t>
  </si>
  <si>
    <t xml:space="preserve"> =</t>
  </si>
  <si>
    <t>Additional Seats Awarded</t>
  </si>
  <si>
    <t xml:space="preserve"> % of Popular  Vote for Eligible Parties</t>
  </si>
  <si>
    <t>Total for All Parties</t>
  </si>
  <si>
    <t>Party Members Elected</t>
  </si>
  <si>
    <t xml:space="preserve">Total </t>
  </si>
  <si>
    <t>Total popular Vote</t>
  </si>
  <si>
    <t xml:space="preserve">As shown by the example below, the </t>
  </si>
  <si>
    <t>Members of Parliament Elected</t>
  </si>
  <si>
    <t>divided by its</t>
  </si>
  <si>
    <t>Other parties</t>
  </si>
  <si>
    <t>% of Seats</t>
  </si>
  <si>
    <t>STEP 1:</t>
  </si>
  <si>
    <t>STEP 2:</t>
  </si>
  <si>
    <t>STEP 3:</t>
  </si>
  <si>
    <t>STEP 4:</t>
  </si>
  <si>
    <t>No other inputs are needed.</t>
  </si>
  <si>
    <t>Conservative Party</t>
  </si>
  <si>
    <t>Liberal Party</t>
  </si>
  <si>
    <t>Bloc Quebecois</t>
  </si>
  <si>
    <t>Christian Heritage Party</t>
  </si>
  <si>
    <t>Marxist-Leninist Party</t>
  </si>
  <si>
    <t>Progressive Canadian Party</t>
  </si>
  <si>
    <t>Libertarian Party</t>
  </si>
  <si>
    <t>New Democratic Party</t>
  </si>
  <si>
    <t>Green Party</t>
  </si>
  <si>
    <r>
      <t>Political Parties</t>
    </r>
    <r>
      <rPr>
        <sz val="12"/>
        <rFont val="Arial"/>
        <family val="2"/>
      </rPr>
      <t xml:space="preserve"> </t>
    </r>
  </si>
  <si>
    <t xml:space="preserve">    Total for Parties</t>
  </si>
  <si>
    <t>2011 Canada General Election</t>
  </si>
  <si>
    <t>(Name of Election Scenario)</t>
  </si>
  <si>
    <t>Family Coalition Party</t>
  </si>
  <si>
    <t>Freedom Party</t>
  </si>
  <si>
    <t>Ontario Liberal Party</t>
  </si>
  <si>
    <t>Progressive Conservative Party of Ontario</t>
  </si>
  <si>
    <t>2011 Ontario General Election</t>
  </si>
  <si>
    <t>2012 Quebec General Election (Sept. 4)</t>
  </si>
  <si>
    <t>Parti québécois (P.Q.)</t>
  </si>
  <si>
    <t>Parti libéral du Québec/Quebec Liberal Party (P.L.Q./Q.L.P.)</t>
  </si>
  <si>
    <t>Coalition avenir Québec - L'équipe François Legault (C.A.Q.-É.F.L.)</t>
  </si>
  <si>
    <t>Québec solidaire (Q.S.)</t>
  </si>
  <si>
    <t>Option nationale (O.N.)</t>
  </si>
  <si>
    <t>Parti vert du Québec/Green Party of Québec (P.V.Q./G.P.Q.)</t>
  </si>
  <si>
    <t>Parti conservateur du Québec (P.CO.Q.)</t>
  </si>
  <si>
    <t>Coalition pour la constituante (C.C.)</t>
  </si>
  <si>
    <t>Parti nul (P.N.)</t>
  </si>
  <si>
    <t>2012 Alberta General Election (April 23)</t>
  </si>
  <si>
    <t>Alberta Liberal Party</t>
  </si>
  <si>
    <t>Alberta New Democrats</t>
  </si>
  <si>
    <t>Alberta Party</t>
  </si>
  <si>
    <t>Evergreen Party</t>
  </si>
  <si>
    <t>Progressive Conservative Party</t>
  </si>
  <si>
    <t>Wildrose Party</t>
  </si>
  <si>
    <t>Alberta Social Credit Party</t>
  </si>
  <si>
    <t>Communist Party of Alberta</t>
  </si>
  <si>
    <t>Separation Party</t>
  </si>
  <si>
    <t>Others</t>
  </si>
  <si>
    <t>2010 UK General Election</t>
  </si>
  <si>
    <t>Labour Party</t>
  </si>
  <si>
    <t>Liberal Democratic Party</t>
  </si>
  <si>
    <t>Democratic Unionist</t>
  </si>
  <si>
    <t>Sinn Fein</t>
  </si>
  <si>
    <t>Social Democratic &amp; Labour Party</t>
  </si>
  <si>
    <t>Speaker</t>
  </si>
  <si>
    <t>Totals (per UK electoral commission)</t>
  </si>
  <si>
    <t>% of Total Seats</t>
  </si>
  <si>
    <t>% of Popular Vote</t>
  </si>
  <si>
    <t>Scottish national Party</t>
  </si>
  <si>
    <t>Alliance Party of N. Ireland</t>
  </si>
  <si>
    <t>UK Independence Party</t>
  </si>
  <si>
    <t>Plaid Cymru</t>
  </si>
  <si>
    <t>British National Party</t>
  </si>
  <si>
    <t>Independents *</t>
  </si>
  <si>
    <t>* One independent elected with 175,604 votes; 4 others with minor support.</t>
  </si>
  <si>
    <t>official total</t>
  </si>
  <si>
    <r>
      <t xml:space="preserve">Other parties </t>
    </r>
    <r>
      <rPr>
        <sz val="10"/>
        <rFont val="Arial"/>
        <family val="2"/>
      </rPr>
      <t>(121 parties)</t>
    </r>
  </si>
  <si>
    <t>votes.</t>
  </si>
  <si>
    <t>Excluded</t>
  </si>
  <si>
    <t>2009 Germany General Election (Constituency Results only)</t>
  </si>
  <si>
    <t>Christian Democratic Union (CDU)</t>
  </si>
  <si>
    <t>Social Democratic Party (SPD)</t>
  </si>
  <si>
    <t>Free Democratic Party</t>
  </si>
  <si>
    <t>The Left (Die Linke)</t>
  </si>
  <si>
    <t>Alliance '90/The Greens</t>
  </si>
  <si>
    <t>Christian Social Union of Bavaria</t>
  </si>
  <si>
    <t>National Democratic Party (NPD)</t>
  </si>
  <si>
    <t>Ecological Democratic Party</t>
  </si>
  <si>
    <t xml:space="preserve">Invalid vosts cast </t>
  </si>
  <si>
    <t>List members</t>
  </si>
  <si>
    <t>2013 Germany General Election (Constituency Results only)</t>
  </si>
  <si>
    <t>Pirate Party</t>
  </si>
  <si>
    <t>Alternative for Germany</t>
  </si>
  <si>
    <t>Other Parties</t>
  </si>
  <si>
    <t>NDP</t>
  </si>
  <si>
    <t>BC Conservatives</t>
  </si>
  <si>
    <t>2013 British Columbia General Election</t>
  </si>
  <si>
    <t>Note:  The popular vote total includes votes for unsuccessful independent candidates; split is not readily available.</t>
  </si>
  <si>
    <t>Note:  The popular vote total is that for Vicki Huntington, the only successful Infependent candidate.</t>
  </si>
  <si>
    <t>Parti libéral du Québec / Quebec Liberal Party (P.L.Q./Q.L.P.)</t>
  </si>
  <si>
    <t>Coalition Avenir Québec</t>
  </si>
  <si>
    <t>Québec Solidaire (Q.S.)</t>
  </si>
  <si>
    <t>Option Nationale (O.N.)</t>
  </si>
  <si>
    <t>2014 Quebec General Election</t>
  </si>
  <si>
    <t>Parti Conservateur du Quebec</t>
  </si>
  <si>
    <t>All other parties</t>
  </si>
  <si>
    <t>Results of some previous elections are shown below.  Additional matrices are added at the bottom for more inputs, as desired.</t>
  </si>
  <si>
    <t>voter turnout</t>
  </si>
  <si>
    <t>of eligible voters cast ballots for the Conservative Party</t>
  </si>
  <si>
    <t>NL</t>
  </si>
  <si>
    <t>PEI</t>
  </si>
  <si>
    <t>MPs Elected</t>
  </si>
  <si>
    <t>NS</t>
  </si>
  <si>
    <t>NB</t>
  </si>
  <si>
    <t>Que.</t>
  </si>
  <si>
    <t>Ont.</t>
  </si>
  <si>
    <t>Manit.</t>
  </si>
  <si>
    <t>Sask.</t>
  </si>
  <si>
    <t>Alta.</t>
  </si>
  <si>
    <t>BC</t>
  </si>
  <si>
    <t>YT</t>
  </si>
  <si>
    <t>NWT</t>
  </si>
  <si>
    <t>NV</t>
  </si>
  <si>
    <t>Total</t>
  </si>
  <si>
    <t>MPs if PR</t>
  </si>
  <si>
    <t>Party List Members</t>
  </si>
  <si>
    <t>2014 Ontario General Election</t>
  </si>
  <si>
    <t>Communist Party</t>
  </si>
  <si>
    <t>None of the Above Party</t>
  </si>
  <si>
    <t>Ontario Libertarian Party</t>
  </si>
  <si>
    <t>PC Party</t>
  </si>
  <si>
    <t>2014 Geneal Election</t>
  </si>
  <si>
    <t>Vote</t>
  </si>
  <si>
    <t>Seats</t>
  </si>
  <si>
    <t>2015 ByElection</t>
  </si>
  <si>
    <t>Less 2014 Sudbury</t>
  </si>
  <si>
    <t>Feb 7 2015 Standings</t>
  </si>
  <si>
    <t>lalonde</t>
  </si>
  <si>
    <t>cimino</t>
  </si>
  <si>
    <t>Olivier</t>
  </si>
  <si>
    <t>Wilson</t>
  </si>
  <si>
    <t>Peroni</t>
  </si>
  <si>
    <t>popescu</t>
  </si>
  <si>
    <t>Thibeault</t>
  </si>
  <si>
    <t>Shawbungquit</t>
  </si>
  <si>
    <t>Robinson</t>
  </si>
  <si>
    <t>Other</t>
  </si>
  <si>
    <t>Olivier et al</t>
  </si>
  <si>
    <t>peroni</t>
  </si>
  <si>
    <t>2014 Ontario General Election + Sudbury ByElection</t>
  </si>
  <si>
    <t>(rounded)</t>
  </si>
  <si>
    <t xml:space="preserve">Minimum Votes for true Majority </t>
  </si>
  <si>
    <t>Ulster Unionist Party</t>
  </si>
  <si>
    <t>2015 UK General Election</t>
  </si>
  <si>
    <t>Totals (may not be precise)</t>
  </si>
  <si>
    <t>Independents &amp; Speaker</t>
  </si>
  <si>
    <t>"Other Parties" total is adjusted downward from actual 668,195, to simplify calculations of MPs.</t>
  </si>
  <si>
    <t>"Other Parties" adjusted downward from actual 329,051 to simplify calculations of number of MPs.</t>
  </si>
  <si>
    <t>Fine Gael</t>
  </si>
  <si>
    <t>Fianna Fail</t>
  </si>
  <si>
    <t>Socialist Party</t>
  </si>
  <si>
    <t>2011 Irish General Election (Using STV)</t>
  </si>
  <si>
    <t>People Before Profit</t>
  </si>
  <si>
    <t>Workers &amp; Unemployed Action</t>
  </si>
  <si>
    <t>South Kerry Independent</t>
  </si>
  <si>
    <t>Workers Party</t>
  </si>
  <si>
    <t>Christian Solidarity</t>
  </si>
  <si>
    <t>Fis Nua</t>
  </si>
  <si>
    <t>Example Scenario</t>
  </si>
  <si>
    <t>Labour Democratic Party</t>
  </si>
  <si>
    <t>Sunrise Party</t>
  </si>
  <si>
    <t>Quebec First Party</t>
  </si>
  <si>
    <t>First Nations Party</t>
  </si>
  <si>
    <t>Other Party</t>
  </si>
  <si>
    <t>Votes for winning candidates</t>
  </si>
  <si>
    <t>Votes for non-winning candidates</t>
  </si>
  <si>
    <t>Women of Canada</t>
  </si>
  <si>
    <t>average</t>
  </si>
  <si>
    <t>Average</t>
  </si>
  <si>
    <t>of seats</t>
  </si>
  <si>
    <t>Parl. Vote Entltmt of all Eligible Parties</t>
  </si>
  <si>
    <t>avg. parl vote per elected MP</t>
  </si>
  <si>
    <t>Rhinocerous Party</t>
  </si>
  <si>
    <t>Votes cast for winners</t>
  </si>
  <si>
    <t>Votes cast for non-winners</t>
  </si>
  <si>
    <t>2015 Canada General Election</t>
  </si>
  <si>
    <t>% of Popular Vote for Eligible Parties</t>
  </si>
  <si>
    <t>If pop vote is &lt; thrshld,0,1</t>
  </si>
  <si>
    <t>if List allowance is 0 and no one elected, party is excluded</t>
  </si>
  <si>
    <t>Pop Vote if Thrshld + elected &gt;0</t>
  </si>
  <si>
    <t>Final Eligibility</t>
  </si>
  <si>
    <t>Additional Seats Awarded:</t>
  </si>
  <si>
    <t>Eligibility = parties w less than</t>
  </si>
  <si>
    <t>Australia Labor Party</t>
  </si>
  <si>
    <t>Austrailian Greens</t>
  </si>
  <si>
    <t>Liberal/National Coalition:</t>
  </si>
  <si>
    <t>Liberal Party of Australia</t>
  </si>
  <si>
    <t>Liberal National Party</t>
  </si>
  <si>
    <t>National Party of Australia</t>
  </si>
  <si>
    <t>Country Liberal Party</t>
  </si>
  <si>
    <t>Nick Xenophon Team</t>
  </si>
  <si>
    <t>Katter's Austrailian Party</t>
  </si>
  <si>
    <t>Palmer United Party</t>
  </si>
  <si>
    <t>Votes for winners &amp; non-winners</t>
  </si>
  <si>
    <t xml:space="preserve">Total popular Vote </t>
  </si>
  <si>
    <t>2016 Australian Federal Election</t>
  </si>
  <si>
    <t>Ratio</t>
  </si>
  <si>
    <t>(Insert a name for your scenario)</t>
  </si>
  <si>
    <t>At the Ballot Box:</t>
  </si>
  <si>
    <t xml:space="preserve">Party List top-up seats for allocation </t>
  </si>
  <si>
    <t>to parties with less than</t>
  </si>
  <si>
    <t>Threshold + Elected</t>
  </si>
  <si>
    <t>TOTALS</t>
  </si>
  <si>
    <t>At the ballot box in each voting district, all registered political parties are listed, including those without a candidate in the district.  All registered candidates, including those without party affiliation, are listed.</t>
  </si>
  <si>
    <t xml:space="preserve">If there is a by-election to fill a vacant seat, the popular vote results of the by-election replace those of the previous election, and the overall voting power in parliament is recalculated.  Normally, the change would be very minor. </t>
  </si>
  <si>
    <t>BC Liberal Party</t>
  </si>
  <si>
    <t>BC Conservative Party</t>
  </si>
  <si>
    <t>Popular Vote % for Parties</t>
  </si>
  <si>
    <t>To Begin, scroll to top.</t>
  </si>
  <si>
    <t>Full results - June 8 2017 UK General Election</t>
  </si>
  <si>
    <t>Party</t>
  </si>
  <si>
    <t>seats</t>
  </si>
  <si>
    <t>votes</t>
  </si>
  <si>
    <t>share (%)</t>
  </si>
  <si>
    <t>change (%)</t>
  </si>
  <si>
    <t>gain</t>
  </si>
  <si>
    <t>loss</t>
  </si>
  <si>
    <t>net</t>
  </si>
  <si>
    <t> Conservative</t>
  </si>
  <si>
    <t> Labour</t>
  </si>
  <si>
    <t> Scottish National Party</t>
  </si>
  <si>
    <t> Liberal Democrat</t>
  </si>
  <si>
    <t> Democratic Unionist Party</t>
  </si>
  <si>
    <t> Sinn Féin</t>
  </si>
  <si>
    <t> Plaid Cymru</t>
  </si>
  <si>
    <t> Green</t>
  </si>
  <si>
    <t> Ind</t>
  </si>
  <si>
    <t> Ulster Unionist Party</t>
  </si>
  <si>
    <t> Social Democratic and Labour Party</t>
  </si>
  <si>
    <t> UK Independence Party</t>
  </si>
  <si>
    <t> Other</t>
  </si>
  <si>
    <t>UK June 8 2017 General Election</t>
  </si>
  <si>
    <t>Votes for winners (Kensington)</t>
  </si>
  <si>
    <t>N.B. Figures not roken out by candidate.  For Kensington, use 25,000</t>
  </si>
  <si>
    <t>Party List seats: No more than</t>
  </si>
  <si>
    <t>of seats.</t>
  </si>
  <si>
    <t>Threshold for representation:</t>
  </si>
  <si>
    <t>Votes for winners</t>
  </si>
  <si>
    <t>Jack</t>
  </si>
  <si>
    <t>Leona</t>
  </si>
  <si>
    <t>Moira</t>
  </si>
  <si>
    <t>John</t>
  </si>
  <si>
    <t>Ahmed</t>
  </si>
  <si>
    <t>Mark</t>
  </si>
  <si>
    <t>Sandy</t>
  </si>
  <si>
    <t>Yitzak</t>
  </si>
  <si>
    <t>Phillip</t>
  </si>
  <si>
    <t>Remaining Distributon</t>
  </si>
  <si>
    <t>Boris</t>
  </si>
  <si>
    <t>Ginette</t>
  </si>
  <si>
    <t>Party Entitlement</t>
  </si>
  <si>
    <t>Edward</t>
  </si>
  <si>
    <t>Helmut</t>
  </si>
  <si>
    <t>Madison</t>
  </si>
  <si>
    <t>Jagmeet</t>
  </si>
  <si>
    <t>Based on legislated pre-set limits, in this case:</t>
  </si>
  <si>
    <t xml:space="preserve">Representation by gender, ethnicity, culture or other component of society is indirectly supported by competition from new parties, and a recognition by existing parties that the votes of all parts of society count directly towards parliamentary power.  </t>
  </si>
  <si>
    <t>SUMMARY</t>
  </si>
  <si>
    <t>Independent MPs</t>
  </si>
  <si>
    <t>Total Popular Vote</t>
  </si>
  <si>
    <t xml:space="preserve">Total Popular Vote </t>
  </si>
  <si>
    <t>of all seats, and only for parties with less than</t>
  </si>
  <si>
    <t>Seats they have</t>
  </si>
  <si>
    <t>Seats eligible parties should have</t>
  </si>
  <si>
    <t>Shortfall</t>
  </si>
  <si>
    <t>Reduce to Max allowed</t>
  </si>
  <si>
    <t>2017 BC General Election</t>
  </si>
  <si>
    <t>BC New Democratic Party</t>
  </si>
  <si>
    <t>BC Green Party</t>
  </si>
  <si>
    <t>BC Libertarian Party</t>
  </si>
  <si>
    <t>Eligible for List MPs?</t>
  </si>
  <si>
    <t>Basic Allotment for Parties with no MPs</t>
  </si>
  <si>
    <t>Remaining Allocation</t>
  </si>
  <si>
    <t>Total Party List MPs</t>
  </si>
  <si>
    <t xml:space="preserve">Round </t>
  </si>
  <si>
    <t>Save:</t>
  </si>
  <si>
    <t>otherwise, type 'N'.</t>
  </si>
  <si>
    <t>Alternative Party Vote Distribution:</t>
  </si>
  <si>
    <t>Members "Crossing the Floor" or voting contrary to party discipline</t>
  </si>
  <si>
    <t>This interactive file enables election results to be calculated instantly as returns from polling stations become available on Election Day.  Input your own election scenario below, or view the example given.</t>
  </si>
  <si>
    <t>--- How It Works ---</t>
  </si>
  <si>
    <t>INPUT A SCENARIO (IN BLUE AREAS ONLY)</t>
  </si>
  <si>
    <t>(Input your election scenario in the blue areas below)</t>
  </si>
  <si>
    <t>is the most advantaged party, with a positive Ratio of</t>
  </si>
  <si>
    <t>select</t>
  </si>
  <si>
    <t xml:space="preserve">of the total number of seats, and have </t>
  </si>
  <si>
    <t>Voter participation is likely to increase (No more "What's the use? The system is rigged.").</t>
  </si>
  <si>
    <t>of the overall popular vote to be</t>
  </si>
  <si>
    <t>Ratio Seats to Pop Vote</t>
  </si>
  <si>
    <t>Seat calc</t>
  </si>
  <si>
    <t>PopVote Share Calc</t>
  </si>
  <si>
    <t>Most Advantaged Party</t>
  </si>
  <si>
    <t>Elected</t>
  </si>
  <si>
    <t>Winners are determined by plurality: the candidate who receives more votes than any other candidate in the district becomes the sole Member of the federal or provincial parliament for the district.</t>
  </si>
  <si>
    <t>October 1, 2018 Quebec General Election</t>
  </si>
  <si>
    <t>Yvette</t>
  </si>
  <si>
    <t>If not elected, must meet a min. threshold for List MNAs of</t>
  </si>
  <si>
    <t>If MNAs elected &gt;0,1, otherwise 0</t>
  </si>
  <si>
    <t>Max. No. of List MNAs =</t>
  </si>
  <si>
    <t>Elected MNAs of parties w &lt; X% seats</t>
  </si>
  <si>
    <t>If List MNA allowance = 0,0,1)</t>
  </si>
  <si>
    <t>So, how does the process of achieving proportionality work?....</t>
  </si>
  <si>
    <t>Members of Parliament/Assembly elected</t>
  </si>
  <si>
    <t>Parti Libéral du Québec  (P.L.Q.)</t>
  </si>
  <si>
    <t>The total number of votes in the Parliament or Assembly for eligible political parties is then electronically determined by dividing the number of seats won by the most advantaged party by the percent of the popular vote it received in the election.</t>
  </si>
  <si>
    <t>STEP 6:</t>
  </si>
  <si>
    <t>Votes in Committee per Member</t>
  </si>
  <si>
    <t xml:space="preserve"> of Members are 'list' Members.</t>
  </si>
  <si>
    <t>For each of the Members who are Independents, a fair share of their voting power is calculated as the average Voting Power for all parties divided by the number of party Members.  In the example,</t>
  </si>
  <si>
    <t xml:space="preserve">each elected Independent MP would have </t>
  </si>
  <si>
    <t>Existing district boundaries are maintained, and voters select a single candidate or party to represent them in the Parliament.   If the party is not fielding a candidate in the district, the party's name remains on the ballot to enable voters to choose that party.  Independent candidates in the district are also listed.</t>
  </si>
  <si>
    <t xml:space="preserve">  Party Members Elected  </t>
  </si>
  <si>
    <t>% of All Elected Members Won</t>
  </si>
  <si>
    <t>This total number of Parliamentary Votes is then multiplied by the percent of the overall popular vote received by each party to determine the vote entitlement for each party.  Results normally include fractions of a vote.</t>
  </si>
  <si>
    <t>Total No. of Members</t>
  </si>
  <si>
    <t>Number of Members Elected</t>
  </si>
  <si>
    <t xml:space="preserve">Total Members </t>
  </si>
  <si>
    <t>No. of Members Elected</t>
  </si>
  <si>
    <t>% of All Elected Members</t>
  </si>
  <si>
    <t>Voters choose a single candidate or party to represent them.  The candidate receiving more votes than any other becomes the only Member of Parliament for the district.</t>
  </si>
  <si>
    <t>Elected Members who have no party affiliation have a vote in Parliament equal to the overall average parliamentary vote per party Member.</t>
  </si>
  <si>
    <t>Full proportional representation is achieved without changes to district boundaries or district magnitudes.  One Member of Parliament is elected for each electoral district.</t>
  </si>
  <si>
    <t>Pop. vote</t>
  </si>
  <si>
    <t xml:space="preserve"> of total seats in the parliament.</t>
  </si>
  <si>
    <t>Election results as compiled from polling stations</t>
  </si>
  <si>
    <t>Votes for non-winners</t>
  </si>
  <si>
    <t>The most advantaged political party -- being the one with the highest percent share of all Members of  Parliament (or a Legislature or Assembly) relative to its percent share of the popular vote -- is then determined, by dividing the percent of Members won by each party by the percent of the popular vote which that party received.  The highest ratio identifies the most advantaged party.</t>
  </si>
  <si>
    <t>Scottish National Party</t>
  </si>
  <si>
    <t>Liberal Democrats</t>
  </si>
  <si>
    <t>Democratic Unionist Party</t>
  </si>
  <si>
    <t>Sinn Féin</t>
  </si>
  <si>
    <t>Brexit Party</t>
  </si>
  <si>
    <t>December 2019 UK General Election</t>
  </si>
  <si>
    <t>People's Party</t>
  </si>
  <si>
    <t>October 2019 Canada Election</t>
  </si>
  <si>
    <t>Elected MPs  (1)</t>
  </si>
  <si>
    <t>Popular Vote  (1)</t>
  </si>
  <si>
    <t>% of all Votes</t>
  </si>
  <si>
    <t>% of All Seats</t>
  </si>
  <si>
    <t>Ratio of Seats to Popular Vote (3)</t>
  </si>
  <si>
    <t>Most Advan-taged Party (3)</t>
  </si>
  <si>
    <t>Party List Top-Up MPs (4)**</t>
  </si>
  <si>
    <t>Parliamen-tary Vote Entitlement (3) *</t>
  </si>
  <si>
    <t>** Instantly calculated for (in this example) parties with less than 5% of all seats, and limited to an addition of 15% of all seats.</t>
  </si>
  <si>
    <t>Regio-nal MPs (5)</t>
  </si>
  <si>
    <t>Average Vote Per MP (6)</t>
  </si>
  <si>
    <t>Independent MP</t>
  </si>
  <si>
    <t>Total Number of MPs (6)</t>
  </si>
  <si>
    <t>n/a</t>
  </si>
  <si>
    <t xml:space="preserve">*  Instantly calculated from Party D:  15 seats div.by 6.5% of Votes for parties = 230.0.  230.0 is then multiplied by each party's % of its popular vote. </t>
  </si>
  <si>
    <r>
      <rPr>
        <b/>
        <sz val="14"/>
        <rFont val="Arial"/>
        <family val="2"/>
      </rPr>
      <t>Summary</t>
    </r>
    <r>
      <rPr>
        <sz val="10"/>
        <rFont val="Arial"/>
        <family val="2"/>
      </rPr>
      <t xml:space="preserve"> (Read left to right)</t>
    </r>
  </si>
  <si>
    <t>SVPR adjusts to reflect the popular vote.</t>
  </si>
  <si>
    <t>A few more inputs to set your scenario (or just view the example shown):</t>
  </si>
  <si>
    <t>Members in Committee (Input)</t>
  </si>
  <si>
    <t>The table below shows a summary of the SVPR scenario based on data inputted on the "HowItWorks" page.  Note how the parliamentary voting power of MPs of under-represented parties is increased so that it closely reflects the overall popular vote (compare yellow areas).  A few MPs are added to the most under-represented parties.</t>
  </si>
  <si>
    <r>
      <t xml:space="preserve">(Note:  A summary table of inputs from the </t>
    </r>
    <r>
      <rPr>
        <b/>
        <u/>
        <sz val="12"/>
        <rFont val="Arial"/>
        <family val="2"/>
      </rPr>
      <t>HowItWorks</t>
    </r>
    <r>
      <rPr>
        <sz val="12"/>
        <rFont val="Arial"/>
        <family val="2"/>
      </rPr>
      <t xml:space="preserve"> page is shown below)</t>
    </r>
  </si>
  <si>
    <t>www.makedemocracybetter.com</t>
  </si>
  <si>
    <t>The Simple Vote PR system can also add top-up Members for the most under-represented parties, as follows:</t>
  </si>
  <si>
    <t>Simple Vote PR Electoral Method (SVPR) -- SUMMARY FOR:</t>
  </si>
  <si>
    <t>The Simple Vote PR electoral method was devised by John Stillich.  He can be reached by telephone at 705-294-4110, or at johnstillich@rogers.com.</t>
  </si>
  <si>
    <t xml:space="preserve">Each eligible political party may be awarded top-up seats via Party Lists if the party won less than its proportionate share of seats.  The total number of List seats awarded is held to a maximum overall number based on the pre-selected percentage that you inputted above. </t>
  </si>
  <si>
    <t>eligible for representation.  You may wish to add some top-up Party List Members to improve proportionality.  If so, fill in the percentage values in the two boxes below.  Otherwise, set the values to zero.</t>
  </si>
  <si>
    <t>2021 Nova Scotia General Election</t>
  </si>
  <si>
    <t>Atlantica</t>
  </si>
  <si>
    <t>Elizabetg Smith-McCrossin</t>
  </si>
  <si>
    <t>Elected Members</t>
  </si>
  <si>
    <t>(incl rounding)</t>
  </si>
  <si>
    <t>of all seats in the parliament or legislature.</t>
  </si>
  <si>
    <t>What is the Simple Vote PR electoral system?</t>
  </si>
  <si>
    <t>Simple Vote PR:  How it works -- A Summary:</t>
  </si>
  <si>
    <t>Simple Vote PR:  Outcomes and Impacts</t>
  </si>
  <si>
    <t>THE SIMPLE VOTE PR ELECTORAL METHOD</t>
  </si>
  <si>
    <t>% of Total Popular Vote*</t>
  </si>
  <si>
    <t>Total  Members</t>
  </si>
  <si>
    <t>Average Vote  per Member</t>
  </si>
  <si>
    <t>Note:  A Party Leader may distribute his/her party's Vote per Member in a variety of ways.  See below.</t>
  </si>
  <si>
    <t>Liberal</t>
  </si>
  <si>
    <t>Conservative</t>
  </si>
  <si>
    <t>Green</t>
  </si>
  <si>
    <t>Peoples Party</t>
  </si>
  <si>
    <t xml:space="preserve">Total popular Vote (Unofficial) </t>
  </si>
  <si>
    <t>Winning Candidates</t>
  </si>
  <si>
    <t>Parliamentary Vote Entitlement will always exceed the number of Members.</t>
  </si>
  <si>
    <t>Quick View of Simple Vote PR Results</t>
  </si>
  <si>
    <t>2021 Canada General Election (Unofficial)</t>
  </si>
  <si>
    <r>
      <rPr>
        <b/>
        <sz val="12"/>
        <color rgb="FFFF0000"/>
        <rFont val="Arial"/>
        <family val="2"/>
      </rPr>
      <t>Note:</t>
    </r>
    <r>
      <rPr>
        <b/>
        <sz val="12"/>
        <rFont val="Arial"/>
        <family val="2"/>
      </rPr>
      <t xml:space="preserve"> Make sure to list separately each small party that meets the </t>
    </r>
  </si>
  <si>
    <t>threshold for representation, or elects a candidate.</t>
  </si>
  <si>
    <t>Wow!!</t>
  </si>
  <si>
    <t>Lindsay Hoyle (Speaker)</t>
  </si>
  <si>
    <t xml:space="preserve">Social Dem &amp; Labour </t>
  </si>
  <si>
    <t>Approx. 421,203 votes were cast for numerous parties that failed to elect a candidate.  These represent 1.3% of all votes in the election, and are excluded.</t>
  </si>
  <si>
    <t>Wow!</t>
  </si>
  <si>
    <t xml:space="preserve">https://enr.elections.ca/Provinces.aspx?lang=e </t>
  </si>
  <si>
    <t>is the maximum number of Party List seats that may be created in your scenario (rounded).</t>
  </si>
  <si>
    <t xml:space="preserve">To skip steps below and see final results, scroll right </t>
  </si>
  <si>
    <t>1</t>
  </si>
  <si>
    <t>2</t>
  </si>
  <si>
    <t>3</t>
  </si>
  <si>
    <t>4</t>
  </si>
  <si>
    <t>Simple Vote PR can be implemented without amending the Canadian Constitution.</t>
  </si>
  <si>
    <t xml:space="preserve">Simple Vote Proportional Representation </t>
  </si>
  <si>
    <t>To be elgible for representation, a party must win</t>
  </si>
  <si>
    <t>or more of the overall popular</t>
  </si>
  <si>
    <t>each party is recalculated, based on eligible parties only.</t>
  </si>
  <si>
    <t xml:space="preserve"> Total Votes for political parties in Parliament</t>
  </si>
  <si>
    <t>Finally, each party's voting power is then distributed equally to each Member within the party.  This normally results in fractions of a vote per Member except for the most advantaged party, which would normally have exactly 1.0 vote per Member.</t>
  </si>
  <si>
    <t>With the Simple Vote Proportional Representation (SVPR) electoral method,  the composition of committees would not have to be set in line with the composition of seats in the Parliament.  The voting power of parties in Committee would be set to mirror the total vote entitlement of each party.  That would enable any number of Members to participate.  The total of all votes in committee would be the same as for the Parliament as a whole ─ the voting power of each Member at Committee would be the Total Parliamentary Vote Entitlement for the Member's party divided by the number of Members in committee for each party.  Party leaders may appoint and limit representation by their party.</t>
  </si>
  <si>
    <t>Progressive Conservative</t>
  </si>
  <si>
    <t>New Democratic</t>
  </si>
  <si>
    <t>Ontario Election June 2, 2022</t>
  </si>
  <si>
    <t>New Blue Party</t>
  </si>
  <si>
    <t>Ontario Party</t>
  </si>
  <si>
    <t>Other political parties</t>
  </si>
  <si>
    <t>Canadians Choice Party, Ontario Centrist Party, Northern Ontario Party</t>
  </si>
  <si>
    <t xml:space="preserve"> share of the popular vote won</t>
  </si>
  <si>
    <t xml:space="preserve">SVPR is simple for voters, and is based on treating every vote equally.  It achieves proportional representation without changing how Members of Parliament or provincial Legislatures are elected, does not enlarge or change the nature of electoral districts, keeps the number of Members close to current levels, and maintains direct local accountability of almost all Members. </t>
  </si>
  <si>
    <r>
      <t xml:space="preserve">Proportional representation is achieved by adding </t>
    </r>
    <r>
      <rPr>
        <b/>
        <i/>
        <sz val="12"/>
        <rFont val="Arial"/>
        <family val="2"/>
      </rPr>
      <t>votes</t>
    </r>
    <r>
      <rPr>
        <sz val="12"/>
        <rFont val="Arial"/>
        <family val="2"/>
      </rPr>
      <t xml:space="preserve"> in parliament to sitting Members of parties that were 'short-changed' in an election, so that a political party's share of votes in parliament is the same as its share of the overall popular vote in an election.  </t>
    </r>
  </si>
  <si>
    <t>The voting power of parties represented in Parliament is then brought into line with each party's share of the popular vote by awarding additional parliamentary votes – rather than additional MPs – to parties that were ‘short-changed’ in the election, based on their share of the popular vote.  (Go to the "HowItWorks" sheet to see how this is done.)</t>
  </si>
  <si>
    <t xml:space="preserve">Except for Regional and Party List Members, all Members are directly elected by voters in their district, and no Member directly elected in a district has less than one full vote in parliament.    </t>
  </si>
  <si>
    <t>Elections resulting from non-confidence votes still apply.</t>
  </si>
  <si>
    <t xml:space="preserve">Members 'crossing the floor' or being removed from caucus have no effect on parliamentary vote standings; parliamentary votes remain with the party in accordance with its share of the popular vote in the most recent general election, as modified by by-elections.  Members removed from a party caucus sit as Independents, and are given a parliamentary vote equal to the average for all party Members.  A Member will not voluntarily leave his/her party caucus because he/she will have no vote in parliament.  </t>
  </si>
  <si>
    <t>CAQ - EFL</t>
  </si>
  <si>
    <t>PLQ - QLP</t>
  </si>
  <si>
    <t>QS</t>
  </si>
  <si>
    <t>PQ</t>
  </si>
  <si>
    <t>PCQ - EED</t>
  </si>
  <si>
    <t>Quebec October 2022 Election</t>
  </si>
  <si>
    <t>Party List top-ups are limited to parties with less than</t>
  </si>
  <si>
    <t>less than their proportional share of votes in the parliament. However, within that limit,</t>
  </si>
  <si>
    <t xml:space="preserve"> the number of Party List Members is further limited to </t>
  </si>
  <si>
    <t>Once the raw polling numbers are compiled, the process becomes how to bring the various results in line with proportionality.  Shown below is a description of the calculations done electronically, instantly, on Election Day using the Simple Vote PR electoral method, based on the information inputted above.</t>
  </si>
  <si>
    <t>Note:  In rare situations, a candidate is unopposed and is acclaimed the winner.  For the party the candidate represents, the assumed popular vote of the acclaimed candidate is set as the total popular vote for winning candidates of his/her party in contested districts divided by the number of MPs elected in those districts. This figure is added to the acclaimed candidate's party popular vote total.</t>
  </si>
  <si>
    <t>Parliamentary or Legislative Assembly Votes by MP/MNA can be distributed in ways other than a simple average that gives all Members of a party an equal voice, if the Party's PVE is greater than its number of MPs.  A Party Leader may adjust votes for each of his/her Members to boost the voting power of under-represented regions or for gender or for ethnicity.  View the following example, or insert a specific Parliamentary Vote for a name, and the others will automatically adjust.  Note that the total number of Votes for a Party must always remain constant.</t>
  </si>
  <si>
    <t>The Simple Vote PR (SVPR) is an electoral method to achieve full proportional representation (PR) in a national or regional legislative body.</t>
  </si>
  <si>
    <r>
      <rPr>
        <b/>
        <i/>
        <sz val="12"/>
        <rFont val="Arial"/>
        <family val="2"/>
      </rPr>
      <t>Every vote</t>
    </r>
    <r>
      <rPr>
        <sz val="12"/>
        <rFont val="Arial"/>
        <family val="2"/>
      </rPr>
      <t xml:space="preserve"> cast for a voter's preferred local candidate of a political party counts towards parliamentary voting power of that party, whether the local candidate wins or loses.  In contrast, in today's electoral system, if a candidate does not win, his/her vote is discarded by the system.</t>
    </r>
  </si>
  <si>
    <t xml:space="preserve">Political parties receiving less than a pre-determined percentage of the popular vote are excluded from the Parliament, unless they elect a candidate.  As a respect to democracy, a low is threshold recommended (perhaps 2% or 3%). </t>
  </si>
  <si>
    <r>
      <t>A party can be awarded additional seats if it elected fewer candidates than it should have if the number of seats in parliament were allocated on the basis of proportional representation,</t>
    </r>
    <r>
      <rPr>
        <b/>
        <i/>
        <sz val="12"/>
        <rFont val="Arial"/>
        <family val="2"/>
      </rPr>
      <t xml:space="preserve"> and</t>
    </r>
    <r>
      <rPr>
        <sz val="12"/>
        <rFont val="Arial"/>
        <family val="2"/>
      </rPr>
      <t xml:space="preserve"> if the party has relatively few seats overall (for example, a party with less than 5% of the seats in parliament). </t>
    </r>
    <r>
      <rPr>
        <sz val="12"/>
        <color rgb="FFC00000"/>
        <rFont val="Arial"/>
        <family val="2"/>
      </rPr>
      <t xml:space="preserve"> </t>
    </r>
    <r>
      <rPr>
        <sz val="12"/>
        <rFont val="Arial"/>
        <family val="2"/>
      </rPr>
      <t>The awarded seats are appointed by the Leaders of eligible parties via "party lists" to give a human presence and a functional capability in Parliament to the most under-represented parties.  A limit to the number of party list seats is established by legislation prior to any general election (for example, no more than 5% of the number of elected Members).</t>
    </r>
  </si>
  <si>
    <t>The average voting power of each Member of a political party in Parliament is determined by dividing the party's total parliamentary voting entitlement equally among the number of the party's Members.  However, party leaders may allocate voting power differently, to balance out inequities in gender, ethnicity, geography, etc.  (Step 6 in the "HowItWorks" sheet.)</t>
  </si>
  <si>
    <t>Provinces and territories would no longer be politically categorized federally as right-wing or left-wing provinces, because there would be greater recognition that every political party and political preference is represented in the resident population.</t>
  </si>
  <si>
    <t>x</t>
  </si>
  <si>
    <t xml:space="preserve">An end of strategic voting would likely increase the diversity of representation.  Voters have an effective choice in favour of parties that they see as being more representative of their views.  New parties that may form around segments of society (e.g. a Women's party, a New Citizens party, a First Nations Party) have a better chance of representation. Some existing parties may diversify themselves into ‘moderate’, ‘progressive’ or other forms as ‘big tent’ party concepts are no longer necessary or may not be desired. </t>
  </si>
  <si>
    <t>For national elections, every major political party could be represented in every province subject to conditions pre-set by legislation, to ensure that the concerns of every province and territories are heard in parliament.  A Party Leader may assign a higher parliamentary vote to such Members to ensure that provincial concerns are more adequately addressed.</t>
  </si>
  <si>
    <t>Coalition governments become the norm.  Negotiation and compromise on legislation becomes common practice, as governments realize that with SVPR they are not likely to achieve a real majority (that is, more than 50% of the popular vote) if they call an election when key legislation is defeated.  Forcing legislation to be passed using threats of snap elections becomes rare.  In this way, SVPR creates more stability than minority governments under today’s electoral system, where a shift of even a few percentage points can give a party majority power to overturn existing policies and legislation, even if most voters did not vote for that party or parties.  Perceived threats of so-called ‘fringe’ parties holding disproportionate power recede.</t>
  </si>
  <si>
    <r>
      <t xml:space="preserve">of the overall popular vote, </t>
    </r>
    <r>
      <rPr>
        <b/>
        <u/>
        <sz val="12"/>
        <rFont val="Arial"/>
        <family val="2"/>
      </rPr>
      <t>or a candidate is elected</t>
    </r>
    <r>
      <rPr>
        <b/>
        <sz val="12"/>
        <rFont val="Arial"/>
        <family val="2"/>
      </rPr>
      <t>.</t>
    </r>
  </si>
  <si>
    <t>OK</t>
  </si>
  <si>
    <r>
      <t xml:space="preserve">Set a threshold for representation:  </t>
    </r>
    <r>
      <rPr>
        <sz val="12"/>
        <rFont val="Arial"/>
        <family val="2"/>
      </rPr>
      <t>A party must win</t>
    </r>
    <r>
      <rPr>
        <b/>
        <sz val="12"/>
        <rFont val="Arial"/>
        <family val="2"/>
      </rPr>
      <t xml:space="preserve"> </t>
    </r>
  </si>
  <si>
    <t>vote, or elect a Member of Parliament.  The percentage of the total popular vote received by</t>
  </si>
  <si>
    <t xml:space="preserve">  Proportional representation, in the form of voting power in the Parliament or Legislative Assembly, is achieved.</t>
  </si>
  <si>
    <t>Note:  A Party Leader may wish to allocate the Parliamentary Vote Entitlement per Member according to a diferent method, for example, by gender or other manner.  See table at right.  A Party Leader should ensure that no Member has less than exactly one vote in parliament.</t>
  </si>
  <si>
    <t xml:space="preserve">With Simple Vote PR, Members 'crossing the floor' have no effect on parliamentary vote standings.  Votes remain with the party in accordance with its share of the popular vote in the most recent general election, as modified by by-elections, as a respect to the voters in the affected district.  Members expelled from a party caucus who choose to sit as Independents are given a Parliamentary Vote equal to the average for all party Members (so, the total number of votes in parliament increases).  If a Member voluntarily leaves a Party and joins another will not change the Parliamentary Vote Entitlement; of the affected Parties; their PVE per Member will be adjusted.  </t>
  </si>
  <si>
    <t>Once all of the local riding (district) winners are determined and all votes have been counted, the national (or provincial) totals are compiled.  To illustrate how the Simple Vote PR method is then instantly applied to achieve proportional representation, begin by inputting an election scenario of your choosing, or just view the example shown.</t>
  </si>
  <si>
    <t xml:space="preserve"> House Vote per Member</t>
  </si>
  <si>
    <t>Members for Party X (Insert)</t>
  </si>
  <si>
    <t>Special Allocation (Insert)</t>
  </si>
  <si>
    <t>Robert</t>
  </si>
  <si>
    <t>Quinlan</t>
  </si>
  <si>
    <t>Hardeep</t>
  </si>
  <si>
    <t>Whitebear</t>
  </si>
  <si>
    <t>Frank</t>
  </si>
  <si>
    <t>Donald</t>
  </si>
  <si>
    <t>Waldo</t>
  </si>
  <si>
    <t>calc</t>
  </si>
  <si>
    <t>DO NOT DELETE</t>
  </si>
  <si>
    <t xml:space="preserve">To clear the contents of a blue area, go to it, click on 'Home' on the menu bar, then click 'Clear' and 'Clear Contents'.  If you want to change an entry, type the correction over the existing entry. </t>
  </si>
  <si>
    <t>If your scenario is a Canada national election, type "y" here</t>
  </si>
  <si>
    <t>y</t>
  </si>
  <si>
    <t>The total number of Seats before Top-Up seat allocations is 338.</t>
  </si>
  <si>
    <t>The tradition of exactly one vote in parliament for each Member of Parliament is ended.  Most Members are given additional votes, including fractions of a vote, to reflect the percentage of the popular vote received by their party.  The number of votes in parliament will exceed the number of Members.  Section 49 in Canada's Constitution states that "Questions arising in the House of Commons shall be decided by a Majority of Voices".  However, 'Voices' is not defined, and can be defined in legislation as, for example, "the expression of the ballots cast by voters in a general election and represented by the number of parliamentary votes of each Member of the House of Commons".</t>
  </si>
  <si>
    <t>Parliamentary voting power is defined by the parliamentary votes carried by each party, rather than by the number of seats held by parties. All parties carry parliamentary votes in proportion to their party's overall share of the popular vote in the most recent election.  SVPR eliminates the concept of representation by Province, because there is no need to quantify Provincial power − it's all based on national population as a proxy for MPs.  This ends the constitutional principal of representation and voting by MPs, even though seats remain distributed by formula set in the constitution.</t>
  </si>
  <si>
    <t>Every vote cast at the ballot box for a candidate representing a political party counts towards parliamentary power of every voter's first choice.  Strategic or compromise voting is unnecessary (No more "I can't vote for her because she doesn't have a chance of winning.").  It is more democratic than systems based on ranked balloting, where the end result is a collection of the least disliked MPs, rather than every voter's preferred choice.</t>
  </si>
  <si>
    <t xml:space="preserve">If legislatively enabled, the number of seats in the Parliament can be increased, by appointing a few MPs from party lists for the most under-represented eligible parties (enabled by clause 52 of Canada's Constitution Act).  Regional Members can be added to ensure representation. </t>
  </si>
  <si>
    <t>With the current winner-take-all electoral system, the Prime Minister is normally the Leader of the political party that won a plurality of seats.  With Simple Vote PR, it is unlikely that any one party can form a government, and governments would normally be formed by coalitions of several political parties that, together, have a majority of parliamentary votes.  The Members of the coalition will determine who the Pime Minister is, using one of a variety of determination methods.</t>
  </si>
  <si>
    <t>Election of the Prime Minister</t>
  </si>
  <si>
    <t>You selected a maximum of</t>
  </si>
  <si>
    <t xml:space="preserve"> These added Members may be required to be selected by their respective parties from candidates fielded in the general election, and who may thereby be considered as 'elected' by Parliament or the Chief Electoral Officer.  In a Canada federal election, they would be assigned to specific provinces.  The allocation of Top-Up Members by Province and Territory must conform to the formula specified in the Constitution Act.  The Chief Electoral Oficer would be empowered to assign Top-Up Members based on consultations with the affected political parties.  </t>
  </si>
  <si>
    <t>Elections are held as they are now: One Member of Parliament is elected per district based on the first-past-the-post mechanism for electing Members.</t>
  </si>
  <si>
    <t>A formula is applied to give Members of under-represented parties additional votes in the House of Commons to bring their voting power in the House in line with their percent share of the overall popular vote.  Most Members will have more than one vote, includng fractions of a vote.  This is enabled by Section 49 of Canada's Constitution Act.</t>
  </si>
  <si>
    <t>A limited number of "Top-Up" seats are awarded to the most under-represented parties, to give those parties a voice and functional capability in line with their share of the popular vote.  Top-Up Members are enabled by Section 52 of Canada's Constitution Act.</t>
  </si>
  <si>
    <t>Top-Up Members</t>
  </si>
  <si>
    <t>2025 Canada General Election (Unofficial)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</si>
</sst>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00_);_(* \(#,##0.00\);_(* &quot;-&quot;??_);_(@_)"/>
    <numFmt numFmtId="165" formatCode="_-* #,##0.0_-;\-* #,##0.0_-;_-* &quot;-&quot;??_-;_-@_-"/>
    <numFmt numFmtId="166" formatCode="_-* #,##0_-;\-* #,##0_-;_-* &quot;-&quot;??_-;_-@_-"/>
    <numFmt numFmtId="167" formatCode="0.0"/>
    <numFmt numFmtId="168" formatCode="0.0%"/>
    <numFmt numFmtId="169" formatCode="#,##0.0"/>
    <numFmt numFmtId="170" formatCode="#,##0.00_ ;\-#,##0.00\ "/>
    <numFmt numFmtId="171" formatCode="#,##0.000000"/>
    <numFmt numFmtId="172" formatCode="#,##0_ ;\-#,##0\ "/>
    <numFmt numFmtId="173" formatCode="0.00000000000000%"/>
    <numFmt numFmtId="174" formatCode="0.000"/>
  </numFmts>
  <fonts count="80" x14ac:knownFonts="1">
    <font>
      <sz val="10"/>
      <name val="Arial"/>
    </font>
    <font>
      <sz val="10"/>
      <name val="Arial"/>
      <family val="2"/>
    </font>
    <font>
      <sz val="8"/>
      <name val="Arial"/>
      <family val="2"/>
    </font>
    <font>
      <sz val="10"/>
      <name val="Arial"/>
      <family val="2"/>
    </font>
    <font>
      <sz val="12"/>
      <name val="Arial"/>
      <family val="2"/>
    </font>
    <font>
      <u/>
      <sz val="15"/>
      <color indexed="12"/>
      <name val="Arial"/>
      <family val="2"/>
    </font>
    <font>
      <sz val="9"/>
      <name val="Arial"/>
      <family val="2"/>
    </font>
    <font>
      <sz val="16"/>
      <name val="Arial"/>
      <family val="2"/>
    </font>
    <font>
      <b/>
      <sz val="20"/>
      <color indexed="12"/>
      <name val="Arial"/>
      <family val="2"/>
    </font>
    <font>
      <sz val="20"/>
      <name val="Arial"/>
      <family val="2"/>
    </font>
    <font>
      <sz val="10"/>
      <color indexed="12"/>
      <name val="Arial"/>
      <family val="2"/>
    </font>
    <font>
      <b/>
      <sz val="10"/>
      <color indexed="12"/>
      <name val="Arial"/>
      <family val="2"/>
    </font>
    <font>
      <sz val="12"/>
      <name val="Arial"/>
      <family val="2"/>
    </font>
    <font>
      <b/>
      <sz val="12"/>
      <name val="Arial"/>
      <family val="2"/>
    </font>
    <font>
      <sz val="14"/>
      <name val="Arial"/>
      <family val="2"/>
    </font>
    <font>
      <b/>
      <sz val="14"/>
      <color indexed="12"/>
      <name val="Arial"/>
      <family val="2"/>
    </font>
    <font>
      <b/>
      <sz val="12"/>
      <name val="Arial"/>
      <family val="2"/>
    </font>
    <font>
      <sz val="11"/>
      <name val="Arial"/>
      <family val="2"/>
    </font>
    <font>
      <sz val="14"/>
      <name val="Calibri"/>
      <family val="2"/>
    </font>
    <font>
      <b/>
      <sz val="12"/>
      <color indexed="12"/>
      <name val="Arial"/>
      <family val="2"/>
    </font>
    <font>
      <b/>
      <sz val="14"/>
      <name val="Arial"/>
      <family val="2"/>
    </font>
    <font>
      <b/>
      <sz val="14"/>
      <color indexed="62"/>
      <name val="Arial"/>
      <family val="2"/>
    </font>
    <font>
      <b/>
      <u/>
      <sz val="12"/>
      <name val="Arial"/>
      <family val="2"/>
    </font>
    <font>
      <b/>
      <sz val="16"/>
      <name val="Arial"/>
      <family val="2"/>
    </font>
    <font>
      <sz val="12"/>
      <color indexed="20"/>
      <name val="Arial"/>
      <family val="2"/>
    </font>
    <font>
      <u/>
      <sz val="10"/>
      <name val="Arial"/>
      <family val="2"/>
    </font>
    <font>
      <b/>
      <sz val="10"/>
      <name val="Arial"/>
      <family val="2"/>
    </font>
    <font>
      <b/>
      <u/>
      <sz val="14"/>
      <color indexed="12"/>
      <name val="Calibri"/>
      <family val="2"/>
    </font>
    <font>
      <b/>
      <sz val="10"/>
      <color indexed="12"/>
      <name val="Arial"/>
      <family val="2"/>
    </font>
    <font>
      <sz val="11"/>
      <color indexed="55"/>
      <name val="Arial"/>
      <family val="2"/>
    </font>
    <font>
      <sz val="12"/>
      <color indexed="55"/>
      <name val="Arial"/>
      <family val="2"/>
    </font>
    <font>
      <sz val="10"/>
      <color indexed="55"/>
      <name val="Arial"/>
      <family val="2"/>
    </font>
    <font>
      <sz val="9"/>
      <color indexed="81"/>
      <name val="Tahoma"/>
      <family val="2"/>
    </font>
    <font>
      <b/>
      <sz val="20"/>
      <color rgb="FFC00000"/>
      <name val="Arial"/>
      <family val="2"/>
    </font>
    <font>
      <b/>
      <sz val="16"/>
      <color rgb="FFC00000"/>
      <name val="Arial"/>
      <family val="2"/>
    </font>
    <font>
      <b/>
      <sz val="14"/>
      <color rgb="FFC00000"/>
      <name val="Arial"/>
      <family val="2"/>
    </font>
    <font>
      <sz val="10"/>
      <name val="Calibri"/>
      <family val="2"/>
      <scheme val="minor"/>
    </font>
    <font>
      <sz val="10"/>
      <color indexed="81"/>
      <name val="Tahoma"/>
      <family val="2"/>
    </font>
    <font>
      <b/>
      <u/>
      <sz val="14"/>
      <color rgb="FF0000CC"/>
      <name val="Arial"/>
      <family val="2"/>
    </font>
    <font>
      <sz val="12"/>
      <color theme="1"/>
      <name val="Arial"/>
      <family val="2"/>
    </font>
    <font>
      <b/>
      <i/>
      <u/>
      <sz val="18"/>
      <name val="Bookman Old Style"/>
      <family val="1"/>
    </font>
    <font>
      <i/>
      <u/>
      <sz val="18"/>
      <name val="Bookman Old Style"/>
      <family val="1"/>
    </font>
    <font>
      <sz val="18"/>
      <name val="Bookman Old Style"/>
      <family val="1"/>
    </font>
    <font>
      <sz val="12"/>
      <color rgb="FFC00000"/>
      <name val="Arial"/>
      <family val="2"/>
    </font>
    <font>
      <sz val="12"/>
      <color theme="1"/>
      <name val="Calibri"/>
      <family val="2"/>
      <scheme val="minor"/>
    </font>
    <font>
      <sz val="8"/>
      <color theme="0" tint="-0.499984740745262"/>
      <name val="Arial"/>
      <family val="2"/>
    </font>
    <font>
      <sz val="10"/>
      <color theme="0" tint="-0.499984740745262"/>
      <name val="Arial"/>
      <family val="2"/>
    </font>
    <font>
      <sz val="12"/>
      <color theme="0" tint="-0.499984740745262"/>
      <name val="Arial"/>
      <family val="2"/>
    </font>
    <font>
      <strike/>
      <sz val="10"/>
      <color theme="0" tint="-0.499984740745262"/>
      <name val="Arial"/>
      <family val="2"/>
    </font>
    <font>
      <b/>
      <sz val="12"/>
      <color theme="0" tint="-0.499984740745262"/>
      <name val="Arial"/>
      <family val="2"/>
    </font>
    <font>
      <u/>
      <sz val="12"/>
      <color theme="0" tint="-0.499984740745262"/>
      <name val="Arial"/>
      <family val="2"/>
    </font>
    <font>
      <b/>
      <sz val="14"/>
      <color rgb="FF0000CC"/>
      <name val="Arial"/>
      <family val="2"/>
    </font>
    <font>
      <b/>
      <sz val="11"/>
      <name val="Arial"/>
      <family val="2"/>
    </font>
    <font>
      <sz val="15"/>
      <name val="Arial"/>
      <family val="2"/>
    </font>
    <font>
      <sz val="10"/>
      <color theme="0" tint="-0.34998626667073579"/>
      <name val="Arial"/>
      <family val="2"/>
    </font>
    <font>
      <b/>
      <sz val="20"/>
      <name val="Arial"/>
      <family val="2"/>
    </font>
    <font>
      <b/>
      <i/>
      <u/>
      <sz val="14"/>
      <name val="Arial"/>
      <family val="2"/>
    </font>
    <font>
      <sz val="12"/>
      <color theme="0" tint="-0.499984740745262"/>
      <name val="Calibri"/>
      <family val="2"/>
      <scheme val="minor"/>
    </font>
    <font>
      <b/>
      <i/>
      <sz val="12"/>
      <name val="Arial"/>
      <family val="2"/>
    </font>
    <font>
      <sz val="12"/>
      <name val="Tahoma"/>
      <family val="2"/>
    </font>
    <font>
      <sz val="10"/>
      <name val="Tahoma"/>
      <family val="2"/>
    </font>
    <font>
      <b/>
      <u/>
      <sz val="22"/>
      <name val="Calibri"/>
      <family val="2"/>
      <scheme val="minor"/>
    </font>
    <font>
      <b/>
      <sz val="28"/>
      <name val="Calibri"/>
      <family val="2"/>
      <scheme val="minor"/>
    </font>
    <font>
      <b/>
      <sz val="10"/>
      <color rgb="FFFF0000"/>
      <name val="Arial"/>
      <family val="2"/>
    </font>
    <font>
      <b/>
      <i/>
      <sz val="18"/>
      <name val="Arial"/>
      <family val="2"/>
    </font>
    <font>
      <sz val="11"/>
      <color rgb="FF0000CC"/>
      <name val="Arial"/>
      <family val="2"/>
    </font>
    <font>
      <sz val="10"/>
      <color rgb="FF0000CC"/>
      <name val="Arial"/>
      <family val="2"/>
    </font>
    <font>
      <b/>
      <sz val="10"/>
      <color rgb="FF0000CC"/>
      <name val="Arial"/>
      <family val="2"/>
    </font>
    <font>
      <sz val="10"/>
      <color rgb="FFC00000"/>
      <name val="Arial"/>
      <family val="2"/>
    </font>
    <font>
      <u/>
      <sz val="12"/>
      <name val="Arial"/>
      <family val="2"/>
    </font>
    <font>
      <b/>
      <i/>
      <sz val="14"/>
      <name val="Arial"/>
      <family val="2"/>
    </font>
    <font>
      <b/>
      <sz val="12"/>
      <color rgb="FF000000"/>
      <name val="Arial"/>
      <family val="2"/>
    </font>
    <font>
      <sz val="12"/>
      <name val="Calibri"/>
      <family val="2"/>
      <scheme val="minor"/>
    </font>
    <font>
      <sz val="10"/>
      <color rgb="FFFF0000"/>
      <name val="Arial"/>
      <family val="2"/>
    </font>
    <font>
      <b/>
      <sz val="12"/>
      <color rgb="FFFF0000"/>
      <name val="Arial"/>
      <family val="2"/>
    </font>
    <font>
      <b/>
      <sz val="13"/>
      <color rgb="FFC00000"/>
      <name val="Arial"/>
      <family val="2"/>
    </font>
    <font>
      <b/>
      <sz val="22"/>
      <name val="Arial"/>
      <family val="2"/>
    </font>
    <font>
      <b/>
      <sz val="16"/>
      <color theme="3" tint="-0.249977111117893"/>
      <name val="Arial"/>
      <family val="2"/>
    </font>
    <font>
      <b/>
      <sz val="10"/>
      <color theme="0" tint="-0.499984740745262"/>
      <name val="Arial"/>
      <family val="2"/>
    </font>
    <font>
      <b/>
      <sz val="11"/>
      <color rgb="FF0000CC"/>
      <name val="Arial"/>
      <family val="2"/>
    </font>
  </fonts>
  <fills count="15">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26"/>
        <bgColor indexed="64"/>
      </patternFill>
    </fill>
    <fill>
      <patternFill patternType="solid">
        <fgColor indexed="47"/>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rgb="FFCCFFFF"/>
        <bgColor indexed="64"/>
      </patternFill>
    </fill>
  </fills>
  <borders count="96">
    <border>
      <left/>
      <right/>
      <top/>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right style="double">
        <color indexed="64"/>
      </right>
      <top/>
      <bottom/>
      <diagonal/>
    </border>
    <border>
      <left style="double">
        <color indexed="64"/>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thin">
        <color indexed="64"/>
      </top>
      <bottom style="thin">
        <color indexed="64"/>
      </bottom>
      <diagonal/>
    </border>
    <border>
      <left style="double">
        <color indexed="64"/>
      </left>
      <right/>
      <top/>
      <bottom/>
      <diagonal/>
    </border>
    <border>
      <left style="thin">
        <color indexed="64"/>
      </left>
      <right style="double">
        <color indexed="64"/>
      </right>
      <top/>
      <bottom style="thin">
        <color indexed="64"/>
      </bottom>
      <diagonal/>
    </border>
    <border>
      <left/>
      <right style="double">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double">
        <color indexed="64"/>
      </top>
      <bottom/>
      <diagonal/>
    </border>
    <border>
      <left/>
      <right/>
      <top/>
      <bottom style="medium">
        <color indexed="64"/>
      </bottom>
      <diagonal/>
    </border>
    <border>
      <left/>
      <right style="thick">
        <color indexed="64"/>
      </right>
      <top/>
      <bottom style="medium">
        <color indexed="64"/>
      </bottom>
      <diagonal/>
    </border>
    <border>
      <left style="thick">
        <color indexed="64"/>
      </left>
      <right/>
      <top/>
      <bottom style="medium">
        <color indexed="64"/>
      </bottom>
      <diagonal/>
    </border>
    <border>
      <left/>
      <right/>
      <top style="thick">
        <color indexed="64"/>
      </top>
      <bottom style="thick">
        <color indexed="64"/>
      </bottom>
      <diagonal/>
    </border>
    <border>
      <left/>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double">
        <color indexed="64"/>
      </left>
      <right style="thin">
        <color indexed="64"/>
      </right>
      <top style="double">
        <color indexed="64"/>
      </top>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double">
        <color indexed="64"/>
      </top>
      <bottom style="double">
        <color indexed="64"/>
      </bottom>
      <diagonal/>
    </border>
  </borders>
  <cellStyleXfs count="4">
    <xf numFmtId="0" fontId="0" fillId="0" borderId="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cellStyleXfs>
  <cellXfs count="1255">
    <xf numFmtId="0" fontId="0" fillId="0" borderId="0" xfId="0"/>
    <xf numFmtId="49" fontId="0" fillId="0" borderId="0" xfId="0" applyNumberFormat="1" applyAlignment="1">
      <alignment vertical="top"/>
    </xf>
    <xf numFmtId="0" fontId="0" fillId="0" borderId="0" xfId="0" applyAlignment="1">
      <alignment vertical="top"/>
    </xf>
    <xf numFmtId="0" fontId="9" fillId="0" borderId="0" xfId="0" applyFont="1" applyAlignment="1">
      <alignment horizontal="center"/>
    </xf>
    <xf numFmtId="0" fontId="10" fillId="0" borderId="0" xfId="0" applyFont="1"/>
    <xf numFmtId="0" fontId="12" fillId="0" borderId="0" xfId="0" applyFont="1"/>
    <xf numFmtId="49" fontId="12" fillId="0" borderId="0" xfId="0" applyNumberFormat="1" applyFont="1" applyAlignment="1">
      <alignment vertical="top"/>
    </xf>
    <xf numFmtId="0" fontId="12" fillId="0" borderId="0" xfId="0" applyFont="1" applyAlignment="1">
      <alignment wrapText="1"/>
    </xf>
    <xf numFmtId="0" fontId="16" fillId="0" borderId="0" xfId="0" applyFont="1"/>
    <xf numFmtId="0" fontId="4" fillId="2" borderId="1" xfId="0" applyFont="1" applyFill="1" applyBorder="1" applyAlignment="1">
      <alignment horizontal="right" vertical="center" indent="2"/>
    </xf>
    <xf numFmtId="166" fontId="4" fillId="2" borderId="1" xfId="1" applyNumberFormat="1" applyFont="1" applyFill="1" applyBorder="1" applyAlignment="1">
      <alignment horizontal="left" vertical="center"/>
    </xf>
    <xf numFmtId="0" fontId="0" fillId="0" borderId="0" xfId="0" applyAlignment="1">
      <alignment vertical="top" wrapText="1"/>
    </xf>
    <xf numFmtId="0" fontId="0" fillId="0" borderId="0" xfId="0" applyAlignment="1">
      <alignment wrapText="1"/>
    </xf>
    <xf numFmtId="0" fontId="0" fillId="0" borderId="0" xfId="0" applyAlignment="1">
      <alignment horizontal="center" wrapText="1"/>
    </xf>
    <xf numFmtId="0" fontId="8" fillId="0" borderId="0" xfId="0" applyFont="1" applyAlignment="1">
      <alignment horizontal="left"/>
    </xf>
    <xf numFmtId="0" fontId="0" fillId="0" borderId="10" xfId="0" applyBorder="1"/>
    <xf numFmtId="0" fontId="0" fillId="0" borderId="9" xfId="0" applyBorder="1"/>
    <xf numFmtId="0" fontId="4" fillId="3" borderId="1" xfId="0" applyFont="1" applyFill="1" applyBorder="1" applyAlignment="1">
      <alignment horizontal="left" vertical="center" wrapText="1" indent="3"/>
    </xf>
    <xf numFmtId="10" fontId="4" fillId="3" borderId="13" xfId="0" applyNumberFormat="1" applyFont="1" applyFill="1" applyBorder="1" applyAlignment="1">
      <alignment vertical="center" wrapText="1"/>
    </xf>
    <xf numFmtId="0" fontId="19" fillId="0" borderId="0" xfId="0" applyFont="1" applyAlignment="1">
      <alignment horizontal="left" vertical="center" indent="1"/>
    </xf>
    <xf numFmtId="0" fontId="0" fillId="0" borderId="0" xfId="0" applyAlignment="1">
      <alignment horizontal="right"/>
    </xf>
    <xf numFmtId="3" fontId="0" fillId="0" borderId="0" xfId="0" applyNumberFormat="1"/>
    <xf numFmtId="0" fontId="21" fillId="0" borderId="0" xfId="0" applyFont="1" applyAlignment="1">
      <alignment horizontal="left" vertical="center" indent="1"/>
    </xf>
    <xf numFmtId="10" fontId="3" fillId="3" borderId="11" xfId="0" applyNumberFormat="1" applyFont="1" applyFill="1" applyBorder="1" applyAlignment="1">
      <alignment horizontal="right" vertical="center" wrapText="1"/>
    </xf>
    <xf numFmtId="0" fontId="16" fillId="3" borderId="1" xfId="0" applyFont="1" applyFill="1" applyBorder="1" applyAlignment="1">
      <alignment horizontal="center" vertical="center"/>
    </xf>
    <xf numFmtId="166" fontId="16" fillId="3" borderId="1" xfId="1" applyNumberFormat="1" applyFont="1" applyFill="1" applyBorder="1" applyAlignment="1">
      <alignment horizontal="left" vertical="center"/>
    </xf>
    <xf numFmtId="0" fontId="16" fillId="3" borderId="1" xfId="0" applyFont="1" applyFill="1" applyBorder="1" applyAlignment="1">
      <alignment horizontal="right" vertical="center" indent="2"/>
    </xf>
    <xf numFmtId="0" fontId="3" fillId="0" borderId="0" xfId="0" applyFont="1" applyAlignment="1">
      <alignment horizontal="left"/>
    </xf>
    <xf numFmtId="0" fontId="3" fillId="0" borderId="0" xfId="0" applyFont="1" applyAlignment="1">
      <alignment horizontal="center"/>
    </xf>
    <xf numFmtId="3" fontId="4" fillId="3" borderId="1" xfId="0" applyNumberFormat="1" applyFont="1" applyFill="1" applyBorder="1" applyAlignment="1">
      <alignment horizontal="right" vertical="center" wrapText="1" indent="1"/>
    </xf>
    <xf numFmtId="168" fontId="12" fillId="3" borderId="1" xfId="3" applyNumberFormat="1" applyFont="1" applyFill="1" applyBorder="1" applyAlignment="1">
      <alignment horizontal="right" vertical="center" indent="1"/>
    </xf>
    <xf numFmtId="168" fontId="0" fillId="0" borderId="0" xfId="0" applyNumberFormat="1"/>
    <xf numFmtId="168" fontId="12" fillId="3" borderId="11" xfId="3" applyNumberFormat="1" applyFont="1" applyFill="1" applyBorder="1" applyAlignment="1">
      <alignment horizontal="right" vertical="center" indent="1"/>
    </xf>
    <xf numFmtId="1" fontId="4" fillId="3" borderId="11" xfId="0" applyNumberFormat="1" applyFont="1" applyFill="1" applyBorder="1" applyAlignment="1">
      <alignment horizontal="center" vertical="center"/>
    </xf>
    <xf numFmtId="9" fontId="12" fillId="3" borderId="1" xfId="3" applyFont="1" applyFill="1" applyBorder="1" applyAlignment="1">
      <alignment horizontal="left" vertical="center" indent="1"/>
    </xf>
    <xf numFmtId="0" fontId="4" fillId="3" borderId="11" xfId="0" applyFont="1" applyFill="1" applyBorder="1" applyAlignment="1">
      <alignment horizontal="left" vertical="center" indent="1"/>
    </xf>
    <xf numFmtId="0" fontId="16" fillId="3" borderId="1" xfId="0" applyFont="1" applyFill="1" applyBorder="1" applyAlignment="1">
      <alignment horizontal="left" vertical="center" indent="2"/>
    </xf>
    <xf numFmtId="0" fontId="16" fillId="0" borderId="0" xfId="0" applyFont="1" applyAlignment="1">
      <alignment horizontal="left" vertical="center" indent="1"/>
    </xf>
    <xf numFmtId="0" fontId="16" fillId="3" borderId="1" xfId="0" applyFont="1" applyFill="1" applyBorder="1" applyAlignment="1">
      <alignment horizontal="left" vertical="center" wrapText="1" indent="3"/>
    </xf>
    <xf numFmtId="3" fontId="16" fillId="3" borderId="1" xfId="0" applyNumberFormat="1" applyFont="1" applyFill="1" applyBorder="1" applyAlignment="1">
      <alignment horizontal="right" vertical="center" wrapText="1" indent="1"/>
    </xf>
    <xf numFmtId="168" fontId="16" fillId="3" borderId="11" xfId="3" applyNumberFormat="1" applyFont="1" applyFill="1" applyBorder="1" applyAlignment="1">
      <alignment horizontal="right" vertical="center" indent="2"/>
    </xf>
    <xf numFmtId="168" fontId="16" fillId="3" borderId="1" xfId="3" applyNumberFormat="1" applyFont="1" applyFill="1" applyBorder="1" applyAlignment="1">
      <alignment horizontal="right" vertical="center" indent="1"/>
    </xf>
    <xf numFmtId="168" fontId="12" fillId="3" borderId="11" xfId="0" applyNumberFormat="1" applyFont="1" applyFill="1" applyBorder="1" applyAlignment="1">
      <alignment horizontal="left" indent="1"/>
    </xf>
    <xf numFmtId="168" fontId="12" fillId="3" borderId="1" xfId="0" applyNumberFormat="1" applyFont="1" applyFill="1" applyBorder="1" applyAlignment="1">
      <alignment horizontal="left" indent="1"/>
    </xf>
    <xf numFmtId="168" fontId="12" fillId="3" borderId="1" xfId="0" applyNumberFormat="1" applyFont="1" applyFill="1" applyBorder="1" applyAlignment="1">
      <alignment horizontal="right" indent="1"/>
    </xf>
    <xf numFmtId="4" fontId="12" fillId="0" borderId="0" xfId="1" applyNumberFormat="1" applyFont="1" applyAlignment="1">
      <alignment horizontal="left"/>
    </xf>
    <xf numFmtId="0" fontId="0" fillId="0" borderId="0" xfId="0" applyAlignment="1">
      <alignment horizontal="left"/>
    </xf>
    <xf numFmtId="0" fontId="26" fillId="0" borderId="0" xfId="0" applyFont="1" applyAlignment="1">
      <alignment horizontal="left" vertical="center" indent="1"/>
    </xf>
    <xf numFmtId="168" fontId="10" fillId="0" borderId="0" xfId="3" applyNumberFormat="1" applyFont="1"/>
    <xf numFmtId="168" fontId="28" fillId="0" borderId="0" xfId="3" applyNumberFormat="1" applyFont="1"/>
    <xf numFmtId="0" fontId="0" fillId="0" borderId="0" xfId="0" applyAlignment="1">
      <alignment horizontal="center"/>
    </xf>
    <xf numFmtId="0" fontId="18" fillId="0" borderId="0" xfId="0" applyFont="1" applyAlignment="1">
      <alignment wrapText="1"/>
    </xf>
    <xf numFmtId="0" fontId="0" fillId="0" borderId="28" xfId="0" applyBorder="1"/>
    <xf numFmtId="0" fontId="0" fillId="0" borderId="30" xfId="0" applyBorder="1"/>
    <xf numFmtId="0" fontId="12" fillId="0" borderId="28" xfId="0" applyFont="1" applyBorder="1"/>
    <xf numFmtId="0" fontId="12" fillId="0" borderId="30" xfId="0" applyFont="1" applyBorder="1"/>
    <xf numFmtId="0" fontId="4" fillId="0" borderId="28" xfId="0" applyFont="1" applyBorder="1"/>
    <xf numFmtId="0" fontId="0" fillId="0" borderId="28" xfId="0" applyBorder="1" applyAlignment="1">
      <alignment horizontal="center"/>
    </xf>
    <xf numFmtId="10" fontId="2" fillId="0" borderId="0" xfId="0" applyNumberFormat="1" applyFont="1" applyAlignment="1">
      <alignment horizontal="center"/>
    </xf>
    <xf numFmtId="0" fontId="0" fillId="0" borderId="3" xfId="0" applyBorder="1"/>
    <xf numFmtId="168" fontId="12" fillId="0" borderId="0" xfId="3" applyNumberFormat="1" applyFont="1" applyAlignment="1">
      <alignment horizontal="right"/>
    </xf>
    <xf numFmtId="0" fontId="29" fillId="0" borderId="0" xfId="0" applyFont="1" applyAlignment="1">
      <alignment horizontal="right" vertical="center" wrapText="1"/>
    </xf>
    <xf numFmtId="0" fontId="30" fillId="0" borderId="0" xfId="0" applyFont="1"/>
    <xf numFmtId="0" fontId="31" fillId="0" borderId="0" xfId="0" applyFont="1"/>
    <xf numFmtId="0" fontId="1" fillId="0" borderId="5" xfId="0" applyFont="1" applyBorder="1" applyAlignment="1">
      <alignment horizontal="center" vertical="center" wrapText="1"/>
    </xf>
    <xf numFmtId="168" fontId="0" fillId="0" borderId="0" xfId="3" applyNumberFormat="1" applyFont="1"/>
    <xf numFmtId="0" fontId="0" fillId="0" borderId="5" xfId="0" applyBorder="1" applyAlignment="1">
      <alignment horizontal="center" vertical="center" wrapText="1"/>
    </xf>
    <xf numFmtId="168" fontId="0" fillId="0" borderId="9" xfId="3" applyNumberFormat="1" applyFont="1" applyBorder="1"/>
    <xf numFmtId="168" fontId="0" fillId="0" borderId="39" xfId="3" applyNumberFormat="1" applyFont="1" applyBorder="1"/>
    <xf numFmtId="167" fontId="1" fillId="0" borderId="5" xfId="0" applyNumberFormat="1" applyFont="1" applyBorder="1" applyAlignment="1">
      <alignment horizontal="center" vertical="center" wrapText="1"/>
    </xf>
    <xf numFmtId="167" fontId="0" fillId="0" borderId="5" xfId="0" applyNumberFormat="1" applyBorder="1" applyAlignment="1">
      <alignment horizontal="center" vertical="center" wrapText="1"/>
    </xf>
    <xf numFmtId="167" fontId="0" fillId="0" borderId="10" xfId="0" applyNumberFormat="1" applyBorder="1" applyAlignment="1">
      <alignment horizontal="right" indent="1"/>
    </xf>
    <xf numFmtId="167" fontId="0" fillId="0" borderId="40" xfId="0" applyNumberFormat="1" applyBorder="1" applyAlignment="1">
      <alignment horizontal="right" indent="1"/>
    </xf>
    <xf numFmtId="0" fontId="0" fillId="0" borderId="0" xfId="0" applyAlignment="1">
      <alignment horizontal="right" indent="1"/>
    </xf>
    <xf numFmtId="0" fontId="0" fillId="0" borderId="41" xfId="0" applyBorder="1" applyAlignment="1">
      <alignment horizontal="right" indent="1"/>
    </xf>
    <xf numFmtId="1" fontId="0" fillId="0" borderId="0" xfId="0" applyNumberFormat="1" applyAlignment="1">
      <alignment horizontal="right" indent="1"/>
    </xf>
    <xf numFmtId="1" fontId="0" fillId="0" borderId="41" xfId="0" applyNumberFormat="1" applyBorder="1" applyAlignment="1">
      <alignment horizontal="right" indent="1"/>
    </xf>
    <xf numFmtId="0" fontId="0" fillId="0" borderId="10" xfId="0" applyBorder="1" applyAlignment="1">
      <alignment horizontal="right" indent="1"/>
    </xf>
    <xf numFmtId="0" fontId="0" fillId="0" borderId="42" xfId="0" applyBorder="1" applyAlignment="1">
      <alignment horizontal="right" indent="1"/>
    </xf>
    <xf numFmtId="0" fontId="0" fillId="0" borderId="43" xfId="0" applyBorder="1" applyAlignment="1">
      <alignment horizontal="right" indent="1"/>
    </xf>
    <xf numFmtId="0" fontId="0" fillId="0" borderId="44" xfId="0" applyBorder="1" applyAlignment="1">
      <alignment horizontal="right" indent="1"/>
    </xf>
    <xf numFmtId="0" fontId="16" fillId="3" borderId="1" xfId="0" applyFont="1" applyFill="1" applyBorder="1" applyAlignment="1">
      <alignment horizontal="left" vertical="center" wrapText="1" indent="1"/>
    </xf>
    <xf numFmtId="0" fontId="4"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168" fontId="12" fillId="3" borderId="1" xfId="0" applyNumberFormat="1" applyFont="1" applyFill="1" applyBorder="1" applyAlignment="1">
      <alignment horizontal="right" vertical="center" indent="2"/>
    </xf>
    <xf numFmtId="0" fontId="4" fillId="3" borderId="38" xfId="0" applyFont="1" applyFill="1" applyBorder="1" applyAlignment="1">
      <alignment horizontal="center" vertical="center" wrapText="1"/>
    </xf>
    <xf numFmtId="0" fontId="4" fillId="0" borderId="35" xfId="0" applyFont="1" applyBorder="1" applyAlignment="1">
      <alignment horizontal="left" vertical="center" indent="1"/>
    </xf>
    <xf numFmtId="0" fontId="4" fillId="0" borderId="36" xfId="0" applyFont="1" applyBorder="1" applyAlignment="1">
      <alignment horizontal="left" vertical="center" indent="2"/>
    </xf>
    <xf numFmtId="166" fontId="4" fillId="0" borderId="46" xfId="1" applyNumberFormat="1" applyFont="1" applyBorder="1" applyAlignment="1">
      <alignment horizontal="left" vertical="center"/>
    </xf>
    <xf numFmtId="0" fontId="4" fillId="0" borderId="46" xfId="0" applyFont="1" applyBorder="1" applyAlignment="1">
      <alignment horizontal="right" vertical="center" indent="2"/>
    </xf>
    <xf numFmtId="166" fontId="4" fillId="0" borderId="5" xfId="1" applyNumberFormat="1" applyFont="1" applyBorder="1" applyAlignment="1">
      <alignment horizontal="left" vertical="center"/>
    </xf>
    <xf numFmtId="0" fontId="4" fillId="0" borderId="5" xfId="0" applyFont="1" applyBorder="1" applyAlignment="1">
      <alignment horizontal="right" vertical="center" indent="2"/>
    </xf>
    <xf numFmtId="166" fontId="4" fillId="0" borderId="51" xfId="1" applyNumberFormat="1" applyFont="1" applyBorder="1" applyAlignment="1">
      <alignment horizontal="left" vertical="center"/>
    </xf>
    <xf numFmtId="3" fontId="4" fillId="0" borderId="48" xfId="0" applyNumberFormat="1" applyFont="1" applyBorder="1" applyAlignment="1">
      <alignment horizontal="right" vertical="center" indent="2"/>
    </xf>
    <xf numFmtId="3" fontId="4" fillId="0" borderId="9" xfId="0" applyNumberFormat="1" applyFont="1" applyBorder="1" applyAlignment="1">
      <alignment horizontal="right" vertical="center" wrapText="1" indent="1"/>
    </xf>
    <xf numFmtId="0" fontId="12" fillId="0" borderId="14" xfId="0" applyFont="1" applyBorder="1" applyAlignment="1">
      <alignment horizontal="center" vertical="center" wrapText="1"/>
    </xf>
    <xf numFmtId="0" fontId="0" fillId="0" borderId="14" xfId="0" applyBorder="1"/>
    <xf numFmtId="0" fontId="0" fillId="0" borderId="16" xfId="0" applyBorder="1"/>
    <xf numFmtId="0" fontId="0" fillId="0" borderId="15" xfId="0" applyBorder="1"/>
    <xf numFmtId="3" fontId="0" fillId="0" borderId="9" xfId="0" applyNumberFormat="1" applyBorder="1"/>
    <xf numFmtId="3" fontId="0" fillId="0" borderId="10" xfId="0" applyNumberFormat="1" applyBorder="1"/>
    <xf numFmtId="0" fontId="12" fillId="0" borderId="16" xfId="0" applyFont="1" applyBorder="1" applyAlignment="1">
      <alignment horizontal="center" vertical="center" wrapText="1"/>
    </xf>
    <xf numFmtId="3" fontId="4" fillId="0" borderId="5" xfId="0" applyNumberFormat="1" applyFont="1" applyBorder="1" applyAlignment="1">
      <alignment horizontal="right" vertical="center" wrapText="1" indent="1"/>
    </xf>
    <xf numFmtId="0" fontId="0" fillId="0" borderId="0" xfId="0" applyAlignment="1">
      <alignment vertical="center" wrapText="1"/>
    </xf>
    <xf numFmtId="0" fontId="0" fillId="0" borderId="0" xfId="0" applyAlignment="1">
      <alignment vertical="center"/>
    </xf>
    <xf numFmtId="0" fontId="16" fillId="0" borderId="0" xfId="0" applyFont="1" applyAlignment="1">
      <alignment horizontal="center" vertical="center"/>
    </xf>
    <xf numFmtId="0" fontId="26" fillId="0" borderId="0" xfId="0" applyFont="1" applyAlignment="1">
      <alignment horizontal="center" vertical="center"/>
    </xf>
    <xf numFmtId="49" fontId="12" fillId="0" borderId="28" xfId="0" applyNumberFormat="1" applyFont="1" applyBorder="1" applyAlignment="1">
      <alignment vertical="top"/>
    </xf>
    <xf numFmtId="49" fontId="12" fillId="0" borderId="64" xfId="0" applyNumberFormat="1" applyFont="1" applyBorder="1" applyAlignment="1">
      <alignment vertical="top"/>
    </xf>
    <xf numFmtId="0" fontId="12" fillId="0" borderId="64" xfId="0" applyFont="1" applyBorder="1"/>
    <xf numFmtId="49" fontId="12" fillId="0" borderId="65" xfId="0" applyNumberFormat="1" applyFont="1" applyBorder="1" applyAlignment="1">
      <alignment vertical="top"/>
    </xf>
    <xf numFmtId="0" fontId="12" fillId="0" borderId="65" xfId="0" applyFont="1" applyBorder="1"/>
    <xf numFmtId="0" fontId="0" fillId="0" borderId="65" xfId="0" applyBorder="1"/>
    <xf numFmtId="0" fontId="12" fillId="0" borderId="65" xfId="0" applyFont="1" applyBorder="1" applyAlignment="1">
      <alignment horizontal="left" indent="2"/>
    </xf>
    <xf numFmtId="168" fontId="12" fillId="3" borderId="1" xfId="0" applyNumberFormat="1" applyFont="1" applyFill="1" applyBorder="1" applyAlignment="1">
      <alignment horizontal="right" vertical="center" indent="1"/>
    </xf>
    <xf numFmtId="0" fontId="4" fillId="0" borderId="0" xfId="0" applyFont="1" applyAlignment="1">
      <alignment horizontal="left"/>
    </xf>
    <xf numFmtId="9" fontId="12" fillId="3" borderId="1" xfId="3" applyFont="1" applyFill="1" applyBorder="1" applyAlignment="1">
      <alignment horizontal="right" vertical="center" indent="1"/>
    </xf>
    <xf numFmtId="0" fontId="1" fillId="0" borderId="0" xfId="0" applyFont="1"/>
    <xf numFmtId="0" fontId="4" fillId="0" borderId="0" xfId="0" applyFont="1"/>
    <xf numFmtId="168" fontId="4" fillId="2" borderId="49" xfId="3" applyNumberFormat="1" applyFont="1" applyFill="1" applyBorder="1" applyAlignment="1">
      <alignment horizontal="center" vertical="center"/>
    </xf>
    <xf numFmtId="168" fontId="4" fillId="3" borderId="49" xfId="0" applyNumberFormat="1" applyFont="1" applyFill="1" applyBorder="1" applyAlignment="1">
      <alignment horizontal="center" vertical="center"/>
    </xf>
    <xf numFmtId="9" fontId="12" fillId="3" borderId="1" xfId="3" applyFont="1" applyFill="1" applyBorder="1" applyAlignment="1">
      <alignment horizontal="right" vertical="center" indent="2"/>
    </xf>
    <xf numFmtId="0" fontId="1" fillId="0" borderId="0" xfId="0" applyFont="1" applyAlignment="1">
      <alignment horizontal="center" vertical="top"/>
    </xf>
    <xf numFmtId="167" fontId="1" fillId="0" borderId="9" xfId="0" applyNumberFormat="1" applyFont="1" applyBorder="1" applyAlignment="1">
      <alignment horizontal="center" vertical="center"/>
    </xf>
    <xf numFmtId="167" fontId="16" fillId="3" borderId="1" xfId="1" applyNumberFormat="1" applyFont="1" applyFill="1" applyBorder="1" applyAlignment="1">
      <alignment horizontal="right" vertical="center" indent="2"/>
    </xf>
    <xf numFmtId="165" fontId="0" fillId="0" borderId="0" xfId="1" applyNumberFormat="1" applyFont="1"/>
    <xf numFmtId="43" fontId="0" fillId="0" borderId="0" xfId="1" applyFont="1"/>
    <xf numFmtId="1" fontId="12" fillId="3" borderId="1" xfId="0" applyNumberFormat="1" applyFont="1" applyFill="1" applyBorder="1" applyAlignment="1">
      <alignment horizontal="right" vertical="center" indent="2"/>
    </xf>
    <xf numFmtId="168" fontId="4" fillId="0" borderId="46" xfId="0" applyNumberFormat="1" applyFont="1" applyBorder="1" applyAlignment="1">
      <alignment horizontal="center" vertical="center"/>
    </xf>
    <xf numFmtId="168" fontId="4" fillId="2" borderId="1" xfId="0" applyNumberFormat="1" applyFont="1" applyFill="1" applyBorder="1" applyAlignment="1">
      <alignment horizontal="center" vertical="center"/>
    </xf>
    <xf numFmtId="168" fontId="4" fillId="0" borderId="48" xfId="3" applyNumberFormat="1" applyFont="1" applyBorder="1" applyAlignment="1">
      <alignment horizontal="center" vertical="center"/>
    </xf>
    <xf numFmtId="168" fontId="16" fillId="3" borderId="1" xfId="0" applyNumberFormat="1" applyFont="1" applyFill="1" applyBorder="1" applyAlignment="1">
      <alignment horizontal="center" vertical="center"/>
    </xf>
    <xf numFmtId="167" fontId="4" fillId="2" borderId="11" xfId="0" applyNumberFormat="1" applyFont="1" applyFill="1" applyBorder="1" applyAlignment="1">
      <alignment horizontal="right" vertical="center" indent="1"/>
    </xf>
    <xf numFmtId="167" fontId="4" fillId="0" borderId="52" xfId="1" applyNumberFormat="1" applyFont="1" applyBorder="1" applyAlignment="1">
      <alignment horizontal="right" vertical="center" indent="1"/>
    </xf>
    <xf numFmtId="167" fontId="16" fillId="3" borderId="11" xfId="1" applyNumberFormat="1" applyFont="1" applyFill="1" applyBorder="1" applyAlignment="1">
      <alignment horizontal="right" vertical="center" indent="1"/>
    </xf>
    <xf numFmtId="0" fontId="2" fillId="0" borderId="0" xfId="0" applyFont="1" applyAlignment="1">
      <alignment horizontal="center" wrapText="1"/>
    </xf>
    <xf numFmtId="0" fontId="4" fillId="0" borderId="35" xfId="0" applyFont="1" applyBorder="1" applyAlignment="1">
      <alignment horizontal="left" vertical="center" indent="2"/>
    </xf>
    <xf numFmtId="0" fontId="4" fillId="0" borderId="1" xfId="0" applyFont="1" applyBorder="1" applyAlignment="1">
      <alignment horizontal="left" vertical="center" indent="2"/>
    </xf>
    <xf numFmtId="167" fontId="4" fillId="3" borderId="1" xfId="0" applyNumberFormat="1" applyFont="1" applyFill="1" applyBorder="1" applyAlignment="1">
      <alignment horizontal="right" vertical="center" wrapText="1" indent="2"/>
    </xf>
    <xf numFmtId="167" fontId="12" fillId="3" borderId="1" xfId="0" applyNumberFormat="1" applyFont="1" applyFill="1" applyBorder="1" applyAlignment="1">
      <alignment horizontal="right" indent="2"/>
    </xf>
    <xf numFmtId="167" fontId="16" fillId="3" borderId="1" xfId="0" applyNumberFormat="1" applyFont="1" applyFill="1" applyBorder="1" applyAlignment="1">
      <alignment horizontal="right" vertical="center" indent="2"/>
    </xf>
    <xf numFmtId="169" fontId="12" fillId="0" borderId="0" xfId="1" applyNumberFormat="1" applyFont="1" applyAlignment="1">
      <alignment horizontal="right" indent="1"/>
    </xf>
    <xf numFmtId="0" fontId="4" fillId="3" borderId="1" xfId="0" applyFont="1" applyFill="1" applyBorder="1" applyAlignment="1">
      <alignment horizontal="right" vertical="center" wrapText="1" indent="2"/>
    </xf>
    <xf numFmtId="168" fontId="4" fillId="3" borderId="1" xfId="0" applyNumberFormat="1" applyFont="1" applyFill="1" applyBorder="1" applyAlignment="1">
      <alignment horizontal="right" vertical="center" wrapText="1" indent="1"/>
    </xf>
    <xf numFmtId="0" fontId="4" fillId="3" borderId="11" xfId="0" applyFont="1" applyFill="1" applyBorder="1" applyAlignment="1">
      <alignment horizontal="center" vertical="center" wrapText="1"/>
    </xf>
    <xf numFmtId="169" fontId="4" fillId="0" borderId="46" xfId="0" applyNumberFormat="1" applyFont="1" applyBorder="1" applyAlignment="1">
      <alignment horizontal="right" vertical="center" indent="1"/>
    </xf>
    <xf numFmtId="169" fontId="4" fillId="0" borderId="5" xfId="0" applyNumberFormat="1" applyFont="1" applyBorder="1" applyAlignment="1">
      <alignment horizontal="right" vertical="center" indent="1"/>
    </xf>
    <xf numFmtId="169" fontId="4" fillId="0" borderId="47" xfId="0" applyNumberFormat="1" applyFont="1" applyBorder="1" applyAlignment="1">
      <alignment horizontal="right" vertical="center" indent="1"/>
    </xf>
    <xf numFmtId="168" fontId="4" fillId="0" borderId="5" xfId="0" applyNumberFormat="1" applyFont="1" applyBorder="1" applyAlignment="1">
      <alignment horizontal="center" vertical="center"/>
    </xf>
    <xf numFmtId="168" fontId="4" fillId="0" borderId="47" xfId="0" applyNumberFormat="1" applyFont="1" applyBorder="1" applyAlignment="1">
      <alignment horizontal="center" vertical="center"/>
    </xf>
    <xf numFmtId="0" fontId="17" fillId="0" borderId="0" xfId="0" applyFont="1" applyAlignment="1">
      <alignment horizontal="right" vertical="center" wrapText="1"/>
    </xf>
    <xf numFmtId="0" fontId="0" fillId="0" borderId="0" xfId="0" applyAlignment="1">
      <alignment horizontal="center" vertical="center"/>
    </xf>
    <xf numFmtId="0" fontId="1" fillId="0" borderId="0" xfId="0" applyFont="1" applyAlignment="1">
      <alignment horizontal="right"/>
    </xf>
    <xf numFmtId="168" fontId="0" fillId="0" borderId="0" xfId="0" applyNumberFormat="1" applyAlignment="1">
      <alignment horizontal="left"/>
    </xf>
    <xf numFmtId="168" fontId="4" fillId="4" borderId="5" xfId="3" applyNumberFormat="1" applyFont="1" applyFill="1" applyBorder="1" applyAlignment="1">
      <alignment horizontal="center" vertical="center"/>
    </xf>
    <xf numFmtId="3" fontId="4" fillId="2" borderId="11" xfId="0" applyNumberFormat="1" applyFont="1" applyFill="1" applyBorder="1" applyAlignment="1">
      <alignment horizontal="right" vertical="center" indent="2"/>
    </xf>
    <xf numFmtId="0" fontId="4" fillId="0" borderId="52" xfId="0" applyFont="1" applyBorder="1" applyAlignment="1">
      <alignment horizontal="right" vertical="center" indent="2"/>
    </xf>
    <xf numFmtId="0" fontId="16" fillId="3" borderId="11" xfId="0" applyFont="1" applyFill="1" applyBorder="1" applyAlignment="1">
      <alignment horizontal="right" vertical="center" indent="2"/>
    </xf>
    <xf numFmtId="0" fontId="0" fillId="0" borderId="12" xfId="0" applyBorder="1" applyAlignment="1">
      <alignment horizontal="right" indent="1"/>
    </xf>
    <xf numFmtId="0" fontId="0" fillId="0" borderId="12" xfId="0" applyBorder="1"/>
    <xf numFmtId="4" fontId="0" fillId="0" borderId="5" xfId="0" applyNumberFormat="1" applyBorder="1" applyAlignment="1">
      <alignment horizontal="right" indent="2"/>
    </xf>
    <xf numFmtId="4" fontId="0" fillId="0" borderId="43" xfId="0" applyNumberFormat="1" applyBorder="1" applyAlignment="1">
      <alignment horizontal="right" indent="2"/>
    </xf>
    <xf numFmtId="0" fontId="0" fillId="0" borderId="43" xfId="0" applyBorder="1"/>
    <xf numFmtId="0" fontId="46" fillId="0" borderId="0" xfId="0" applyFont="1"/>
    <xf numFmtId="0" fontId="47" fillId="0" borderId="0" xfId="0" applyFont="1" applyAlignment="1">
      <alignment wrapText="1"/>
    </xf>
    <xf numFmtId="168" fontId="46" fillId="0" borderId="0" xfId="0" applyNumberFormat="1" applyFont="1"/>
    <xf numFmtId="0" fontId="46" fillId="0" borderId="0" xfId="0" applyFont="1" applyAlignment="1">
      <alignment horizontal="center"/>
    </xf>
    <xf numFmtId="0" fontId="47" fillId="0" borderId="0" xfId="0" applyFont="1"/>
    <xf numFmtId="0" fontId="46" fillId="0" borderId="0" xfId="0" applyFont="1" applyAlignment="1">
      <alignment horizontal="center" wrapText="1"/>
    </xf>
    <xf numFmtId="0" fontId="48" fillId="0" borderId="0" xfId="0" applyFont="1" applyAlignment="1">
      <alignment horizontal="center" wrapText="1"/>
    </xf>
    <xf numFmtId="41" fontId="46" fillId="0" borderId="0" xfId="0" applyNumberFormat="1" applyFont="1"/>
    <xf numFmtId="3" fontId="46" fillId="0" borderId="0" xfId="0" applyNumberFormat="1" applyFont="1" applyAlignment="1">
      <alignment horizontal="center"/>
    </xf>
    <xf numFmtId="0" fontId="48" fillId="0" borderId="0" xfId="0" applyFont="1" applyAlignment="1">
      <alignment horizontal="center"/>
    </xf>
    <xf numFmtId="166" fontId="46" fillId="0" borderId="0" xfId="1" applyNumberFormat="1" applyFont="1"/>
    <xf numFmtId="0" fontId="46" fillId="0" borderId="0" xfId="0" applyFont="1" applyAlignment="1">
      <alignment vertical="center"/>
    </xf>
    <xf numFmtId="165" fontId="47" fillId="0" borderId="0" xfId="1" applyNumberFormat="1" applyFont="1" applyAlignment="1">
      <alignment vertical="center"/>
    </xf>
    <xf numFmtId="0" fontId="47" fillId="0" borderId="0" xfId="0" applyFont="1" applyAlignment="1">
      <alignment vertical="center"/>
    </xf>
    <xf numFmtId="43" fontId="46" fillId="0" borderId="0" xfId="1" applyFont="1"/>
    <xf numFmtId="0" fontId="50" fillId="0" borderId="0" xfId="0" applyFont="1"/>
    <xf numFmtId="0" fontId="49" fillId="0" borderId="0" xfId="0" applyFont="1" applyAlignment="1">
      <alignment horizontal="right" vertical="center"/>
    </xf>
    <xf numFmtId="0" fontId="49" fillId="0" borderId="0" xfId="0" applyFont="1" applyAlignment="1">
      <alignment vertical="center"/>
    </xf>
    <xf numFmtId="0" fontId="46" fillId="0" borderId="0" xfId="0" applyFont="1" applyAlignment="1">
      <alignment horizontal="right"/>
    </xf>
    <xf numFmtId="2" fontId="46" fillId="0" borderId="0" xfId="0" applyNumberFormat="1" applyFont="1"/>
    <xf numFmtId="165" fontId="46" fillId="0" borderId="0" xfId="1" applyNumberFormat="1" applyFont="1"/>
    <xf numFmtId="169" fontId="46" fillId="0" borderId="0" xfId="1" applyNumberFormat="1" applyFont="1" applyAlignment="1">
      <alignment horizontal="center"/>
    </xf>
    <xf numFmtId="43" fontId="46" fillId="0" borderId="0" xfId="1" applyFont="1" applyAlignment="1">
      <alignment horizontal="center"/>
    </xf>
    <xf numFmtId="0" fontId="46" fillId="0" borderId="0" xfId="0" applyFont="1" applyAlignment="1">
      <alignment horizontal="right" indent="1"/>
    </xf>
    <xf numFmtId="0" fontId="17" fillId="0" borderId="0" xfId="0" applyFont="1" applyAlignment="1">
      <alignment horizontal="left" vertical="center" indent="1"/>
    </xf>
    <xf numFmtId="0" fontId="0" fillId="0" borderId="0" xfId="0" applyAlignment="1">
      <alignment horizontal="left" vertical="center" indent="1"/>
    </xf>
    <xf numFmtId="0" fontId="51" fillId="0" borderId="0" xfId="0" applyFont="1"/>
    <xf numFmtId="3" fontId="26" fillId="0" borderId="0" xfId="0" applyNumberFormat="1" applyFont="1" applyAlignment="1">
      <alignment horizontal="center" vertical="center"/>
    </xf>
    <xf numFmtId="43" fontId="46" fillId="0" borderId="0" xfId="0" applyNumberFormat="1" applyFont="1"/>
    <xf numFmtId="1" fontId="46" fillId="0" borderId="0" xfId="1" applyNumberFormat="1" applyFont="1" applyAlignment="1">
      <alignment horizontal="right" indent="2"/>
    </xf>
    <xf numFmtId="0" fontId="4" fillId="2" borderId="1" xfId="0" applyFont="1" applyFill="1" applyBorder="1" applyAlignment="1">
      <alignment horizontal="left" vertical="center" indent="2"/>
    </xf>
    <xf numFmtId="2" fontId="4" fillId="3" borderId="1" xfId="0" applyNumberFormat="1" applyFont="1" applyFill="1" applyBorder="1" applyAlignment="1">
      <alignment horizontal="center" vertical="center" wrapText="1"/>
    </xf>
    <xf numFmtId="167" fontId="12" fillId="0" borderId="21" xfId="0" applyNumberFormat="1" applyFont="1" applyBorder="1" applyAlignment="1">
      <alignment horizontal="right" vertical="center" indent="3"/>
    </xf>
    <xf numFmtId="167" fontId="1" fillId="0" borderId="11" xfId="0" applyNumberFormat="1" applyFont="1" applyBorder="1" applyAlignment="1">
      <alignment horizontal="right" vertical="center" indent="3"/>
    </xf>
    <xf numFmtId="167" fontId="12" fillId="0" borderId="49" xfId="0" applyNumberFormat="1" applyFont="1" applyBorder="1" applyAlignment="1">
      <alignment horizontal="right" vertical="center" indent="3"/>
    </xf>
    <xf numFmtId="0" fontId="17" fillId="0" borderId="30" xfId="0" applyFont="1" applyBorder="1"/>
    <xf numFmtId="0" fontId="16" fillId="3" borderId="38" xfId="0" applyFont="1" applyFill="1" applyBorder="1" applyAlignment="1">
      <alignment horizontal="left" vertical="center" wrapText="1" indent="1"/>
    </xf>
    <xf numFmtId="0" fontId="17" fillId="0" borderId="35" xfId="0" applyFont="1" applyBorder="1" applyAlignment="1">
      <alignment horizontal="left" vertical="center" wrapText="1" indent="1"/>
    </xf>
    <xf numFmtId="0" fontId="17" fillId="0" borderId="36" xfId="0" applyFont="1" applyBorder="1" applyAlignment="1">
      <alignment horizontal="left" vertical="center" wrapText="1" indent="1"/>
    </xf>
    <xf numFmtId="0" fontId="17" fillId="0" borderId="37" xfId="0" applyFont="1" applyBorder="1" applyAlignment="1">
      <alignment horizontal="left" vertical="center" wrapText="1" indent="1"/>
    </xf>
    <xf numFmtId="0" fontId="17" fillId="0" borderId="5" xfId="0" applyFont="1" applyBorder="1" applyAlignment="1">
      <alignment horizontal="right" vertical="center" wrapText="1" indent="2"/>
    </xf>
    <xf numFmtId="168" fontId="17" fillId="0" borderId="46" xfId="0" applyNumberFormat="1" applyFont="1" applyBorder="1" applyAlignment="1">
      <alignment horizontal="right" vertical="center" wrapText="1" indent="1"/>
    </xf>
    <xf numFmtId="170" fontId="17" fillId="0" borderId="20" xfId="1" applyNumberFormat="1" applyFont="1" applyBorder="1" applyAlignment="1">
      <alignment horizontal="right" vertical="center" wrapText="1" indent="2"/>
    </xf>
    <xf numFmtId="168" fontId="17" fillId="0" borderId="5" xfId="0" applyNumberFormat="1" applyFont="1" applyBorder="1" applyAlignment="1">
      <alignment horizontal="right" vertical="center" wrapText="1" indent="1"/>
    </xf>
    <xf numFmtId="170" fontId="17" fillId="0" borderId="21" xfId="1" applyNumberFormat="1" applyFont="1" applyBorder="1" applyAlignment="1">
      <alignment horizontal="right" vertical="center" wrapText="1" indent="2"/>
    </xf>
    <xf numFmtId="168" fontId="17" fillId="0" borderId="47" xfId="0" applyNumberFormat="1" applyFont="1" applyBorder="1" applyAlignment="1">
      <alignment horizontal="right" vertical="center" wrapText="1" indent="1"/>
    </xf>
    <xf numFmtId="170" fontId="17" fillId="0" borderId="25" xfId="1" applyNumberFormat="1" applyFont="1" applyBorder="1" applyAlignment="1">
      <alignment horizontal="right" vertical="center" wrapText="1" indent="2"/>
    </xf>
    <xf numFmtId="10" fontId="17" fillId="0" borderId="17" xfId="0" applyNumberFormat="1" applyFont="1" applyBorder="1" applyAlignment="1">
      <alignment horizontal="right" vertical="center" wrapText="1"/>
    </xf>
    <xf numFmtId="169" fontId="17" fillId="0" borderId="18" xfId="1" applyNumberFormat="1" applyFont="1" applyBorder="1" applyAlignment="1">
      <alignment horizontal="center" vertical="center" wrapText="1"/>
    </xf>
    <xf numFmtId="10" fontId="17" fillId="0" borderId="19" xfId="0" applyNumberFormat="1" applyFont="1" applyBorder="1" applyAlignment="1">
      <alignment vertical="center" wrapText="1"/>
    </xf>
    <xf numFmtId="167" fontId="17" fillId="0" borderId="20" xfId="0" applyNumberFormat="1" applyFont="1" applyBorder="1" applyAlignment="1">
      <alignment horizontal="right" vertical="center" wrapText="1" indent="2"/>
    </xf>
    <xf numFmtId="10" fontId="17" fillId="0" borderId="14" xfId="0" applyNumberFormat="1" applyFont="1" applyBorder="1" applyAlignment="1">
      <alignment horizontal="right" vertical="center" wrapText="1"/>
    </xf>
    <xf numFmtId="169" fontId="17" fillId="0" borderId="15" xfId="1" applyNumberFormat="1" applyFont="1" applyBorder="1" applyAlignment="1">
      <alignment horizontal="center" vertical="center" wrapText="1"/>
    </xf>
    <xf numFmtId="10" fontId="17" fillId="0" borderId="16" xfId="0" applyNumberFormat="1" applyFont="1" applyBorder="1" applyAlignment="1">
      <alignment vertical="center" wrapText="1"/>
    </xf>
    <xf numFmtId="167" fontId="17" fillId="0" borderId="21" xfId="0" applyNumberFormat="1" applyFont="1" applyBorder="1" applyAlignment="1">
      <alignment horizontal="right" vertical="center" wrapText="1" indent="2"/>
    </xf>
    <xf numFmtId="10" fontId="17" fillId="0" borderId="22" xfId="0" applyNumberFormat="1" applyFont="1" applyBorder="1" applyAlignment="1">
      <alignment horizontal="right" vertical="center" wrapText="1"/>
    </xf>
    <xf numFmtId="169" fontId="17" fillId="0" borderId="23" xfId="1" applyNumberFormat="1" applyFont="1" applyBorder="1" applyAlignment="1">
      <alignment horizontal="center" vertical="center" wrapText="1"/>
    </xf>
    <xf numFmtId="10" fontId="17" fillId="0" borderId="24" xfId="0" applyNumberFormat="1" applyFont="1" applyBorder="1" applyAlignment="1">
      <alignment vertical="center" wrapText="1"/>
    </xf>
    <xf numFmtId="167" fontId="17" fillId="0" borderId="25" xfId="0" applyNumberFormat="1" applyFont="1" applyBorder="1" applyAlignment="1">
      <alignment horizontal="right" vertical="center" wrapText="1" indent="2"/>
    </xf>
    <xf numFmtId="0" fontId="17" fillId="0" borderId="35" xfId="0" applyFont="1" applyBorder="1" applyAlignment="1">
      <alignment horizontal="left" wrapText="1" indent="1"/>
    </xf>
    <xf numFmtId="168" fontId="17" fillId="0" borderId="44" xfId="0" applyNumberFormat="1" applyFont="1" applyBorder="1" applyAlignment="1">
      <alignment horizontal="right" indent="2"/>
    </xf>
    <xf numFmtId="1" fontId="17" fillId="0" borderId="44" xfId="0" applyNumberFormat="1" applyFont="1" applyBorder="1" applyAlignment="1">
      <alignment horizontal="center" vertical="center"/>
    </xf>
    <xf numFmtId="3" fontId="17" fillId="0" borderId="55" xfId="0" applyNumberFormat="1" applyFont="1" applyBorder="1" applyAlignment="1">
      <alignment horizontal="right" indent="2"/>
    </xf>
    <xf numFmtId="0" fontId="17" fillId="0" borderId="36" xfId="0" applyFont="1" applyBorder="1" applyAlignment="1">
      <alignment horizontal="left" wrapText="1" indent="1"/>
    </xf>
    <xf numFmtId="168" fontId="17" fillId="0" borderId="5" xfId="0" applyNumberFormat="1" applyFont="1" applyBorder="1" applyAlignment="1">
      <alignment horizontal="right" indent="2"/>
    </xf>
    <xf numFmtId="0" fontId="17" fillId="0" borderId="37" xfId="0" applyFont="1" applyBorder="1" applyAlignment="1">
      <alignment horizontal="left" wrapText="1" indent="1"/>
    </xf>
    <xf numFmtId="168" fontId="17" fillId="0" borderId="47" xfId="0" applyNumberFormat="1" applyFont="1" applyBorder="1" applyAlignment="1">
      <alignment horizontal="right" indent="2"/>
    </xf>
    <xf numFmtId="167" fontId="17" fillId="0" borderId="46" xfId="0" applyNumberFormat="1" applyFont="1" applyBorder="1" applyAlignment="1">
      <alignment horizontal="right" vertical="center" wrapText="1" indent="2"/>
    </xf>
    <xf numFmtId="167" fontId="17" fillId="0" borderId="5" xfId="0" applyNumberFormat="1" applyFont="1" applyBorder="1" applyAlignment="1">
      <alignment horizontal="right" vertical="center" wrapText="1" indent="2"/>
    </xf>
    <xf numFmtId="0" fontId="17" fillId="0" borderId="36" xfId="0" applyFont="1" applyBorder="1" applyAlignment="1">
      <alignment horizontal="left" vertical="center" indent="2"/>
    </xf>
    <xf numFmtId="167" fontId="17" fillId="0" borderId="5" xfId="1" applyNumberFormat="1" applyFont="1" applyBorder="1" applyAlignment="1">
      <alignment horizontal="right" vertical="center" indent="2"/>
    </xf>
    <xf numFmtId="0" fontId="17" fillId="0" borderId="37" xfId="0" applyFont="1" applyBorder="1" applyAlignment="1">
      <alignment horizontal="left" vertical="center" indent="2"/>
    </xf>
    <xf numFmtId="167" fontId="17" fillId="0" borderId="47" xfId="1" applyNumberFormat="1" applyFont="1" applyBorder="1" applyAlignment="1">
      <alignment horizontal="center" vertical="center"/>
    </xf>
    <xf numFmtId="0" fontId="17" fillId="0" borderId="35" xfId="0" applyFont="1" applyBorder="1" applyAlignment="1">
      <alignment horizontal="left" vertical="center" indent="1"/>
    </xf>
    <xf numFmtId="167" fontId="17" fillId="0" borderId="44" xfId="0" applyNumberFormat="1" applyFont="1" applyBorder="1" applyAlignment="1">
      <alignment horizontal="right" vertical="center" indent="2"/>
    </xf>
    <xf numFmtId="167" fontId="17" fillId="0" borderId="39" xfId="0" applyNumberFormat="1" applyFont="1" applyBorder="1" applyAlignment="1">
      <alignment horizontal="right" vertical="center" indent="2"/>
    </xf>
    <xf numFmtId="167" fontId="17" fillId="0" borderId="40" xfId="0" applyNumberFormat="1" applyFont="1" applyBorder="1" applyAlignment="1">
      <alignment horizontal="right" vertical="center" indent="2"/>
    </xf>
    <xf numFmtId="167" fontId="17" fillId="0" borderId="55" xfId="0" applyNumberFormat="1" applyFont="1" applyBorder="1" applyAlignment="1">
      <alignment horizontal="right" vertical="center" indent="3"/>
    </xf>
    <xf numFmtId="0" fontId="17" fillId="0" borderId="36" xfId="0" applyFont="1" applyBorder="1" applyAlignment="1">
      <alignment horizontal="left" vertical="center" indent="1"/>
    </xf>
    <xf numFmtId="167" fontId="17" fillId="0" borderId="5" xfId="0" applyNumberFormat="1" applyFont="1" applyBorder="1" applyAlignment="1">
      <alignment horizontal="right" vertical="center" indent="2"/>
    </xf>
    <xf numFmtId="167" fontId="17" fillId="0" borderId="14" xfId="0" applyNumberFormat="1" applyFont="1" applyBorder="1" applyAlignment="1">
      <alignment horizontal="right" vertical="center" indent="2"/>
    </xf>
    <xf numFmtId="167" fontId="17" fillId="0" borderId="16" xfId="0" applyNumberFormat="1" applyFont="1" applyBorder="1" applyAlignment="1">
      <alignment horizontal="right" vertical="center" indent="2"/>
    </xf>
    <xf numFmtId="167" fontId="17" fillId="0" borderId="21" xfId="0" applyNumberFormat="1" applyFont="1" applyBorder="1" applyAlignment="1">
      <alignment horizontal="right" vertical="center" indent="3"/>
    </xf>
    <xf numFmtId="167" fontId="17" fillId="0" borderId="25" xfId="0" applyNumberFormat="1" applyFont="1" applyBorder="1" applyAlignment="1">
      <alignment horizontal="right" vertical="center" indent="3"/>
    </xf>
    <xf numFmtId="0" fontId="4" fillId="0" borderId="37" xfId="0" applyFont="1" applyBorder="1" applyAlignment="1">
      <alignment horizontal="left" vertical="center" indent="3"/>
    </xf>
    <xf numFmtId="167" fontId="4" fillId="0" borderId="47" xfId="0" applyNumberFormat="1" applyFont="1" applyBorder="1" applyAlignment="1">
      <alignment horizontal="right" vertical="center" indent="2"/>
    </xf>
    <xf numFmtId="0" fontId="4" fillId="0" borderId="22" xfId="0" applyFont="1" applyBorder="1" applyAlignment="1">
      <alignment vertical="center"/>
    </xf>
    <xf numFmtId="167" fontId="4" fillId="0" borderId="23" xfId="0" applyNumberFormat="1" applyFont="1" applyBorder="1" applyAlignment="1">
      <alignment horizontal="right" vertical="center" indent="2"/>
    </xf>
    <xf numFmtId="0" fontId="4" fillId="0" borderId="71" xfId="0" applyFont="1" applyBorder="1" applyAlignment="1">
      <alignment vertical="center"/>
    </xf>
    <xf numFmtId="0" fontId="13" fillId="7" borderId="0" xfId="0" applyFont="1" applyFill="1" applyAlignment="1">
      <alignment horizontal="center" vertical="center"/>
    </xf>
    <xf numFmtId="0" fontId="26" fillId="7" borderId="0" xfId="0" applyFont="1" applyFill="1" applyAlignment="1">
      <alignment horizontal="center" vertical="center"/>
    </xf>
    <xf numFmtId="0" fontId="0" fillId="7" borderId="0" xfId="0" applyFill="1"/>
    <xf numFmtId="0" fontId="4" fillId="7" borderId="0" xfId="0" applyFont="1" applyFill="1"/>
    <xf numFmtId="0" fontId="0" fillId="7" borderId="41" xfId="0" applyFill="1" applyBorder="1"/>
    <xf numFmtId="0" fontId="0" fillId="7" borderId="6" xfId="0" applyFill="1" applyBorder="1"/>
    <xf numFmtId="0" fontId="35" fillId="7" borderId="7" xfId="0" applyFont="1" applyFill="1" applyBorder="1"/>
    <xf numFmtId="0" fontId="0" fillId="7" borderId="7" xfId="0" applyFill="1" applyBorder="1"/>
    <xf numFmtId="0" fontId="0" fillId="7" borderId="8" xfId="0" applyFill="1" applyBorder="1"/>
    <xf numFmtId="0" fontId="0" fillId="7" borderId="9" xfId="0" applyFill="1" applyBorder="1"/>
    <xf numFmtId="0" fontId="0" fillId="7" borderId="10" xfId="0" applyFill="1" applyBorder="1"/>
    <xf numFmtId="0" fontId="13" fillId="7" borderId="0" xfId="0" applyFont="1" applyFill="1" applyAlignment="1">
      <alignment horizontal="left" indent="5"/>
    </xf>
    <xf numFmtId="169" fontId="0" fillId="7" borderId="10" xfId="0" applyNumberFormat="1" applyFill="1" applyBorder="1"/>
    <xf numFmtId="0" fontId="0" fillId="7" borderId="78" xfId="0" applyFill="1" applyBorder="1"/>
    <xf numFmtId="2" fontId="4" fillId="7" borderId="78" xfId="0" applyNumberFormat="1" applyFont="1" applyFill="1" applyBorder="1" applyAlignment="1">
      <alignment horizontal="right" vertical="center" indent="1"/>
    </xf>
    <xf numFmtId="0" fontId="0" fillId="7" borderId="39" xfId="0" applyFill="1" applyBorder="1"/>
    <xf numFmtId="0" fontId="12" fillId="7" borderId="41" xfId="0" applyFont="1" applyFill="1" applyBorder="1"/>
    <xf numFmtId="0" fontId="0" fillId="7" borderId="40" xfId="0" applyFill="1" applyBorder="1"/>
    <xf numFmtId="0" fontId="4" fillId="0" borderId="0" xfId="0" applyFont="1" applyAlignment="1">
      <alignment horizontal="left" vertical="center" indent="1"/>
    </xf>
    <xf numFmtId="1" fontId="46" fillId="0" borderId="0" xfId="1" applyNumberFormat="1" applyFont="1" applyAlignment="1">
      <alignment horizontal="right" indent="1"/>
    </xf>
    <xf numFmtId="0" fontId="20" fillId="0" borderId="0" xfId="0" applyFont="1"/>
    <xf numFmtId="1" fontId="4" fillId="0" borderId="0" xfId="0" applyNumberFormat="1" applyFont="1"/>
    <xf numFmtId="2" fontId="46" fillId="0" borderId="0" xfId="0" applyNumberFormat="1" applyFont="1" applyAlignment="1">
      <alignment horizontal="right" indent="2"/>
    </xf>
    <xf numFmtId="1" fontId="46" fillId="0" borderId="0" xfId="0" applyNumberFormat="1" applyFont="1" applyAlignment="1">
      <alignment horizontal="right" indent="2"/>
    </xf>
    <xf numFmtId="0" fontId="46" fillId="0" borderId="0" xfId="0" applyFont="1" applyAlignment="1">
      <alignment horizontal="right" indent="2"/>
    </xf>
    <xf numFmtId="0" fontId="54" fillId="0" borderId="0" xfId="0" applyFont="1"/>
    <xf numFmtId="0" fontId="54" fillId="0" borderId="0" xfId="0" applyFont="1" applyAlignment="1">
      <alignment horizontal="left" indent="1"/>
    </xf>
    <xf numFmtId="10" fontId="54" fillId="0" borderId="0" xfId="3" applyNumberFormat="1" applyFont="1"/>
    <xf numFmtId="0" fontId="4" fillId="0" borderId="0" xfId="0" applyFont="1" applyAlignment="1">
      <alignment horizontal="left" vertical="center"/>
    </xf>
    <xf numFmtId="0" fontId="4" fillId="0" borderId="0" xfId="0" applyFont="1" applyAlignment="1">
      <alignment horizontal="justify"/>
    </xf>
    <xf numFmtId="0" fontId="13" fillId="7" borderId="0" xfId="0" applyFont="1" applyFill="1" applyAlignment="1">
      <alignment horizontal="right"/>
    </xf>
    <xf numFmtId="10" fontId="13" fillId="7" borderId="0" xfId="0" applyNumberFormat="1" applyFont="1" applyFill="1" applyAlignment="1">
      <alignment horizontal="center" vertical="center"/>
    </xf>
    <xf numFmtId="0" fontId="13" fillId="7" borderId="0" xfId="0" applyFont="1" applyFill="1" applyAlignment="1">
      <alignment horizontal="left" vertical="center"/>
    </xf>
    <xf numFmtId="0" fontId="13" fillId="7" borderId="0" xfId="0" applyFont="1" applyFill="1"/>
    <xf numFmtId="168" fontId="13" fillId="7" borderId="0" xfId="3" applyNumberFormat="1" applyFont="1" applyFill="1" applyAlignment="1">
      <alignment horizontal="center"/>
    </xf>
    <xf numFmtId="169" fontId="17" fillId="3" borderId="12" xfId="1" applyNumberFormat="1" applyFont="1" applyFill="1" applyBorder="1" applyAlignment="1">
      <alignment horizontal="center" vertical="center" wrapText="1"/>
    </xf>
    <xf numFmtId="2" fontId="46" fillId="0" borderId="0" xfId="0" applyNumberFormat="1" applyFont="1" applyAlignment="1">
      <alignment horizontal="right" indent="1"/>
    </xf>
    <xf numFmtId="10" fontId="17" fillId="0" borderId="69" xfId="3" applyNumberFormat="1" applyFont="1" applyBorder="1" applyAlignment="1">
      <alignment horizontal="right" indent="2"/>
    </xf>
    <xf numFmtId="10" fontId="17" fillId="0" borderId="68" xfId="3" applyNumberFormat="1" applyFont="1" applyBorder="1" applyAlignment="1">
      <alignment horizontal="right" indent="2"/>
    </xf>
    <xf numFmtId="10" fontId="17" fillId="0" borderId="83" xfId="3" applyNumberFormat="1" applyFont="1" applyBorder="1" applyAlignment="1">
      <alignment horizontal="right" indent="2"/>
    </xf>
    <xf numFmtId="10" fontId="17" fillId="0" borderId="84" xfId="3" applyNumberFormat="1" applyFont="1" applyBorder="1" applyAlignment="1">
      <alignment horizontal="right" indent="2"/>
    </xf>
    <xf numFmtId="10" fontId="12" fillId="3" borderId="11" xfId="3" applyNumberFormat="1" applyFont="1" applyFill="1" applyBorder="1" applyAlignment="1">
      <alignment horizontal="right" vertical="center" indent="2"/>
    </xf>
    <xf numFmtId="0" fontId="57" fillId="0" borderId="0" xfId="0" applyFont="1"/>
    <xf numFmtId="0" fontId="57" fillId="0" borderId="5" xfId="0" applyFont="1" applyBorder="1"/>
    <xf numFmtId="0" fontId="57" fillId="0" borderId="5" xfId="0" applyFont="1" applyBorder="1" applyAlignment="1">
      <alignment horizontal="center"/>
    </xf>
    <xf numFmtId="3" fontId="57" fillId="0" borderId="0" xfId="0" applyNumberFormat="1" applyFont="1"/>
    <xf numFmtId="0" fontId="0" fillId="6" borderId="0" xfId="0" applyFill="1"/>
    <xf numFmtId="0" fontId="0" fillId="6" borderId="65" xfId="0" applyFill="1" applyBorder="1"/>
    <xf numFmtId="0" fontId="0" fillId="6" borderId="90" xfId="0" applyFill="1" applyBorder="1"/>
    <xf numFmtId="49" fontId="12" fillId="6" borderId="27" xfId="0" applyNumberFormat="1" applyFont="1" applyFill="1" applyBorder="1" applyAlignment="1">
      <alignment vertical="top"/>
    </xf>
    <xf numFmtId="49" fontId="12" fillId="6" borderId="30" xfId="0" applyNumberFormat="1" applyFont="1" applyFill="1" applyBorder="1" applyAlignment="1">
      <alignment vertical="top"/>
    </xf>
    <xf numFmtId="0" fontId="0" fillId="6" borderId="31" xfId="0" applyFill="1" applyBorder="1"/>
    <xf numFmtId="0" fontId="0" fillId="6" borderId="0" xfId="0" applyFill="1" applyAlignment="1">
      <alignment vertical="top"/>
    </xf>
    <xf numFmtId="0" fontId="15" fillId="6" borderId="0" xfId="0" applyFont="1" applyFill="1" applyAlignment="1">
      <alignment horizontal="left" vertical="center" indent="1"/>
    </xf>
    <xf numFmtId="0" fontId="0" fillId="6" borderId="0" xfId="0" applyFill="1" applyAlignment="1">
      <alignment vertical="top" wrapText="1"/>
    </xf>
    <xf numFmtId="0" fontId="0" fillId="6" borderId="0" xfId="0" applyFill="1" applyAlignment="1">
      <alignment wrapText="1"/>
    </xf>
    <xf numFmtId="0" fontId="0" fillId="6" borderId="31" xfId="0" applyFill="1" applyBorder="1" applyAlignment="1">
      <alignment wrapText="1"/>
    </xf>
    <xf numFmtId="0" fontId="4" fillId="6" borderId="0" xfId="0" applyFont="1" applyFill="1"/>
    <xf numFmtId="0" fontId="12" fillId="6" borderId="0" xfId="0" applyFont="1" applyFill="1" applyAlignment="1">
      <alignment horizontal="left" vertical="center"/>
    </xf>
    <xf numFmtId="0" fontId="12" fillId="6" borderId="0" xfId="0" applyFont="1" applyFill="1" applyAlignment="1">
      <alignment vertical="center"/>
    </xf>
    <xf numFmtId="0" fontId="12" fillId="6" borderId="0" xfId="0" applyFont="1" applyFill="1" applyAlignment="1">
      <alignment horizontal="right" vertical="center"/>
    </xf>
    <xf numFmtId="0" fontId="4" fillId="6" borderId="0" xfId="0" applyFont="1" applyFill="1" applyAlignment="1">
      <alignment horizontal="left" vertical="center"/>
    </xf>
    <xf numFmtId="0" fontId="4" fillId="6" borderId="0" xfId="0" applyFont="1" applyFill="1" applyAlignment="1">
      <alignment vertical="center"/>
    </xf>
    <xf numFmtId="43" fontId="12" fillId="6" borderId="0" xfId="1" applyFont="1" applyFill="1" applyAlignment="1">
      <alignment horizontal="center" vertical="center"/>
    </xf>
    <xf numFmtId="0" fontId="0" fillId="6" borderId="0" xfId="0" applyFill="1" applyAlignment="1">
      <alignment vertical="center"/>
    </xf>
    <xf numFmtId="0" fontId="4" fillId="6" borderId="0" xfId="0" applyFont="1" applyFill="1" applyAlignment="1">
      <alignment horizontal="right" vertical="center"/>
    </xf>
    <xf numFmtId="49" fontId="12" fillId="6" borderId="63" xfId="0" applyNumberFormat="1" applyFont="1" applyFill="1" applyBorder="1" applyAlignment="1">
      <alignment vertical="top"/>
    </xf>
    <xf numFmtId="0" fontId="4" fillId="6" borderId="61" xfId="0" applyFont="1" applyFill="1" applyBorder="1" applyAlignment="1">
      <alignment horizontal="center" vertical="top"/>
    </xf>
    <xf numFmtId="0" fontId="12" fillId="6" borderId="0" xfId="0" applyFont="1" applyFill="1"/>
    <xf numFmtId="49" fontId="12" fillId="6" borderId="32" xfId="0" applyNumberFormat="1" applyFont="1" applyFill="1" applyBorder="1" applyAlignment="1">
      <alignment vertical="top"/>
    </xf>
    <xf numFmtId="0" fontId="12" fillId="6" borderId="33" xfId="0" applyFont="1" applyFill="1" applyBorder="1"/>
    <xf numFmtId="0" fontId="12" fillId="6" borderId="34" xfId="0" applyFont="1" applyFill="1" applyBorder="1"/>
    <xf numFmtId="2" fontId="2" fillId="6" borderId="30" xfId="0" applyNumberFormat="1" applyFont="1" applyFill="1" applyBorder="1" applyAlignment="1">
      <alignment vertical="top"/>
    </xf>
    <xf numFmtId="0" fontId="12" fillId="6" borderId="0" xfId="0" applyFont="1" applyFill="1" applyAlignment="1">
      <alignment horizontal="left" indent="2"/>
    </xf>
    <xf numFmtId="0" fontId="12" fillId="6" borderId="0" xfId="0" applyFont="1" applyFill="1" applyAlignment="1">
      <alignment horizontal="center"/>
    </xf>
    <xf numFmtId="0" fontId="0" fillId="6" borderId="28" xfId="0" applyFill="1" applyBorder="1"/>
    <xf numFmtId="0" fontId="26" fillId="6" borderId="29" xfId="0" applyFont="1" applyFill="1" applyBorder="1" applyAlignment="1">
      <alignment horizontal="center" vertical="center"/>
    </xf>
    <xf numFmtId="0" fontId="0" fillId="6" borderId="0" xfId="0" applyFill="1" applyAlignment="1">
      <alignment horizontal="right" vertical="top"/>
    </xf>
    <xf numFmtId="0" fontId="52" fillId="6" borderId="0" xfId="0" applyFont="1" applyFill="1"/>
    <xf numFmtId="0" fontId="17" fillId="6" borderId="31" xfId="0" applyFont="1" applyFill="1" applyBorder="1"/>
    <xf numFmtId="0" fontId="17" fillId="6" borderId="0" xfId="0" applyFont="1" applyFill="1"/>
    <xf numFmtId="3" fontId="4" fillId="6" borderId="11" xfId="0" applyNumberFormat="1" applyFont="1" applyFill="1" applyBorder="1" applyAlignment="1">
      <alignment horizontal="right" vertical="center" wrapText="1" indent="1"/>
    </xf>
    <xf numFmtId="168" fontId="12" fillId="6" borderId="12" xfId="3" applyNumberFormat="1" applyFont="1" applyFill="1" applyBorder="1" applyAlignment="1">
      <alignment horizontal="right" indent="2"/>
    </xf>
    <xf numFmtId="168" fontId="12" fillId="6" borderId="12" xfId="3" applyNumberFormat="1" applyFont="1" applyFill="1" applyBorder="1" applyAlignment="1">
      <alignment horizontal="right" indent="1"/>
    </xf>
    <xf numFmtId="0" fontId="4" fillId="6" borderId="0" xfId="0" applyFont="1" applyFill="1" applyAlignment="1">
      <alignment horizontal="center" vertical="top"/>
    </xf>
    <xf numFmtId="0" fontId="1" fillId="6" borderId="0" xfId="0" applyFont="1" applyFill="1" applyAlignment="1">
      <alignment horizontal="center" vertical="top"/>
    </xf>
    <xf numFmtId="0" fontId="4" fillId="6" borderId="33" xfId="0" applyFont="1" applyFill="1" applyBorder="1" applyAlignment="1">
      <alignment horizontal="left" vertical="top"/>
    </xf>
    <xf numFmtId="0" fontId="4" fillId="6" borderId="33" xfId="0" applyFont="1" applyFill="1" applyBorder="1" applyAlignment="1">
      <alignment horizontal="center" vertical="top"/>
    </xf>
    <xf numFmtId="0" fontId="1" fillId="6" borderId="33" xfId="0" applyFont="1" applyFill="1" applyBorder="1" applyAlignment="1">
      <alignment horizontal="center" vertical="top"/>
    </xf>
    <xf numFmtId="0" fontId="4" fillId="6" borderId="33" xfId="0" applyFont="1" applyFill="1" applyBorder="1" applyAlignment="1">
      <alignment horizontal="right" vertical="top"/>
    </xf>
    <xf numFmtId="0" fontId="0" fillId="6" borderId="34" xfId="0" applyFill="1" applyBorder="1" applyAlignment="1">
      <alignment vertical="top"/>
    </xf>
    <xf numFmtId="0" fontId="13" fillId="6" borderId="33" xfId="0" applyFont="1" applyFill="1" applyBorder="1" applyAlignment="1">
      <alignment horizontal="center" vertical="top"/>
    </xf>
    <xf numFmtId="0" fontId="12" fillId="6" borderId="28" xfId="0" applyFont="1" applyFill="1" applyBorder="1"/>
    <xf numFmtId="0" fontId="11" fillId="6" borderId="28" xfId="0" applyFont="1" applyFill="1" applyBorder="1" applyAlignment="1">
      <alignment horizontal="left"/>
    </xf>
    <xf numFmtId="0" fontId="12" fillId="6" borderId="29" xfId="0" applyFont="1" applyFill="1" applyBorder="1"/>
    <xf numFmtId="0" fontId="0" fillId="6" borderId="31" xfId="0" applyFill="1" applyBorder="1" applyAlignment="1">
      <alignment horizontal="left" wrapText="1" indent="1"/>
    </xf>
    <xf numFmtId="0" fontId="22" fillId="6" borderId="0" xfId="0" applyFont="1" applyFill="1" applyAlignment="1">
      <alignment vertical="top"/>
    </xf>
    <xf numFmtId="0" fontId="12" fillId="6" borderId="31" xfId="0" applyFont="1" applyFill="1" applyBorder="1"/>
    <xf numFmtId="0" fontId="39" fillId="6" borderId="0" xfId="0" applyFont="1" applyFill="1"/>
    <xf numFmtId="0" fontId="18" fillId="6" borderId="0" xfId="0" applyFont="1" applyFill="1"/>
    <xf numFmtId="0" fontId="18" fillId="6" borderId="31" xfId="0" applyFont="1" applyFill="1" applyBorder="1"/>
    <xf numFmtId="0" fontId="6" fillId="6" borderId="0" xfId="0" applyFont="1" applyFill="1" applyAlignment="1">
      <alignment horizontal="center" wrapText="1"/>
    </xf>
    <xf numFmtId="0" fontId="6" fillId="6" borderId="0" xfId="0" applyFont="1" applyFill="1" applyAlignment="1">
      <alignment horizontal="right" indent="3"/>
    </xf>
    <xf numFmtId="3" fontId="2" fillId="6" borderId="0" xfId="0" applyNumberFormat="1" applyFont="1" applyFill="1"/>
    <xf numFmtId="0" fontId="12" fillId="6" borderId="61" xfId="0" applyFont="1" applyFill="1" applyBorder="1"/>
    <xf numFmtId="0" fontId="0" fillId="6" borderId="61" xfId="0" applyFill="1" applyBorder="1"/>
    <xf numFmtId="0" fontId="12" fillId="6" borderId="62" xfId="0" applyFont="1" applyFill="1" applyBorder="1"/>
    <xf numFmtId="0" fontId="22" fillId="6" borderId="0" xfId="0" applyFont="1" applyFill="1"/>
    <xf numFmtId="0" fontId="4" fillId="6" borderId="0" xfId="0" applyFont="1" applyFill="1" applyAlignment="1">
      <alignment horizontal="right"/>
    </xf>
    <xf numFmtId="0" fontId="13" fillId="6" borderId="0" xfId="0" applyFont="1" applyFill="1" applyAlignment="1">
      <alignment horizontal="left"/>
    </xf>
    <xf numFmtId="4" fontId="4" fillId="6" borderId="0" xfId="1" applyNumberFormat="1" applyFont="1" applyFill="1" applyAlignment="1">
      <alignment horizontal="center"/>
    </xf>
    <xf numFmtId="0" fontId="12" fillId="6" borderId="33" xfId="0" applyFont="1" applyFill="1" applyBorder="1" applyAlignment="1">
      <alignment horizontal="right"/>
    </xf>
    <xf numFmtId="0" fontId="0" fillId="6" borderId="33" xfId="0" applyFill="1" applyBorder="1"/>
    <xf numFmtId="0" fontId="4" fillId="6" borderId="28" xfId="0" applyFont="1" applyFill="1" applyBorder="1"/>
    <xf numFmtId="0" fontId="0" fillId="6" borderId="28" xfId="0" applyFill="1" applyBorder="1" applyAlignment="1">
      <alignment horizontal="center"/>
    </xf>
    <xf numFmtId="0" fontId="0" fillId="6" borderId="29" xfId="0" applyFill="1" applyBorder="1" applyAlignment="1">
      <alignment horizontal="center"/>
    </xf>
    <xf numFmtId="0" fontId="0" fillId="6" borderId="0" xfId="0" applyFill="1" applyAlignment="1">
      <alignment horizontal="center"/>
    </xf>
    <xf numFmtId="0" fontId="0" fillId="6" borderId="31" xfId="0" applyFill="1" applyBorder="1" applyAlignment="1">
      <alignment horizontal="center"/>
    </xf>
    <xf numFmtId="0" fontId="18" fillId="6" borderId="0" xfId="0" applyFont="1" applyFill="1" applyAlignment="1">
      <alignment vertical="top" wrapText="1"/>
    </xf>
    <xf numFmtId="0" fontId="18" fillId="6" borderId="31" xfId="0" applyFont="1" applyFill="1" applyBorder="1" applyAlignment="1">
      <alignment vertical="top" wrapText="1"/>
    </xf>
    <xf numFmtId="0" fontId="12" fillId="6" borderId="0" xfId="0" applyFont="1" applyFill="1" applyAlignment="1">
      <alignment horizontal="left" indent="4"/>
    </xf>
    <xf numFmtId="0" fontId="13" fillId="6" borderId="0" xfId="0" applyFont="1" applyFill="1" applyAlignment="1">
      <alignment horizontal="right"/>
    </xf>
    <xf numFmtId="0" fontId="12" fillId="6" borderId="0" xfId="0" applyFont="1" applyFill="1" applyAlignment="1">
      <alignment horizontal="right"/>
    </xf>
    <xf numFmtId="10" fontId="12" fillId="6" borderId="0" xfId="0" applyNumberFormat="1" applyFont="1" applyFill="1" applyAlignment="1">
      <alignment horizontal="right"/>
    </xf>
    <xf numFmtId="0" fontId="13" fillId="6" borderId="0" xfId="0" applyFont="1" applyFill="1" applyAlignment="1">
      <alignment horizontal="right" indent="1"/>
    </xf>
    <xf numFmtId="2" fontId="13" fillId="6" borderId="0" xfId="0" applyNumberFormat="1" applyFont="1" applyFill="1"/>
    <xf numFmtId="168" fontId="4" fillId="6" borderId="0" xfId="0" applyNumberFormat="1" applyFont="1" applyFill="1" applyAlignment="1">
      <alignment horizontal="right" indent="1"/>
    </xf>
    <xf numFmtId="167" fontId="13" fillId="8" borderId="5" xfId="0" applyNumberFormat="1" applyFont="1" applyFill="1" applyBorder="1" applyAlignment="1">
      <alignment horizontal="right" indent="1"/>
    </xf>
    <xf numFmtId="49" fontId="0" fillId="6" borderId="30" xfId="0" applyNumberFormat="1" applyFill="1" applyBorder="1" applyAlignment="1">
      <alignment vertical="top"/>
    </xf>
    <xf numFmtId="164" fontId="0" fillId="6" borderId="0" xfId="0" applyNumberFormat="1" applyFill="1"/>
    <xf numFmtId="0" fontId="1" fillId="6" borderId="0" xfId="0" applyFont="1" applyFill="1"/>
    <xf numFmtId="0" fontId="0" fillId="6" borderId="34" xfId="0" applyFill="1" applyBorder="1"/>
    <xf numFmtId="0" fontId="12" fillId="6" borderId="28" xfId="0" applyFont="1" applyFill="1" applyBorder="1" applyAlignment="1">
      <alignment horizontal="left" indent="2"/>
    </xf>
    <xf numFmtId="0" fontId="18" fillId="6" borderId="0" xfId="0" applyFont="1" applyFill="1" applyAlignment="1">
      <alignment wrapText="1"/>
    </xf>
    <xf numFmtId="0" fontId="36" fillId="6" borderId="0" xfId="0" applyFont="1" applyFill="1"/>
    <xf numFmtId="1" fontId="4" fillId="6" borderId="0" xfId="0" applyNumberFormat="1" applyFont="1" applyFill="1" applyAlignment="1">
      <alignment horizontal="center"/>
    </xf>
    <xf numFmtId="0" fontId="4" fillId="6" borderId="0" xfId="0" applyFont="1" applyFill="1" applyAlignment="1">
      <alignment horizontal="left"/>
    </xf>
    <xf numFmtId="168" fontId="4" fillId="6" borderId="0" xfId="3" applyNumberFormat="1" applyFont="1" applyFill="1" applyAlignment="1">
      <alignment horizontal="center"/>
    </xf>
    <xf numFmtId="0" fontId="4" fillId="6" borderId="0" xfId="0" applyFont="1" applyFill="1" applyAlignment="1">
      <alignment horizontal="left" vertical="center" wrapText="1" indent="3"/>
    </xf>
    <xf numFmtId="168" fontId="12" fillId="6" borderId="0" xfId="0" applyNumberFormat="1" applyFont="1" applyFill="1" applyAlignment="1">
      <alignment horizontal="right" vertical="center" indent="2"/>
    </xf>
    <xf numFmtId="3" fontId="12" fillId="6" borderId="0" xfId="0" applyNumberFormat="1" applyFont="1" applyFill="1" applyAlignment="1">
      <alignment horizontal="right" vertical="center" indent="3"/>
    </xf>
    <xf numFmtId="1" fontId="12" fillId="6" borderId="0" xfId="0" applyNumberFormat="1" applyFont="1" applyFill="1" applyAlignment="1">
      <alignment horizontal="right" vertical="center" indent="2"/>
    </xf>
    <xf numFmtId="0" fontId="0" fillId="6" borderId="31" xfId="0" applyFill="1" applyBorder="1" applyAlignment="1">
      <alignment horizontal="center" vertical="center"/>
    </xf>
    <xf numFmtId="0" fontId="0" fillId="6" borderId="31" xfId="0" applyFill="1" applyBorder="1" applyAlignment="1">
      <alignment horizontal="center" vertical="center" wrapText="1"/>
    </xf>
    <xf numFmtId="0" fontId="27" fillId="6" borderId="0" xfId="0" applyFont="1" applyFill="1" applyAlignment="1">
      <alignment wrapText="1"/>
    </xf>
    <xf numFmtId="0" fontId="18" fillId="6" borderId="31" xfId="0" applyFont="1" applyFill="1" applyBorder="1" applyAlignment="1">
      <alignment wrapText="1"/>
    </xf>
    <xf numFmtId="2" fontId="18" fillId="6" borderId="0" xfId="0" applyNumberFormat="1" applyFont="1" applyFill="1" applyAlignment="1">
      <alignment wrapText="1"/>
    </xf>
    <xf numFmtId="0" fontId="4" fillId="6" borderId="2" xfId="0" applyFont="1" applyFill="1" applyBorder="1" applyAlignment="1">
      <alignment horizontal="center" vertical="center" wrapText="1"/>
    </xf>
    <xf numFmtId="168" fontId="0" fillId="6" borderId="0" xfId="3" applyNumberFormat="1" applyFont="1" applyFill="1"/>
    <xf numFmtId="167" fontId="12" fillId="6" borderId="17" xfId="0" applyNumberFormat="1" applyFont="1" applyFill="1" applyBorder="1" applyAlignment="1">
      <alignment horizontal="right" indent="2"/>
    </xf>
    <xf numFmtId="0" fontId="17" fillId="6" borderId="6" xfId="0" applyFont="1" applyFill="1" applyBorder="1"/>
    <xf numFmtId="0" fontId="17" fillId="6" borderId="7" xfId="0" applyFont="1" applyFill="1" applyBorder="1"/>
    <xf numFmtId="1" fontId="0" fillId="6" borderId="0" xfId="0" applyNumberFormat="1" applyFill="1"/>
    <xf numFmtId="0" fontId="0" fillId="6" borderId="32" xfId="0" applyFill="1" applyBorder="1"/>
    <xf numFmtId="49" fontId="0" fillId="6" borderId="6" xfId="0" applyNumberFormat="1" applyFill="1" applyBorder="1" applyAlignment="1">
      <alignment vertical="top"/>
    </xf>
    <xf numFmtId="0" fontId="39" fillId="6" borderId="7" xfId="0" applyFont="1" applyFill="1" applyBorder="1"/>
    <xf numFmtId="0" fontId="39" fillId="6" borderId="7" xfId="0" applyFont="1" applyFill="1" applyBorder="1" applyAlignment="1">
      <alignment horizontal="center"/>
    </xf>
    <xf numFmtId="0" fontId="39" fillId="6" borderId="8" xfId="0" applyFont="1" applyFill="1" applyBorder="1"/>
    <xf numFmtId="49" fontId="0" fillId="6" borderId="9" xfId="0" applyNumberFormat="1" applyFill="1" applyBorder="1" applyAlignment="1">
      <alignment vertical="top"/>
    </xf>
    <xf numFmtId="0" fontId="38" fillId="6" borderId="0" xfId="0" applyFont="1" applyFill="1"/>
    <xf numFmtId="0" fontId="39" fillId="6" borderId="0" xfId="0" applyFont="1" applyFill="1" applyAlignment="1">
      <alignment horizontal="center"/>
    </xf>
    <xf numFmtId="0" fontId="39" fillId="6" borderId="10" xfId="0" applyFont="1" applyFill="1" applyBorder="1"/>
    <xf numFmtId="0" fontId="39" fillId="6" borderId="9" xfId="0" applyFont="1" applyFill="1" applyBorder="1" applyAlignment="1">
      <alignment horizontal="justify" vertical="center"/>
    </xf>
    <xf numFmtId="0" fontId="0" fillId="6" borderId="10" xfId="0" applyFill="1" applyBorder="1" applyAlignment="1">
      <alignment horizontal="justify" vertical="center"/>
    </xf>
    <xf numFmtId="0" fontId="0" fillId="6" borderId="9" xfId="0" applyFill="1" applyBorder="1" applyAlignment="1">
      <alignment horizontal="justify" vertical="center"/>
    </xf>
    <xf numFmtId="0" fontId="0" fillId="6" borderId="0" xfId="0" applyFill="1" applyAlignment="1">
      <alignment horizontal="justify" vertical="center"/>
    </xf>
    <xf numFmtId="0" fontId="0" fillId="6" borderId="9" xfId="0" applyFill="1" applyBorder="1"/>
    <xf numFmtId="0" fontId="0" fillId="6" borderId="0" xfId="0" applyFill="1" applyAlignment="1">
      <alignment horizontal="right" vertical="center" indent="1"/>
    </xf>
    <xf numFmtId="49" fontId="0" fillId="6" borderId="39" xfId="0" applyNumberFormat="1" applyFill="1" applyBorder="1" applyAlignment="1">
      <alignment vertical="top"/>
    </xf>
    <xf numFmtId="0" fontId="0" fillId="6" borderId="41" xfId="0" applyFill="1" applyBorder="1" applyAlignment="1">
      <alignment vertical="center"/>
    </xf>
    <xf numFmtId="0" fontId="0" fillId="6" borderId="41" xfId="0" applyFill="1" applyBorder="1"/>
    <xf numFmtId="0" fontId="0" fillId="6" borderId="40" xfId="0" applyFill="1" applyBorder="1"/>
    <xf numFmtId="0" fontId="0" fillId="6" borderId="10" xfId="0" applyFill="1" applyBorder="1"/>
    <xf numFmtId="0" fontId="39" fillId="6" borderId="9" xfId="0" applyFont="1" applyFill="1" applyBorder="1"/>
    <xf numFmtId="0" fontId="0" fillId="6" borderId="30" xfId="0" applyFill="1" applyBorder="1"/>
    <xf numFmtId="0" fontId="40" fillId="6" borderId="0" xfId="0" applyFont="1" applyFill="1" applyAlignment="1">
      <alignment horizontal="left"/>
    </xf>
    <xf numFmtId="0" fontId="41" fillId="6" borderId="0" xfId="0" applyFont="1" applyFill="1"/>
    <xf numFmtId="0" fontId="42" fillId="6" borderId="0" xfId="0" applyFont="1" applyFill="1"/>
    <xf numFmtId="0" fontId="0" fillId="6" borderId="89" xfId="0" applyFill="1" applyBorder="1"/>
    <xf numFmtId="0" fontId="0" fillId="6" borderId="91" xfId="0" applyFill="1" applyBorder="1"/>
    <xf numFmtId="0" fontId="0" fillId="6" borderId="92" xfId="0" applyFill="1" applyBorder="1"/>
    <xf numFmtId="0" fontId="0" fillId="6" borderId="93" xfId="0" applyFill="1" applyBorder="1"/>
    <xf numFmtId="0" fontId="0" fillId="6" borderId="61" xfId="0" applyFill="1" applyBorder="1" applyAlignment="1">
      <alignment wrapText="1"/>
    </xf>
    <xf numFmtId="0" fontId="0" fillId="6" borderId="94" xfId="0" applyFill="1" applyBorder="1"/>
    <xf numFmtId="0" fontId="0" fillId="0" borderId="65" xfId="0" applyBorder="1" applyAlignment="1">
      <alignment wrapText="1"/>
    </xf>
    <xf numFmtId="0" fontId="40" fillId="6" borderId="65" xfId="0" applyFont="1" applyFill="1" applyBorder="1" applyAlignment="1">
      <alignment horizontal="left"/>
    </xf>
    <xf numFmtId="0" fontId="1" fillId="6" borderId="92" xfId="0" applyFont="1" applyFill="1" applyBorder="1" applyAlignment="1">
      <alignment horizontal="left" vertical="top"/>
    </xf>
    <xf numFmtId="0" fontId="4" fillId="6" borderId="0" xfId="0" applyFont="1" applyFill="1" applyAlignment="1">
      <alignment horizontal="justify"/>
    </xf>
    <xf numFmtId="0" fontId="1" fillId="6" borderId="92" xfId="0" applyFont="1" applyFill="1" applyBorder="1"/>
    <xf numFmtId="0" fontId="4" fillId="6" borderId="92" xfId="0" applyFont="1" applyFill="1" applyBorder="1"/>
    <xf numFmtId="0" fontId="1" fillId="6" borderId="92" xfId="0" applyFont="1" applyFill="1" applyBorder="1" applyAlignment="1">
      <alignment horizontal="left"/>
    </xf>
    <xf numFmtId="0" fontId="62" fillId="6" borderId="65" xfId="0" applyFont="1" applyFill="1" applyBorder="1" applyAlignment="1">
      <alignment horizontal="left"/>
    </xf>
    <xf numFmtId="0" fontId="62" fillId="6" borderId="0" xfId="0" applyFont="1" applyFill="1" applyAlignment="1">
      <alignment horizontal="left"/>
    </xf>
    <xf numFmtId="0" fontId="1" fillId="6" borderId="31" xfId="0" applyFont="1" applyFill="1" applyBorder="1" applyAlignment="1">
      <alignment horizontal="left"/>
    </xf>
    <xf numFmtId="0" fontId="4" fillId="6" borderId="31" xfId="0" applyFont="1" applyFill="1" applyBorder="1" applyAlignment="1">
      <alignment vertical="top"/>
    </xf>
    <xf numFmtId="0" fontId="0" fillId="6" borderId="31" xfId="0" applyFill="1" applyBorder="1" applyAlignment="1">
      <alignment horizontal="left" wrapText="1"/>
    </xf>
    <xf numFmtId="0" fontId="7" fillId="6" borderId="33" xfId="0" applyFont="1" applyFill="1" applyBorder="1" applyAlignment="1">
      <alignment horizontal="center" vertical="top"/>
    </xf>
    <xf numFmtId="0" fontId="18" fillId="6" borderId="33" xfId="0" applyFont="1" applyFill="1" applyBorder="1" applyAlignment="1">
      <alignment horizontal="left" wrapText="1"/>
    </xf>
    <xf numFmtId="0" fontId="0" fillId="6" borderId="34" xfId="0" applyFill="1" applyBorder="1" applyAlignment="1">
      <alignment horizontal="left" wrapText="1"/>
    </xf>
    <xf numFmtId="0" fontId="34" fillId="7" borderId="7" xfId="0" applyFont="1" applyFill="1" applyBorder="1" applyAlignment="1">
      <alignment horizontal="right"/>
    </xf>
    <xf numFmtId="0" fontId="24" fillId="6" borderId="31" xfId="0" applyFont="1" applyFill="1" applyBorder="1" applyAlignment="1">
      <alignment vertical="center" wrapText="1"/>
    </xf>
    <xf numFmtId="0" fontId="56" fillId="6" borderId="0" xfId="0" applyFont="1" applyFill="1"/>
    <xf numFmtId="0" fontId="4" fillId="6" borderId="0" xfId="0" applyFont="1" applyFill="1" applyAlignment="1">
      <alignment wrapText="1"/>
    </xf>
    <xf numFmtId="0" fontId="16" fillId="9" borderId="1" xfId="0" applyFont="1" applyFill="1" applyBorder="1" applyAlignment="1">
      <alignment horizontal="left" vertical="center" wrapText="1" indent="1"/>
    </xf>
    <xf numFmtId="0" fontId="4" fillId="9" borderId="1" xfId="0" applyFont="1" applyFill="1" applyBorder="1" applyAlignment="1">
      <alignment horizontal="center" vertical="center" wrapText="1"/>
    </xf>
    <xf numFmtId="0" fontId="12" fillId="9" borderId="11" xfId="0" applyFont="1" applyFill="1" applyBorder="1" applyAlignment="1">
      <alignment horizontal="center" vertical="center" wrapText="1"/>
    </xf>
    <xf numFmtId="0" fontId="12" fillId="9" borderId="1" xfId="0" applyFont="1" applyFill="1" applyBorder="1" applyAlignment="1">
      <alignment horizontal="center" vertical="center" wrapText="1"/>
    </xf>
    <xf numFmtId="168" fontId="12" fillId="9" borderId="68" xfId="3" applyNumberFormat="1" applyFont="1" applyFill="1" applyBorder="1" applyAlignment="1">
      <alignment horizontal="right" indent="1"/>
    </xf>
    <xf numFmtId="168" fontId="12" fillId="9" borderId="83" xfId="3" applyNumberFormat="1" applyFont="1" applyFill="1" applyBorder="1" applyAlignment="1">
      <alignment horizontal="right" indent="1"/>
    </xf>
    <xf numFmtId="168" fontId="12" fillId="9" borderId="69" xfId="3" applyNumberFormat="1" applyFont="1" applyFill="1" applyBorder="1" applyAlignment="1">
      <alignment horizontal="right" indent="1"/>
    </xf>
    <xf numFmtId="168" fontId="12" fillId="9" borderId="84" xfId="3" applyNumberFormat="1" applyFont="1" applyFill="1" applyBorder="1" applyAlignment="1">
      <alignment horizontal="right" indent="1"/>
    </xf>
    <xf numFmtId="168" fontId="12" fillId="9" borderId="70" xfId="3" applyNumberFormat="1" applyFont="1" applyFill="1" applyBorder="1" applyAlignment="1">
      <alignment horizontal="right" indent="1"/>
    </xf>
    <xf numFmtId="168" fontId="12" fillId="9" borderId="85" xfId="3" applyNumberFormat="1" applyFont="1" applyFill="1" applyBorder="1" applyAlignment="1">
      <alignment horizontal="right" indent="1"/>
    </xf>
    <xf numFmtId="168" fontId="12" fillId="9" borderId="46" xfId="3" applyNumberFormat="1" applyFont="1" applyFill="1" applyBorder="1" applyAlignment="1">
      <alignment horizontal="right" indent="1"/>
    </xf>
    <xf numFmtId="168" fontId="12" fillId="9" borderId="20" xfId="3" applyNumberFormat="1" applyFont="1" applyFill="1" applyBorder="1" applyAlignment="1">
      <alignment horizontal="right" indent="1"/>
    </xf>
    <xf numFmtId="168" fontId="12" fillId="9" borderId="5" xfId="3" applyNumberFormat="1" applyFont="1" applyFill="1" applyBorder="1" applyAlignment="1">
      <alignment horizontal="right" indent="1"/>
    </xf>
    <xf numFmtId="168" fontId="12" fillId="9" borderId="21" xfId="3" applyNumberFormat="1" applyFont="1" applyFill="1" applyBorder="1" applyAlignment="1">
      <alignment horizontal="right" indent="1"/>
    </xf>
    <xf numFmtId="168" fontId="12" fillId="9" borderId="47" xfId="3" applyNumberFormat="1" applyFont="1" applyFill="1" applyBorder="1" applyAlignment="1">
      <alignment horizontal="right" indent="1"/>
    </xf>
    <xf numFmtId="168" fontId="12" fillId="9" borderId="25" xfId="3" applyNumberFormat="1" applyFont="1" applyFill="1" applyBorder="1" applyAlignment="1">
      <alignment horizontal="right" indent="1"/>
    </xf>
    <xf numFmtId="0" fontId="4" fillId="9" borderId="1" xfId="0" applyFont="1" applyFill="1" applyBorder="1" applyAlignment="1">
      <alignment horizontal="left" vertical="center" wrapText="1" indent="3"/>
    </xf>
    <xf numFmtId="3" fontId="4" fillId="9" borderId="1" xfId="0" applyNumberFormat="1" applyFont="1" applyFill="1" applyBorder="1" applyAlignment="1">
      <alignment horizontal="right" vertical="center" wrapText="1" indent="1"/>
    </xf>
    <xf numFmtId="168" fontId="12" fillId="9" borderId="11" xfId="3" applyNumberFormat="1" applyFont="1" applyFill="1" applyBorder="1" applyAlignment="1">
      <alignment horizontal="right" vertical="center" indent="1"/>
    </xf>
    <xf numFmtId="168" fontId="12" fillId="9" borderId="1" xfId="3" applyNumberFormat="1" applyFont="1" applyFill="1" applyBorder="1" applyAlignment="1">
      <alignment horizontal="right" vertical="center" indent="1"/>
    </xf>
    <xf numFmtId="0" fontId="13" fillId="9" borderId="83" xfId="0" applyFont="1" applyFill="1" applyBorder="1" applyAlignment="1">
      <alignment horizontal="left" vertical="center" wrapText="1" indent="1"/>
    </xf>
    <xf numFmtId="0" fontId="4" fillId="9" borderId="86" xfId="0" applyFont="1" applyFill="1" applyBorder="1" applyAlignment="1">
      <alignment horizontal="left" vertical="center" wrapText="1" indent="2"/>
    </xf>
    <xf numFmtId="0" fontId="4" fillId="9" borderId="85" xfId="0" applyFont="1" applyFill="1" applyBorder="1" applyAlignment="1">
      <alignment horizontal="left" vertical="center" wrapText="1" indent="2"/>
    </xf>
    <xf numFmtId="168" fontId="12" fillId="9" borderId="44" xfId="3" applyNumberFormat="1" applyFont="1" applyFill="1" applyBorder="1" applyAlignment="1">
      <alignment horizontal="right" indent="1"/>
    </xf>
    <xf numFmtId="168" fontId="12" fillId="9" borderId="55" xfId="3" applyNumberFormat="1" applyFont="1" applyFill="1" applyBorder="1" applyAlignment="1">
      <alignment horizontal="right" indent="1"/>
    </xf>
    <xf numFmtId="0" fontId="13" fillId="9" borderId="1" xfId="0" applyFont="1" applyFill="1" applyBorder="1" applyAlignment="1">
      <alignment horizontal="left" vertical="center" wrapText="1" indent="1"/>
    </xf>
    <xf numFmtId="0" fontId="4" fillId="9" borderId="83" xfId="0" applyFont="1" applyFill="1" applyBorder="1" applyAlignment="1">
      <alignment horizontal="left" vertical="center" wrapText="1" indent="2"/>
    </xf>
    <xf numFmtId="0" fontId="44" fillId="11" borderId="35" xfId="0" applyFont="1" applyFill="1" applyBorder="1" applyAlignment="1">
      <alignment horizontal="left" indent="1"/>
    </xf>
    <xf numFmtId="3" fontId="44" fillId="11" borderId="46" xfId="0" applyNumberFormat="1" applyFont="1" applyFill="1" applyBorder="1"/>
    <xf numFmtId="0" fontId="44" fillId="11" borderId="36" xfId="0" applyFont="1" applyFill="1" applyBorder="1" applyAlignment="1">
      <alignment horizontal="left" indent="1"/>
    </xf>
    <xf numFmtId="3" fontId="44" fillId="11" borderId="5" xfId="0" applyNumberFormat="1" applyFont="1" applyFill="1" applyBorder="1"/>
    <xf numFmtId="0" fontId="44" fillId="11" borderId="37" xfId="0" applyFont="1" applyFill="1" applyBorder="1" applyAlignment="1">
      <alignment horizontal="left" indent="1"/>
    </xf>
    <xf numFmtId="3" fontId="44" fillId="11" borderId="47" xfId="0" applyNumberFormat="1" applyFont="1" applyFill="1" applyBorder="1"/>
    <xf numFmtId="3" fontId="4" fillId="11" borderId="83" xfId="0" applyNumberFormat="1" applyFont="1" applyFill="1" applyBorder="1" applyAlignment="1">
      <alignment horizontal="right" vertical="center" wrapText="1" indent="1"/>
    </xf>
    <xf numFmtId="3" fontId="4" fillId="11" borderId="85" xfId="0" applyNumberFormat="1" applyFont="1" applyFill="1" applyBorder="1" applyAlignment="1">
      <alignment horizontal="right" vertical="center" wrapText="1" indent="1"/>
    </xf>
    <xf numFmtId="0" fontId="44" fillId="11" borderId="35" xfId="0" applyFont="1" applyFill="1" applyBorder="1"/>
    <xf numFmtId="3" fontId="44" fillId="11" borderId="46" xfId="0" applyNumberFormat="1" applyFont="1" applyFill="1" applyBorder="1" applyAlignment="1">
      <alignment horizontal="right" indent="1"/>
    </xf>
    <xf numFmtId="0" fontId="44" fillId="11" borderId="36" xfId="0" applyFont="1" applyFill="1" applyBorder="1"/>
    <xf numFmtId="3" fontId="44" fillId="11" borderId="5" xfId="0" applyNumberFormat="1" applyFont="1" applyFill="1" applyBorder="1" applyAlignment="1">
      <alignment horizontal="right" indent="1"/>
    </xf>
    <xf numFmtId="0" fontId="44" fillId="11" borderId="37" xfId="0" applyFont="1" applyFill="1" applyBorder="1"/>
    <xf numFmtId="3" fontId="44" fillId="11" borderId="47" xfId="0" applyNumberFormat="1" applyFont="1" applyFill="1" applyBorder="1" applyAlignment="1">
      <alignment horizontal="right" indent="1"/>
    </xf>
    <xf numFmtId="0" fontId="4" fillId="9" borderId="86" xfId="0" applyFont="1" applyFill="1" applyBorder="1" applyAlignment="1">
      <alignment horizontal="left" vertical="center" wrapText="1" indent="1"/>
    </xf>
    <xf numFmtId="0" fontId="4" fillId="9" borderId="85" xfId="0" applyFont="1" applyFill="1" applyBorder="1" applyAlignment="1">
      <alignment horizontal="left" vertical="center" wrapText="1" indent="1"/>
    </xf>
    <xf numFmtId="168" fontId="12" fillId="9" borderId="68" xfId="3" applyNumberFormat="1" applyFont="1" applyFill="1" applyBorder="1" applyAlignment="1">
      <alignment horizontal="right" indent="2"/>
    </xf>
    <xf numFmtId="168" fontId="12" fillId="9" borderId="69" xfId="3" applyNumberFormat="1" applyFont="1" applyFill="1" applyBorder="1" applyAlignment="1">
      <alignment horizontal="right" indent="2"/>
    </xf>
    <xf numFmtId="168" fontId="12" fillId="9" borderId="70" xfId="3" applyNumberFormat="1" applyFont="1" applyFill="1" applyBorder="1" applyAlignment="1">
      <alignment horizontal="right" indent="2"/>
    </xf>
    <xf numFmtId="168" fontId="12" fillId="9" borderId="11" xfId="3" applyNumberFormat="1" applyFont="1" applyFill="1" applyBorder="1" applyAlignment="1">
      <alignment horizontal="right" vertical="center" indent="2"/>
    </xf>
    <xf numFmtId="168" fontId="12" fillId="9" borderId="11" xfId="3" applyNumberFormat="1" applyFont="1" applyFill="1" applyBorder="1" applyAlignment="1">
      <alignment horizontal="right" indent="2"/>
    </xf>
    <xf numFmtId="168" fontId="12" fillId="9" borderId="1" xfId="3" applyNumberFormat="1" applyFont="1" applyFill="1" applyBorder="1" applyAlignment="1">
      <alignment horizontal="right" indent="2"/>
    </xf>
    <xf numFmtId="168" fontId="12" fillId="9" borderId="1" xfId="3" applyNumberFormat="1" applyFont="1" applyFill="1" applyBorder="1" applyAlignment="1">
      <alignment horizontal="right" indent="1"/>
    </xf>
    <xf numFmtId="168" fontId="12" fillId="9" borderId="11" xfId="3" applyNumberFormat="1" applyFont="1" applyFill="1" applyBorder="1" applyAlignment="1">
      <alignment horizontal="right" indent="1"/>
    </xf>
    <xf numFmtId="168" fontId="12" fillId="9" borderId="1" xfId="0" applyNumberFormat="1" applyFont="1" applyFill="1" applyBorder="1" applyAlignment="1">
      <alignment horizontal="left" indent="1"/>
    </xf>
    <xf numFmtId="168" fontId="12" fillId="9" borderId="1" xfId="0" applyNumberFormat="1" applyFont="1" applyFill="1" applyBorder="1" applyAlignment="1">
      <alignment horizontal="right" indent="1"/>
    </xf>
    <xf numFmtId="168" fontId="12" fillId="9" borderId="1" xfId="3" applyNumberFormat="1" applyFont="1" applyFill="1" applyBorder="1" applyAlignment="1">
      <alignment horizontal="left" indent="2"/>
    </xf>
    <xf numFmtId="9" fontId="4" fillId="9" borderId="1" xfId="3" applyFont="1" applyFill="1" applyBorder="1" applyAlignment="1">
      <alignment horizontal="right" vertical="center" indent="2"/>
    </xf>
    <xf numFmtId="9" fontId="4" fillId="9" borderId="1" xfId="3" applyFont="1" applyFill="1" applyBorder="1" applyAlignment="1">
      <alignment horizontal="right" vertical="center" indent="1"/>
    </xf>
    <xf numFmtId="168" fontId="12" fillId="9" borderId="69" xfId="3" applyNumberFormat="1" applyFont="1" applyFill="1" applyBorder="1" applyAlignment="1">
      <alignment horizontal="right" vertical="center" indent="2"/>
    </xf>
    <xf numFmtId="168" fontId="12" fillId="9" borderId="84" xfId="3" applyNumberFormat="1" applyFont="1" applyFill="1" applyBorder="1" applyAlignment="1">
      <alignment horizontal="right" vertical="center" indent="1"/>
    </xf>
    <xf numFmtId="168" fontId="12" fillId="9" borderId="84" xfId="0" applyNumberFormat="1" applyFont="1" applyFill="1" applyBorder="1" applyAlignment="1">
      <alignment horizontal="left" indent="1"/>
    </xf>
    <xf numFmtId="9" fontId="12" fillId="9" borderId="1" xfId="3" applyFont="1" applyFill="1" applyBorder="1" applyAlignment="1">
      <alignment horizontal="left" vertical="center" indent="1"/>
    </xf>
    <xf numFmtId="168" fontId="12" fillId="9" borderId="11" xfId="3" applyNumberFormat="1" applyFont="1" applyFill="1" applyBorder="1" applyAlignment="1">
      <alignment horizontal="center" vertical="center" wrapText="1"/>
    </xf>
    <xf numFmtId="168" fontId="12" fillId="9" borderId="1" xfId="3" applyNumberFormat="1" applyFont="1" applyFill="1" applyBorder="1" applyAlignment="1">
      <alignment horizontal="center" vertical="center" wrapText="1"/>
    </xf>
    <xf numFmtId="168" fontId="4" fillId="9" borderId="1" xfId="3" applyNumberFormat="1" applyFont="1" applyFill="1" applyBorder="1" applyAlignment="1">
      <alignment horizontal="right" vertical="center" wrapText="1" indent="1"/>
    </xf>
    <xf numFmtId="0" fontId="4" fillId="11" borderId="83" xfId="0" applyFont="1" applyFill="1" applyBorder="1" applyAlignment="1">
      <alignment horizontal="left" vertical="center" indent="1"/>
    </xf>
    <xf numFmtId="0" fontId="4" fillId="11" borderId="84" xfId="0" applyFont="1" applyFill="1" applyBorder="1" applyAlignment="1">
      <alignment horizontal="left" vertical="center" indent="1"/>
    </xf>
    <xf numFmtId="3" fontId="4" fillId="11" borderId="84" xfId="0" applyNumberFormat="1" applyFont="1" applyFill="1" applyBorder="1" applyAlignment="1">
      <alignment horizontal="right" vertical="center" wrapText="1" indent="1"/>
    </xf>
    <xf numFmtId="0" fontId="4" fillId="11" borderId="85" xfId="0" applyFont="1" applyFill="1" applyBorder="1" applyAlignment="1">
      <alignment horizontal="left" vertical="center" indent="1"/>
    </xf>
    <xf numFmtId="3" fontId="4" fillId="11" borderId="1" xfId="0" applyNumberFormat="1" applyFont="1" applyFill="1" applyBorder="1" applyAlignment="1">
      <alignment horizontal="right" vertical="center" wrapText="1" indent="1"/>
    </xf>
    <xf numFmtId="0" fontId="12" fillId="11" borderId="83" xfId="0" applyFont="1" applyFill="1" applyBorder="1" applyAlignment="1">
      <alignment horizontal="left" wrapText="1" indent="1"/>
    </xf>
    <xf numFmtId="3" fontId="12" fillId="11" borderId="83" xfId="0" applyNumberFormat="1" applyFont="1" applyFill="1" applyBorder="1" applyAlignment="1">
      <alignment horizontal="right" vertical="center" wrapText="1" indent="1"/>
    </xf>
    <xf numFmtId="0" fontId="12" fillId="11" borderId="84" xfId="0" applyFont="1" applyFill="1" applyBorder="1" applyAlignment="1">
      <alignment horizontal="left" wrapText="1" indent="1"/>
    </xf>
    <xf numFmtId="3" fontId="12" fillId="11" borderId="84" xfId="0" applyNumberFormat="1" applyFont="1" applyFill="1" applyBorder="1" applyAlignment="1">
      <alignment horizontal="right" vertical="center" wrapText="1" indent="1"/>
    </xf>
    <xf numFmtId="0" fontId="4" fillId="11" borderId="85" xfId="0" applyFont="1" applyFill="1" applyBorder="1" applyAlignment="1">
      <alignment horizontal="left" vertical="center" wrapText="1" indent="1"/>
    </xf>
    <xf numFmtId="3" fontId="12" fillId="11" borderId="83" xfId="0" applyNumberFormat="1" applyFont="1" applyFill="1" applyBorder="1" applyAlignment="1">
      <alignment horizontal="right" wrapText="1" indent="1"/>
    </xf>
    <xf numFmtId="3" fontId="12" fillId="11" borderId="84" xfId="0" applyNumberFormat="1" applyFont="1" applyFill="1" applyBorder="1" applyAlignment="1">
      <alignment horizontal="right" wrapText="1" indent="1"/>
    </xf>
    <xf numFmtId="0" fontId="12" fillId="11" borderId="69" xfId="0" applyFont="1" applyFill="1" applyBorder="1" applyAlignment="1">
      <alignment horizontal="right" wrapText="1" indent="3"/>
    </xf>
    <xf numFmtId="0" fontId="0" fillId="11" borderId="15" xfId="0" applyFill="1" applyBorder="1" applyAlignment="1">
      <alignment horizontal="right" wrapText="1" indent="3"/>
    </xf>
    <xf numFmtId="0" fontId="0" fillId="11" borderId="53" xfId="0" applyFill="1" applyBorder="1" applyAlignment="1">
      <alignment horizontal="right" wrapText="1" indent="3"/>
    </xf>
    <xf numFmtId="168" fontId="16" fillId="11" borderId="5" xfId="3" applyNumberFormat="1" applyFont="1" applyFill="1" applyBorder="1" applyAlignment="1">
      <alignment horizontal="center" vertical="center"/>
    </xf>
    <xf numFmtId="168" fontId="13" fillId="11" borderId="5" xfId="0" applyNumberFormat="1" applyFont="1" applyFill="1" applyBorder="1" applyAlignment="1">
      <alignment horizontal="center" vertical="center"/>
    </xf>
    <xf numFmtId="4" fontId="0" fillId="11" borderId="43" xfId="0" applyNumberFormat="1" applyFill="1" applyBorder="1" applyAlignment="1">
      <alignment horizontal="right" indent="2"/>
    </xf>
    <xf numFmtId="168" fontId="12" fillId="3" borderId="1" xfId="3" applyNumberFormat="1" applyFont="1" applyFill="1" applyBorder="1" applyAlignment="1">
      <alignment horizontal="right" vertical="center" indent="2"/>
    </xf>
    <xf numFmtId="0" fontId="4" fillId="11" borderId="84" xfId="0" applyFont="1" applyFill="1" applyBorder="1" applyAlignment="1">
      <alignment horizontal="left" wrapText="1" indent="1"/>
    </xf>
    <xf numFmtId="3" fontId="4" fillId="11" borderId="84" xfId="0" applyNumberFormat="1" applyFont="1" applyFill="1" applyBorder="1" applyAlignment="1">
      <alignment horizontal="right" wrapText="1" indent="1"/>
    </xf>
    <xf numFmtId="0" fontId="4" fillId="11" borderId="69" xfId="0" applyFont="1" applyFill="1" applyBorder="1" applyAlignment="1">
      <alignment horizontal="right" wrapText="1" indent="3"/>
    </xf>
    <xf numFmtId="0" fontId="4" fillId="11" borderId="84" xfId="0" applyFont="1" applyFill="1" applyBorder="1" applyAlignment="1">
      <alignment horizontal="left" vertical="center" indent="3"/>
    </xf>
    <xf numFmtId="0" fontId="25" fillId="0" borderId="0" xfId="2" applyFont="1" applyAlignment="1" applyProtection="1">
      <alignment horizontal="right" vertical="top"/>
    </xf>
    <xf numFmtId="0" fontId="0" fillId="0" borderId="0" xfId="0" applyAlignment="1">
      <alignment horizontal="left" wrapText="1" indent="1"/>
    </xf>
    <xf numFmtId="0" fontId="18" fillId="0" borderId="0" xfId="0" applyFont="1"/>
    <xf numFmtId="0" fontId="18" fillId="0" borderId="0" xfId="0" applyFont="1" applyAlignment="1">
      <alignment vertical="top" wrapText="1"/>
    </xf>
    <xf numFmtId="0" fontId="0" fillId="0" borderId="0" xfId="0" applyAlignment="1">
      <alignment horizontal="center" vertical="center" wrapText="1"/>
    </xf>
    <xf numFmtId="0" fontId="24" fillId="0" borderId="0" xfId="0" applyFont="1" applyAlignment="1">
      <alignment vertical="center" wrapText="1"/>
    </xf>
    <xf numFmtId="0" fontId="64" fillId="0" borderId="0" xfId="0" applyFont="1" applyAlignment="1">
      <alignment horizontal="right" vertical="center" indent="1"/>
    </xf>
    <xf numFmtId="0" fontId="4" fillId="6" borderId="61" xfId="0" applyFont="1" applyFill="1" applyBorder="1" applyAlignment="1">
      <alignment horizontal="left" indent="2"/>
    </xf>
    <xf numFmtId="0" fontId="4" fillId="0" borderId="0" xfId="0" applyFont="1" applyAlignment="1">
      <alignment vertical="center"/>
    </xf>
    <xf numFmtId="0" fontId="0" fillId="6" borderId="0" xfId="0" applyFill="1" applyAlignment="1">
      <alignment horizontal="center" vertical="center"/>
    </xf>
    <xf numFmtId="168" fontId="17" fillId="0" borderId="68" xfId="3" applyNumberFormat="1" applyFont="1" applyBorder="1" applyAlignment="1">
      <alignment horizontal="right" vertical="center" indent="2"/>
    </xf>
    <xf numFmtId="168" fontId="17" fillId="0" borderId="83" xfId="3" applyNumberFormat="1" applyFont="1" applyBorder="1" applyAlignment="1">
      <alignment horizontal="right" vertical="center" indent="1"/>
    </xf>
    <xf numFmtId="168" fontId="17" fillId="0" borderId="70" xfId="3" applyNumberFormat="1" applyFont="1" applyBorder="1" applyAlignment="1">
      <alignment horizontal="right" vertical="center" indent="2"/>
    </xf>
    <xf numFmtId="168" fontId="17" fillId="0" borderId="85" xfId="3" applyNumberFormat="1" applyFont="1" applyBorder="1" applyAlignment="1">
      <alignment horizontal="right" vertical="center" indent="1"/>
    </xf>
    <xf numFmtId="0" fontId="11" fillId="0" borderId="0" xfId="0" applyFont="1" applyAlignment="1">
      <alignment horizontal="left"/>
    </xf>
    <xf numFmtId="0" fontId="23" fillId="0" borderId="0" xfId="0" applyFont="1"/>
    <xf numFmtId="0" fontId="12" fillId="0" borderId="28" xfId="0" applyFont="1" applyBorder="1" applyAlignment="1">
      <alignment horizontal="left" indent="2"/>
    </xf>
    <xf numFmtId="0" fontId="12" fillId="0" borderId="0" xfId="0" applyFont="1" applyAlignment="1">
      <alignment horizontal="left" indent="2"/>
    </xf>
    <xf numFmtId="1" fontId="13" fillId="6" borderId="0" xfId="0" applyNumberFormat="1" applyFont="1" applyFill="1" applyAlignment="1">
      <alignment vertical="center"/>
    </xf>
    <xf numFmtId="49" fontId="0" fillId="12" borderId="89" xfId="0" applyNumberFormat="1" applyFill="1" applyBorder="1" applyAlignment="1">
      <alignment vertical="top"/>
    </xf>
    <xf numFmtId="0" fontId="0" fillId="12" borderId="90" xfId="0" applyFill="1" applyBorder="1"/>
    <xf numFmtId="49" fontId="0" fillId="12" borderId="91" xfId="0" applyNumberFormat="1" applyFill="1" applyBorder="1" applyAlignment="1">
      <alignment vertical="top"/>
    </xf>
    <xf numFmtId="0" fontId="26" fillId="6" borderId="31" xfId="0" applyFont="1" applyFill="1" applyBorder="1" applyAlignment="1">
      <alignment horizontal="center" vertical="center"/>
    </xf>
    <xf numFmtId="0" fontId="14" fillId="6" borderId="2" xfId="0" applyFont="1" applyFill="1" applyBorder="1" applyAlignment="1">
      <alignment vertical="center"/>
    </xf>
    <xf numFmtId="0" fontId="0" fillId="6" borderId="2" xfId="0" applyFill="1" applyBorder="1" applyAlignment="1">
      <alignment vertical="center"/>
    </xf>
    <xf numFmtId="0" fontId="0" fillId="6" borderId="2" xfId="0" applyFill="1" applyBorder="1"/>
    <xf numFmtId="0" fontId="63" fillId="6" borderId="28" xfId="0" applyFont="1" applyFill="1" applyBorder="1"/>
    <xf numFmtId="10" fontId="46" fillId="0" borderId="0" xfId="0" applyNumberFormat="1" applyFont="1" applyAlignment="1">
      <alignment horizontal="left"/>
    </xf>
    <xf numFmtId="0" fontId="67" fillId="6" borderId="0" xfId="0" applyFont="1" applyFill="1" applyAlignment="1">
      <alignment horizontal="center" vertical="center"/>
    </xf>
    <xf numFmtId="0" fontId="34" fillId="0" borderId="0" xfId="0" applyFont="1"/>
    <xf numFmtId="0" fontId="18" fillId="6" borderId="0" xfId="0" applyFont="1" applyFill="1" applyAlignment="1">
      <alignment horizontal="left" vertical="center" indent="1"/>
    </xf>
    <xf numFmtId="0" fontId="1" fillId="11" borderId="43" xfId="0" applyFont="1" applyFill="1" applyBorder="1" applyAlignment="1">
      <alignment horizontal="left" indent="1"/>
    </xf>
    <xf numFmtId="49" fontId="13" fillId="0" borderId="0" xfId="0" applyNumberFormat="1" applyFont="1" applyAlignment="1">
      <alignment vertical="top"/>
    </xf>
    <xf numFmtId="49" fontId="13" fillId="6" borderId="27" xfId="0" applyNumberFormat="1" applyFont="1" applyFill="1" applyBorder="1" applyAlignment="1">
      <alignment vertical="top"/>
    </xf>
    <xf numFmtId="3" fontId="26" fillId="6" borderId="28" xfId="0" applyNumberFormat="1" applyFont="1" applyFill="1" applyBorder="1" applyAlignment="1">
      <alignment horizontal="center" vertical="center"/>
    </xf>
    <xf numFmtId="0" fontId="26" fillId="6" borderId="28" xfId="0" applyFont="1" applyFill="1" applyBorder="1" applyAlignment="1">
      <alignment horizontal="center" vertical="center"/>
    </xf>
    <xf numFmtId="4" fontId="13" fillId="6" borderId="0" xfId="1" applyNumberFormat="1" applyFont="1" applyFill="1" applyAlignment="1">
      <alignment horizontal="left"/>
    </xf>
    <xf numFmtId="3" fontId="54" fillId="0" borderId="0" xfId="0" applyNumberFormat="1" applyFont="1" applyAlignment="1">
      <alignment wrapText="1"/>
    </xf>
    <xf numFmtId="166" fontId="54" fillId="0" borderId="0" xfId="1" applyNumberFormat="1" applyFont="1" applyAlignment="1">
      <alignment wrapText="1"/>
    </xf>
    <xf numFmtId="168" fontId="54" fillId="0" borderId="0" xfId="0" applyNumberFormat="1" applyFont="1" applyAlignment="1">
      <alignment wrapText="1"/>
    </xf>
    <xf numFmtId="168" fontId="54" fillId="0" borderId="0" xfId="3" applyNumberFormat="1" applyFont="1" applyAlignment="1">
      <alignment wrapText="1"/>
    </xf>
    <xf numFmtId="0" fontId="54" fillId="0" borderId="0" xfId="0" applyFont="1" applyAlignment="1">
      <alignment horizontal="right" wrapText="1"/>
    </xf>
    <xf numFmtId="0" fontId="54" fillId="0" borderId="0" xfId="0" applyFont="1" applyAlignment="1">
      <alignment horizontal="right"/>
    </xf>
    <xf numFmtId="43" fontId="54" fillId="0" borderId="0" xfId="1" applyFont="1"/>
    <xf numFmtId="43" fontId="54" fillId="0" borderId="0" xfId="0" applyNumberFormat="1" applyFont="1"/>
    <xf numFmtId="2" fontId="54" fillId="0" borderId="0" xfId="0" applyNumberFormat="1" applyFont="1"/>
    <xf numFmtId="167" fontId="4" fillId="6" borderId="0" xfId="0" applyNumberFormat="1" applyFont="1" applyFill="1" applyAlignment="1">
      <alignment horizontal="center"/>
    </xf>
    <xf numFmtId="4" fontId="4" fillId="0" borderId="0" xfId="1" applyNumberFormat="1" applyFont="1" applyAlignment="1">
      <alignment horizontal="left"/>
    </xf>
    <xf numFmtId="10" fontId="17" fillId="0" borderId="69" xfId="3" applyNumberFormat="1" applyFont="1" applyBorder="1" applyAlignment="1">
      <alignment horizontal="right" vertical="center" indent="2"/>
    </xf>
    <xf numFmtId="10" fontId="17" fillId="0" borderId="84" xfId="3" applyNumberFormat="1" applyFont="1" applyBorder="1" applyAlignment="1">
      <alignment horizontal="right" vertical="center" indent="2"/>
    </xf>
    <xf numFmtId="10" fontId="4" fillId="4" borderId="46" xfId="3" applyNumberFormat="1" applyFont="1" applyFill="1" applyBorder="1" applyAlignment="1">
      <alignment horizontal="center" vertical="center"/>
    </xf>
    <xf numFmtId="10" fontId="4" fillId="4" borderId="5" xfId="3" applyNumberFormat="1" applyFont="1" applyFill="1" applyBorder="1" applyAlignment="1">
      <alignment horizontal="center" vertical="center"/>
    </xf>
    <xf numFmtId="10" fontId="4" fillId="4" borderId="47" xfId="3" applyNumberFormat="1" applyFont="1" applyFill="1" applyBorder="1" applyAlignment="1">
      <alignment horizontal="center" vertical="center"/>
    </xf>
    <xf numFmtId="10" fontId="4" fillId="0" borderId="48" xfId="3" applyNumberFormat="1" applyFont="1" applyBorder="1" applyAlignment="1">
      <alignment horizontal="center" vertical="center"/>
    </xf>
    <xf numFmtId="0" fontId="4" fillId="6" borderId="0" xfId="0" applyFont="1" applyFill="1" applyAlignment="1">
      <alignment horizontal="left" wrapText="1" indent="1"/>
    </xf>
    <xf numFmtId="0" fontId="4" fillId="11" borderId="84" xfId="0" applyFont="1" applyFill="1" applyBorder="1" applyAlignment="1">
      <alignment horizontal="left" vertical="center" wrapText="1" indent="1"/>
    </xf>
    <xf numFmtId="0" fontId="13" fillId="0" borderId="0" xfId="0" applyFont="1" applyAlignment="1">
      <alignment horizontal="center"/>
    </xf>
    <xf numFmtId="168" fontId="49" fillId="0" borderId="7" xfId="3" applyNumberFormat="1" applyFont="1" applyBorder="1" applyAlignment="1">
      <alignment horizontal="center" vertical="center"/>
    </xf>
    <xf numFmtId="2" fontId="46" fillId="0" borderId="42" xfId="0" applyNumberFormat="1" applyFont="1" applyBorder="1" applyAlignment="1">
      <alignment horizontal="right" indent="1"/>
    </xf>
    <xf numFmtId="0" fontId="0" fillId="0" borderId="44" xfId="0" applyBorder="1"/>
    <xf numFmtId="0" fontId="4" fillId="6" borderId="0" xfId="0" applyFont="1" applyFill="1" applyAlignment="1">
      <alignment horizontal="right" vertical="top"/>
    </xf>
    <xf numFmtId="0" fontId="4" fillId="6" borderId="0" xfId="0" applyFont="1" applyFill="1" applyAlignment="1">
      <alignment horizontal="left" vertical="top"/>
    </xf>
    <xf numFmtId="0" fontId="13" fillId="11" borderId="5" xfId="0" applyFont="1" applyFill="1" applyBorder="1" applyAlignment="1">
      <alignment horizontal="center" vertical="top"/>
    </xf>
    <xf numFmtId="172" fontId="0" fillId="0" borderId="0" xfId="0" applyNumberFormat="1"/>
    <xf numFmtId="0" fontId="66" fillId="0" borderId="0" xfId="0" applyFont="1"/>
    <xf numFmtId="3" fontId="4" fillId="0" borderId="46" xfId="0" applyNumberFormat="1" applyFont="1" applyBorder="1" applyAlignment="1">
      <alignment horizontal="right" vertical="center" indent="2"/>
    </xf>
    <xf numFmtId="3" fontId="4" fillId="0" borderId="5" xfId="0" applyNumberFormat="1" applyFont="1" applyBorder="1" applyAlignment="1">
      <alignment horizontal="right" vertical="center" indent="2"/>
    </xf>
    <xf numFmtId="3" fontId="4" fillId="0" borderId="47" xfId="0" applyNumberFormat="1" applyFont="1" applyBorder="1" applyAlignment="1">
      <alignment horizontal="right" vertical="center" indent="2"/>
    </xf>
    <xf numFmtId="168" fontId="17" fillId="0" borderId="46" xfId="0" applyNumberFormat="1" applyFont="1" applyBorder="1" applyAlignment="1">
      <alignment horizontal="right" vertical="center" wrapText="1" indent="2"/>
    </xf>
    <xf numFmtId="168" fontId="17" fillId="0" borderId="5" xfId="0" applyNumberFormat="1" applyFont="1" applyBorder="1" applyAlignment="1">
      <alignment horizontal="right" vertical="center" wrapText="1" indent="2"/>
    </xf>
    <xf numFmtId="168" fontId="17" fillId="0" borderId="47" xfId="0" applyNumberFormat="1" applyFont="1" applyBorder="1" applyAlignment="1">
      <alignment horizontal="right" vertical="center" wrapText="1" indent="2"/>
    </xf>
    <xf numFmtId="168" fontId="4" fillId="3" borderId="1" xfId="0" applyNumberFormat="1" applyFont="1" applyFill="1" applyBorder="1" applyAlignment="1">
      <alignment horizontal="right" vertical="center" wrapText="1" indent="2"/>
    </xf>
    <xf numFmtId="0" fontId="5" fillId="0" borderId="0" xfId="2" applyAlignment="1" applyProtection="1"/>
    <xf numFmtId="2" fontId="46" fillId="0" borderId="0" xfId="1" applyNumberFormat="1" applyFont="1" applyAlignment="1">
      <alignment horizontal="right" indent="2"/>
    </xf>
    <xf numFmtId="1" fontId="49" fillId="0" borderId="0" xfId="0" applyNumberFormat="1" applyFont="1" applyAlignment="1">
      <alignment horizontal="center"/>
    </xf>
    <xf numFmtId="0" fontId="49" fillId="0" borderId="0" xfId="0" applyFont="1"/>
    <xf numFmtId="0" fontId="70" fillId="6" borderId="31" xfId="0" applyFont="1" applyFill="1" applyBorder="1" applyAlignment="1">
      <alignment horizontal="right" vertical="center" indent="3"/>
    </xf>
    <xf numFmtId="167" fontId="17" fillId="12" borderId="21" xfId="0" applyNumberFormat="1" applyFont="1" applyFill="1" applyBorder="1" applyAlignment="1">
      <alignment horizontal="center" vertical="center"/>
    </xf>
    <xf numFmtId="167" fontId="17" fillId="12" borderId="51" xfId="1" applyNumberFormat="1" applyFont="1" applyFill="1" applyBorder="1" applyAlignment="1">
      <alignment horizontal="right" vertical="center" indent="2"/>
    </xf>
    <xf numFmtId="168" fontId="17" fillId="12" borderId="49" xfId="3" applyNumberFormat="1" applyFont="1" applyFill="1" applyBorder="1" applyAlignment="1">
      <alignment horizontal="right" vertical="center" indent="1"/>
    </xf>
    <xf numFmtId="167" fontId="4" fillId="0" borderId="13" xfId="0" applyNumberFormat="1" applyFont="1" applyBorder="1" applyAlignment="1">
      <alignment horizontal="right" vertical="center" indent="3"/>
    </xf>
    <xf numFmtId="0" fontId="4" fillId="13" borderId="1" xfId="0" applyFont="1" applyFill="1" applyBorder="1" applyAlignment="1">
      <alignment horizontal="left" vertical="center" wrapText="1" indent="1"/>
    </xf>
    <xf numFmtId="0" fontId="63" fillId="0" borderId="0" xfId="0" applyFont="1" applyAlignment="1">
      <alignment wrapText="1"/>
    </xf>
    <xf numFmtId="0" fontId="26" fillId="0" borderId="0" xfId="0" applyFont="1" applyAlignment="1">
      <alignment wrapText="1"/>
    </xf>
    <xf numFmtId="0" fontId="54" fillId="0" borderId="0" xfId="0" applyFont="1" applyAlignment="1">
      <alignment horizontal="left"/>
    </xf>
    <xf numFmtId="0" fontId="17" fillId="0" borderId="83" xfId="0" applyFont="1" applyBorder="1" applyAlignment="1">
      <alignment horizontal="left" vertical="center" wrapText="1" indent="1"/>
    </xf>
    <xf numFmtId="0" fontId="17" fillId="0" borderId="85" xfId="0" applyFont="1" applyBorder="1" applyAlignment="1">
      <alignment horizontal="left" vertical="center" wrapText="1" indent="1"/>
    </xf>
    <xf numFmtId="0" fontId="0" fillId="6" borderId="73" xfId="0" applyFill="1" applyBorder="1"/>
    <xf numFmtId="0" fontId="68" fillId="0" borderId="0" xfId="0" applyFont="1" applyAlignment="1">
      <alignment vertical="top"/>
    </xf>
    <xf numFmtId="0" fontId="68" fillId="0" borderId="0" xfId="0" applyFont="1" applyAlignment="1">
      <alignment vertical="center"/>
    </xf>
    <xf numFmtId="0" fontId="13" fillId="0" borderId="0" xfId="0" applyFont="1" applyAlignment="1">
      <alignment vertical="center"/>
    </xf>
    <xf numFmtId="0" fontId="1" fillId="6" borderId="61" xfId="0" applyFont="1" applyFill="1" applyBorder="1" applyAlignment="1">
      <alignment horizontal="center" vertical="top"/>
    </xf>
    <xf numFmtId="2" fontId="4" fillId="6" borderId="0" xfId="0" applyNumberFormat="1" applyFont="1" applyFill="1" applyAlignment="1">
      <alignment horizontal="center" vertical="center"/>
    </xf>
    <xf numFmtId="0" fontId="54" fillId="0" borderId="0" xfId="0" applyFont="1" applyAlignment="1">
      <alignment horizontal="right" indent="1"/>
    </xf>
    <xf numFmtId="3" fontId="54" fillId="0" borderId="0" xfId="0" applyNumberFormat="1" applyFont="1" applyAlignment="1">
      <alignment horizontal="right" wrapText="1" indent="1"/>
    </xf>
    <xf numFmtId="168" fontId="4" fillId="0" borderId="48" xfId="0" applyNumberFormat="1" applyFont="1" applyBorder="1" applyAlignment="1">
      <alignment horizontal="right" vertical="center"/>
    </xf>
    <xf numFmtId="0" fontId="4" fillId="0" borderId="48" xfId="0" applyFont="1" applyBorder="1" applyAlignment="1">
      <alignment horizontal="right" vertical="center" indent="2"/>
    </xf>
    <xf numFmtId="167" fontId="4" fillId="0" borderId="48" xfId="0" applyNumberFormat="1" applyFont="1" applyBorder="1" applyAlignment="1">
      <alignment horizontal="right" vertical="center" indent="2"/>
    </xf>
    <xf numFmtId="168" fontId="4" fillId="0" borderId="87" xfId="0" applyNumberFormat="1" applyFont="1" applyBorder="1"/>
    <xf numFmtId="168" fontId="4" fillId="0" borderId="0" xfId="3" applyNumberFormat="1" applyFont="1" applyFill="1" applyAlignment="1">
      <alignment horizontal="center"/>
    </xf>
    <xf numFmtId="3" fontId="4" fillId="0" borderId="72" xfId="0" applyNumberFormat="1" applyFont="1" applyBorder="1" applyAlignment="1">
      <alignment horizontal="right" indent="1"/>
    </xf>
    <xf numFmtId="170" fontId="4" fillId="0" borderId="87" xfId="0" applyNumberFormat="1" applyFont="1" applyBorder="1"/>
    <xf numFmtId="170" fontId="4" fillId="0" borderId="73" xfId="0" applyNumberFormat="1" applyFont="1" applyBorder="1" applyAlignment="1">
      <alignment horizontal="center"/>
    </xf>
    <xf numFmtId="167" fontId="4" fillId="0" borderId="87" xfId="0" applyNumberFormat="1" applyFont="1" applyBorder="1" applyAlignment="1">
      <alignment horizontal="right" indent="2"/>
    </xf>
    <xf numFmtId="1" fontId="4" fillId="0" borderId="73" xfId="0" applyNumberFormat="1" applyFont="1" applyBorder="1" applyAlignment="1">
      <alignment horizontal="right" indent="2"/>
    </xf>
    <xf numFmtId="1" fontId="4" fillId="0" borderId="87" xfId="0" applyNumberFormat="1" applyFont="1" applyBorder="1" applyAlignment="1">
      <alignment horizontal="right" indent="2"/>
    </xf>
    <xf numFmtId="167" fontId="4" fillId="0" borderId="74" xfId="0" applyNumberFormat="1" applyFont="1" applyBorder="1" applyAlignment="1">
      <alignment horizontal="right" indent="2"/>
    </xf>
    <xf numFmtId="168" fontId="4" fillId="0" borderId="43" xfId="0" applyNumberFormat="1" applyFont="1" applyBorder="1"/>
    <xf numFmtId="3" fontId="4" fillId="0" borderId="9" xfId="0" applyNumberFormat="1" applyFont="1" applyBorder="1" applyAlignment="1">
      <alignment horizontal="right" indent="1"/>
    </xf>
    <xf numFmtId="170" fontId="4" fillId="0" borderId="43" xfId="0" applyNumberFormat="1" applyFont="1" applyBorder="1"/>
    <xf numFmtId="170" fontId="4" fillId="0" borderId="0" xfId="0" applyNumberFormat="1" applyFont="1" applyAlignment="1">
      <alignment horizontal="center"/>
    </xf>
    <xf numFmtId="167" fontId="4" fillId="0" borderId="43" xfId="0" applyNumberFormat="1" applyFont="1" applyBorder="1" applyAlignment="1">
      <alignment horizontal="right" indent="2"/>
    </xf>
    <xf numFmtId="1" fontId="4" fillId="0" borderId="0" xfId="0" applyNumberFormat="1" applyFont="1" applyAlignment="1">
      <alignment horizontal="right" indent="2"/>
    </xf>
    <xf numFmtId="1" fontId="4" fillId="0" borderId="43" xfId="0" applyNumberFormat="1" applyFont="1" applyBorder="1" applyAlignment="1">
      <alignment horizontal="right" indent="2"/>
    </xf>
    <xf numFmtId="167" fontId="4" fillId="0" borderId="75" xfId="0" applyNumberFormat="1" applyFont="1" applyBorder="1" applyAlignment="1">
      <alignment horizontal="right" indent="2"/>
    </xf>
    <xf numFmtId="168" fontId="4" fillId="0" borderId="88" xfId="0" applyNumberFormat="1" applyFont="1" applyBorder="1"/>
    <xf numFmtId="3" fontId="4" fillId="0" borderId="80" xfId="0" applyNumberFormat="1" applyFont="1" applyBorder="1" applyAlignment="1">
      <alignment horizontal="right" indent="1"/>
    </xf>
    <xf numFmtId="170" fontId="4" fillId="0" borderId="88" xfId="0" applyNumberFormat="1" applyFont="1" applyBorder="1"/>
    <xf numFmtId="170" fontId="4" fillId="0" borderId="2" xfId="0" applyNumberFormat="1" applyFont="1" applyBorder="1" applyAlignment="1">
      <alignment horizontal="center"/>
    </xf>
    <xf numFmtId="167" fontId="4" fillId="0" borderId="88" xfId="0" applyNumberFormat="1" applyFont="1" applyBorder="1" applyAlignment="1">
      <alignment horizontal="right" indent="2"/>
    </xf>
    <xf numFmtId="1" fontId="4" fillId="0" borderId="2" xfId="0" applyNumberFormat="1" applyFont="1" applyBorder="1" applyAlignment="1">
      <alignment horizontal="right" indent="2"/>
    </xf>
    <xf numFmtId="1" fontId="4" fillId="0" borderId="88" xfId="0" applyNumberFormat="1" applyFont="1" applyBorder="1" applyAlignment="1">
      <alignment horizontal="right" indent="2"/>
    </xf>
    <xf numFmtId="167" fontId="4" fillId="0" borderId="82" xfId="0" applyNumberFormat="1" applyFont="1" applyBorder="1" applyAlignment="1">
      <alignment horizontal="right" indent="2"/>
    </xf>
    <xf numFmtId="168" fontId="4" fillId="0" borderId="46" xfId="0" applyNumberFormat="1" applyFont="1" applyBorder="1" applyAlignment="1">
      <alignment horizontal="right" vertical="center"/>
    </xf>
    <xf numFmtId="168" fontId="4" fillId="0" borderId="46" xfId="0" applyNumberFormat="1" applyFont="1" applyBorder="1" applyAlignment="1">
      <alignment horizontal="right" vertical="center" indent="1"/>
    </xf>
    <xf numFmtId="3" fontId="4" fillId="0" borderId="46" xfId="0" applyNumberFormat="1" applyFont="1" applyBorder="1" applyAlignment="1">
      <alignment horizontal="right" vertical="center" indent="1"/>
    </xf>
    <xf numFmtId="167" fontId="4" fillId="0" borderId="46" xfId="0" applyNumberFormat="1" applyFont="1" applyBorder="1" applyAlignment="1">
      <alignment horizontal="right" vertical="center" indent="2"/>
    </xf>
    <xf numFmtId="167" fontId="4" fillId="0" borderId="20" xfId="0" applyNumberFormat="1" applyFont="1" applyBorder="1" applyAlignment="1">
      <alignment horizontal="right" vertical="center" indent="2"/>
    </xf>
    <xf numFmtId="168" fontId="4" fillId="0" borderId="47" xfId="0" applyNumberFormat="1" applyFont="1" applyBorder="1" applyAlignment="1">
      <alignment vertical="center"/>
    </xf>
    <xf numFmtId="168" fontId="4" fillId="0" borderId="23" xfId="3" applyNumberFormat="1" applyFont="1" applyBorder="1" applyAlignment="1">
      <alignment horizontal="center" vertical="center"/>
    </xf>
    <xf numFmtId="168" fontId="4" fillId="0" borderId="48" xfId="0" applyNumberFormat="1" applyFont="1" applyBorder="1" applyAlignment="1">
      <alignment vertical="center"/>
    </xf>
    <xf numFmtId="3" fontId="4" fillId="0" borderId="22" xfId="0" applyNumberFormat="1" applyFont="1" applyBorder="1" applyAlignment="1">
      <alignment horizontal="right" vertical="center" indent="2"/>
    </xf>
    <xf numFmtId="170" fontId="4" fillId="0" borderId="23" xfId="0" applyNumberFormat="1" applyFont="1" applyBorder="1" applyAlignment="1">
      <alignment horizontal="right" vertical="center" indent="2"/>
    </xf>
    <xf numFmtId="1" fontId="4" fillId="0" borderId="23" xfId="0" applyNumberFormat="1" applyFont="1" applyBorder="1" applyAlignment="1">
      <alignment horizontal="right" vertical="center" indent="2"/>
    </xf>
    <xf numFmtId="1" fontId="4" fillId="0" borderId="47" xfId="0" applyNumberFormat="1" applyFont="1" applyBorder="1" applyAlignment="1">
      <alignment horizontal="right" vertical="center" indent="2"/>
    </xf>
    <xf numFmtId="167" fontId="4" fillId="0" borderId="25" xfId="0" applyNumberFormat="1" applyFont="1" applyBorder="1" applyAlignment="1">
      <alignment horizontal="right" vertical="center" indent="2"/>
    </xf>
    <xf numFmtId="169" fontId="4" fillId="0" borderId="49" xfId="0" applyNumberFormat="1" applyFont="1" applyBorder="1" applyAlignment="1">
      <alignment horizontal="right" vertical="center" indent="2"/>
    </xf>
    <xf numFmtId="169" fontId="4" fillId="0" borderId="48" xfId="0" applyNumberFormat="1" applyFont="1" applyBorder="1" applyAlignment="1">
      <alignment horizontal="right" vertical="center" indent="2"/>
    </xf>
    <xf numFmtId="167" fontId="4" fillId="0" borderId="46" xfId="3" applyNumberFormat="1" applyFont="1" applyBorder="1" applyAlignment="1">
      <alignment horizontal="right" vertical="center" indent="2"/>
    </xf>
    <xf numFmtId="0" fontId="1" fillId="0" borderId="0" xfId="0" applyFont="1" applyAlignment="1">
      <alignment vertical="top" wrapText="1"/>
    </xf>
    <xf numFmtId="0" fontId="17" fillId="0" borderId="0" xfId="0" applyFont="1" applyAlignment="1">
      <alignment horizontal="left"/>
    </xf>
    <xf numFmtId="0" fontId="4" fillId="9" borderId="38" xfId="0" applyFont="1" applyFill="1" applyBorder="1" applyAlignment="1">
      <alignment horizontal="center" vertical="center" wrapText="1"/>
    </xf>
    <xf numFmtId="0" fontId="4" fillId="9" borderId="45" xfId="0" applyFont="1" applyFill="1" applyBorder="1" applyAlignment="1">
      <alignment horizontal="center" vertical="center" wrapText="1"/>
    </xf>
    <xf numFmtId="167" fontId="17" fillId="10" borderId="41" xfId="0" applyNumberFormat="1" applyFont="1" applyFill="1" applyBorder="1" applyAlignment="1">
      <alignment horizontal="right" vertical="center" indent="2"/>
    </xf>
    <xf numFmtId="167" fontId="17" fillId="10" borderId="15" xfId="0" applyNumberFormat="1" applyFont="1" applyFill="1" applyBorder="1" applyAlignment="1">
      <alignment horizontal="right" vertical="center" indent="2"/>
    </xf>
    <xf numFmtId="167" fontId="17" fillId="12" borderId="20" xfId="0" applyNumberFormat="1" applyFont="1" applyFill="1" applyBorder="1" applyAlignment="1">
      <alignment horizontal="right" indent="3"/>
    </xf>
    <xf numFmtId="0" fontId="69" fillId="0" borderId="0" xfId="2" applyFont="1" applyAlignment="1" applyProtection="1">
      <alignment horizontal="right" vertical="top"/>
    </xf>
    <xf numFmtId="49" fontId="13" fillId="6" borderId="30" xfId="0" applyNumberFormat="1" applyFont="1" applyFill="1" applyBorder="1" applyAlignment="1">
      <alignment vertical="top"/>
    </xf>
    <xf numFmtId="0" fontId="13" fillId="6" borderId="0" xfId="0" applyFont="1" applyFill="1" applyAlignment="1">
      <alignment horizontal="left" vertical="center"/>
    </xf>
    <xf numFmtId="0" fontId="13" fillId="6" borderId="0" xfId="0" applyFont="1" applyFill="1" applyAlignment="1">
      <alignment horizontal="center" vertical="center"/>
    </xf>
    <xf numFmtId="3" fontId="26" fillId="6" borderId="0" xfId="0" applyNumberFormat="1" applyFont="1" applyFill="1" applyAlignment="1">
      <alignment horizontal="center" vertical="center"/>
    </xf>
    <xf numFmtId="0" fontId="26" fillId="6" borderId="0" xfId="0" applyFont="1" applyFill="1" applyAlignment="1">
      <alignment horizontal="center" vertical="center"/>
    </xf>
    <xf numFmtId="0" fontId="1" fillId="6" borderId="31" xfId="0" applyFont="1" applyFill="1" applyBorder="1"/>
    <xf numFmtId="0" fontId="19" fillId="6" borderId="28" xfId="0" applyFont="1" applyFill="1" applyBorder="1" applyAlignment="1">
      <alignment horizontal="left" vertical="center" indent="1"/>
    </xf>
    <xf numFmtId="0" fontId="16" fillId="6" borderId="28" xfId="0" applyFont="1" applyFill="1" applyBorder="1" applyAlignment="1">
      <alignment horizontal="center" vertical="center"/>
    </xf>
    <xf numFmtId="0" fontId="66" fillId="6" borderId="28" xfId="0" applyFont="1" applyFill="1" applyBorder="1" applyAlignment="1">
      <alignment horizontal="center"/>
    </xf>
    <xf numFmtId="0" fontId="0" fillId="6" borderId="29" xfId="0" applyFill="1" applyBorder="1"/>
    <xf numFmtId="170" fontId="46" fillId="0" borderId="0" xfId="1" applyNumberFormat="1" applyFont="1" applyAlignment="1">
      <alignment horizontal="right" indent="2"/>
    </xf>
    <xf numFmtId="1" fontId="46" fillId="0" borderId="0" xfId="0" applyNumberFormat="1" applyFont="1" applyAlignment="1">
      <alignment horizontal="right" indent="1"/>
    </xf>
    <xf numFmtId="0" fontId="73" fillId="0" borderId="0" xfId="0" applyFont="1"/>
    <xf numFmtId="0" fontId="1" fillId="0" borderId="0" xfId="0" quotePrefix="1" applyFont="1"/>
    <xf numFmtId="10" fontId="13" fillId="11" borderId="5" xfId="1" applyNumberFormat="1" applyFont="1" applyFill="1" applyBorder="1" applyAlignment="1">
      <alignment horizontal="center" vertical="center"/>
    </xf>
    <xf numFmtId="0" fontId="0" fillId="0" borderId="0" xfId="0" applyAlignment="1">
      <alignment horizontal="justify" vertical="top"/>
    </xf>
    <xf numFmtId="168" fontId="13" fillId="3" borderId="11" xfId="0" applyNumberFormat="1" applyFont="1" applyFill="1" applyBorder="1" applyAlignment="1">
      <alignment horizontal="right" vertical="center"/>
    </xf>
    <xf numFmtId="3" fontId="4" fillId="13" borderId="35" xfId="0" applyNumberFormat="1" applyFont="1" applyFill="1" applyBorder="1" applyAlignment="1">
      <alignment horizontal="right" indent="2"/>
    </xf>
    <xf numFmtId="3" fontId="4" fillId="13" borderId="36" xfId="0" applyNumberFormat="1" applyFont="1" applyFill="1" applyBorder="1" applyAlignment="1">
      <alignment horizontal="right" indent="2"/>
    </xf>
    <xf numFmtId="1" fontId="4" fillId="13" borderId="46" xfId="0" applyNumberFormat="1" applyFont="1" applyFill="1" applyBorder="1" applyAlignment="1">
      <alignment horizontal="right" indent="2"/>
    </xf>
    <xf numFmtId="3" fontId="17" fillId="12" borderId="46" xfId="1" applyNumberFormat="1" applyFont="1" applyFill="1" applyBorder="1" applyAlignment="1">
      <alignment horizontal="right" indent="2"/>
    </xf>
    <xf numFmtId="1" fontId="4" fillId="13" borderId="5" xfId="0" applyNumberFormat="1" applyFont="1" applyFill="1" applyBorder="1" applyAlignment="1">
      <alignment horizontal="right" indent="2"/>
    </xf>
    <xf numFmtId="3" fontId="17" fillId="12" borderId="5" xfId="1" applyNumberFormat="1" applyFont="1" applyFill="1" applyBorder="1" applyAlignment="1">
      <alignment horizontal="right" vertical="center" indent="2"/>
    </xf>
    <xf numFmtId="3" fontId="17" fillId="12" borderId="47" xfId="1" applyNumberFormat="1" applyFont="1" applyFill="1" applyBorder="1" applyAlignment="1">
      <alignment horizontal="right" vertical="center" indent="2"/>
    </xf>
    <xf numFmtId="3" fontId="17" fillId="12" borderId="13" xfId="0" applyNumberFormat="1" applyFont="1" applyFill="1" applyBorder="1" applyAlignment="1">
      <alignment horizontal="right" vertical="center" indent="3"/>
    </xf>
    <xf numFmtId="1" fontId="16" fillId="3" borderId="13" xfId="0" applyNumberFormat="1" applyFont="1" applyFill="1" applyBorder="1" applyAlignment="1">
      <alignment horizontal="right" vertical="center" indent="2"/>
    </xf>
    <xf numFmtId="1" fontId="4" fillId="9" borderId="79" xfId="0" applyNumberFormat="1" applyFont="1" applyFill="1" applyBorder="1" applyAlignment="1">
      <alignment horizontal="right" indent="2"/>
    </xf>
    <xf numFmtId="1" fontId="4" fillId="9" borderId="88" xfId="0" applyNumberFormat="1" applyFont="1" applyFill="1" applyBorder="1" applyAlignment="1">
      <alignment horizontal="right" indent="2"/>
    </xf>
    <xf numFmtId="0" fontId="63" fillId="0" borderId="0" xfId="0" applyFont="1"/>
    <xf numFmtId="0" fontId="26" fillId="0" borderId="0" xfId="0" applyFont="1"/>
    <xf numFmtId="1" fontId="16" fillId="3" borderId="51" xfId="1" applyNumberFormat="1" applyFont="1" applyFill="1" applyBorder="1" applyAlignment="1">
      <alignment horizontal="right" vertical="center" indent="2"/>
    </xf>
    <xf numFmtId="1" fontId="16" fillId="3" borderId="48" xfId="1" applyNumberFormat="1" applyFont="1" applyFill="1" applyBorder="1" applyAlignment="1">
      <alignment horizontal="right" vertical="center" indent="2"/>
    </xf>
    <xf numFmtId="1" fontId="16" fillId="3" borderId="48" xfId="0" applyNumberFormat="1" applyFont="1" applyFill="1" applyBorder="1" applyAlignment="1">
      <alignment horizontal="right" vertical="center" indent="2"/>
    </xf>
    <xf numFmtId="167" fontId="16" fillId="3" borderId="48" xfId="1" applyNumberFormat="1" applyFont="1" applyFill="1" applyBorder="1" applyAlignment="1">
      <alignment horizontal="right" vertical="center" indent="2"/>
    </xf>
    <xf numFmtId="168" fontId="12" fillId="3" borderId="49" xfId="0" applyNumberFormat="1" applyFont="1" applyFill="1" applyBorder="1" applyAlignment="1">
      <alignment horizontal="right" vertical="center" indent="1"/>
    </xf>
    <xf numFmtId="168" fontId="17" fillId="12" borderId="77" xfId="0" applyNumberFormat="1" applyFont="1" applyFill="1" applyBorder="1" applyAlignment="1">
      <alignment horizontal="right" wrapText="1" indent="1"/>
    </xf>
    <xf numFmtId="168" fontId="17" fillId="12" borderId="16" xfId="0" applyNumberFormat="1" applyFont="1" applyFill="1" applyBorder="1" applyAlignment="1">
      <alignment horizontal="right" vertical="center" wrapText="1" indent="1"/>
    </xf>
    <xf numFmtId="168" fontId="17" fillId="12" borderId="24" xfId="0" applyNumberFormat="1" applyFont="1" applyFill="1" applyBorder="1" applyAlignment="1">
      <alignment horizontal="right" vertical="center" wrapText="1" indent="1"/>
    </xf>
    <xf numFmtId="168" fontId="13" fillId="3" borderId="95" xfId="0" applyNumberFormat="1" applyFont="1" applyFill="1" applyBorder="1" applyAlignment="1">
      <alignment horizontal="right" vertical="center" indent="1"/>
    </xf>
    <xf numFmtId="0" fontId="2" fillId="0" borderId="0" xfId="0" applyFont="1" applyAlignment="1">
      <alignment horizontal="left" vertical="top"/>
    </xf>
    <xf numFmtId="0" fontId="39" fillId="11" borderId="35" xfId="0" applyFont="1" applyFill="1" applyBorder="1" applyAlignment="1">
      <alignment horizontal="left" indent="1"/>
    </xf>
    <xf numFmtId="3" fontId="39" fillId="11" borderId="46" xfId="0" applyNumberFormat="1" applyFont="1" applyFill="1" applyBorder="1"/>
    <xf numFmtId="0" fontId="39" fillId="11" borderId="36" xfId="0" applyFont="1" applyFill="1" applyBorder="1" applyAlignment="1">
      <alignment horizontal="left" indent="1"/>
    </xf>
    <xf numFmtId="3" fontId="39" fillId="11" borderId="5" xfId="0" applyNumberFormat="1" applyFont="1" applyFill="1" applyBorder="1"/>
    <xf numFmtId="0" fontId="39" fillId="11" borderId="37" xfId="0" applyFont="1" applyFill="1" applyBorder="1" applyAlignment="1">
      <alignment horizontal="left" indent="1"/>
    </xf>
    <xf numFmtId="3" fontId="39" fillId="11" borderId="47" xfId="0" applyNumberFormat="1" applyFont="1" applyFill="1" applyBorder="1"/>
    <xf numFmtId="3" fontId="4" fillId="11" borderId="35" xfId="0" applyNumberFormat="1" applyFont="1" applyFill="1" applyBorder="1" applyAlignment="1">
      <alignment horizontal="right" vertical="center" wrapText="1" indent="1"/>
    </xf>
    <xf numFmtId="3" fontId="4" fillId="11" borderId="37" xfId="0" applyNumberFormat="1" applyFont="1" applyFill="1" applyBorder="1" applyAlignment="1">
      <alignment horizontal="right" vertical="center" wrapText="1" indent="1"/>
    </xf>
    <xf numFmtId="0" fontId="13" fillId="6" borderId="73" xfId="0" applyFont="1" applyFill="1" applyBorder="1" applyAlignment="1">
      <alignment horizontal="left" vertical="center" indent="2"/>
    </xf>
    <xf numFmtId="10" fontId="13" fillId="6" borderId="73" xfId="0" applyNumberFormat="1" applyFont="1" applyFill="1" applyBorder="1" applyAlignment="1">
      <alignment horizontal="left" vertical="center"/>
    </xf>
    <xf numFmtId="0" fontId="13" fillId="6" borderId="0" xfId="0" applyFont="1" applyFill="1" applyAlignment="1">
      <alignment horizontal="left" vertical="top" indent="6"/>
    </xf>
    <xf numFmtId="0" fontId="0" fillId="6" borderId="94" xfId="0" applyFill="1" applyBorder="1" applyAlignment="1">
      <alignment vertical="top"/>
    </xf>
    <xf numFmtId="0" fontId="63" fillId="0" borderId="0" xfId="0" applyFont="1" applyAlignment="1">
      <alignment horizontal="center"/>
    </xf>
    <xf numFmtId="0" fontId="44" fillId="0" borderId="35" xfId="0" applyFont="1" applyBorder="1" applyAlignment="1">
      <alignment horizontal="left" indent="1"/>
    </xf>
    <xf numFmtId="3" fontId="72" fillId="0" borderId="46" xfId="0" applyNumberFormat="1" applyFont="1" applyBorder="1"/>
    <xf numFmtId="0" fontId="72" fillId="0" borderId="36" xfId="0" applyFont="1" applyBorder="1" applyAlignment="1">
      <alignment horizontal="left" indent="1"/>
    </xf>
    <xf numFmtId="3" fontId="72" fillId="0" borderId="5" xfId="0" applyNumberFormat="1" applyFont="1" applyBorder="1"/>
    <xf numFmtId="3" fontId="44" fillId="0" borderId="47" xfId="0" applyNumberFormat="1" applyFont="1" applyBorder="1"/>
    <xf numFmtId="0" fontId="4" fillId="0" borderId="1" xfId="0" applyFont="1" applyBorder="1" applyAlignment="1">
      <alignment horizontal="left" vertical="center" wrapText="1" indent="3"/>
    </xf>
    <xf numFmtId="3" fontId="4" fillId="0" borderId="1" xfId="0" applyNumberFormat="1" applyFont="1" applyBorder="1" applyAlignment="1">
      <alignment horizontal="right" vertical="center" wrapText="1" indent="1"/>
    </xf>
    <xf numFmtId="0" fontId="13" fillId="0" borderId="1" xfId="0" applyFont="1" applyBorder="1" applyAlignment="1">
      <alignment horizontal="left" vertical="center" wrapText="1" indent="1"/>
    </xf>
    <xf numFmtId="0" fontId="4" fillId="0" borderId="83" xfId="0" applyFont="1" applyBorder="1" applyAlignment="1">
      <alignment horizontal="left" vertical="center" wrapText="1" indent="2"/>
    </xf>
    <xf numFmtId="3" fontId="4" fillId="0" borderId="83" xfId="0" applyNumberFormat="1" applyFont="1" applyBorder="1" applyAlignment="1">
      <alignment horizontal="right" vertical="center" wrapText="1" indent="1"/>
    </xf>
    <xf numFmtId="0" fontId="4" fillId="0" borderId="85" xfId="0" applyFont="1" applyBorder="1" applyAlignment="1">
      <alignment horizontal="left" vertical="center" wrapText="1" indent="2"/>
    </xf>
    <xf numFmtId="3" fontId="4" fillId="0" borderId="85" xfId="0" applyNumberFormat="1" applyFont="1" applyBorder="1" applyAlignment="1">
      <alignment horizontal="right" vertical="center" wrapText="1" indent="1"/>
    </xf>
    <xf numFmtId="0" fontId="44" fillId="0" borderId="37" xfId="0" applyFont="1" applyBorder="1" applyAlignment="1">
      <alignment horizontal="left" indent="1"/>
    </xf>
    <xf numFmtId="10" fontId="0" fillId="0" borderId="0" xfId="3" applyNumberFormat="1" applyFont="1"/>
    <xf numFmtId="168" fontId="12" fillId="3" borderId="51" xfId="3" applyNumberFormat="1" applyFont="1" applyFill="1" applyBorder="1" applyAlignment="1">
      <alignment horizontal="right" vertical="center" indent="1"/>
    </xf>
    <xf numFmtId="0" fontId="63" fillId="0" borderId="0" xfId="0" applyFont="1" applyAlignment="1">
      <alignment horizontal="left" indent="1"/>
    </xf>
    <xf numFmtId="173" fontId="0" fillId="0" borderId="0" xfId="0" applyNumberFormat="1"/>
    <xf numFmtId="174" fontId="0" fillId="0" borderId="0" xfId="0" applyNumberFormat="1"/>
    <xf numFmtId="1" fontId="4" fillId="13" borderId="51" xfId="0" applyNumberFormat="1" applyFont="1" applyFill="1" applyBorder="1" applyAlignment="1">
      <alignment horizontal="right" vertical="center" indent="2"/>
    </xf>
    <xf numFmtId="0" fontId="4" fillId="13" borderId="48" xfId="0" applyFont="1" applyFill="1" applyBorder="1" applyAlignment="1">
      <alignment horizontal="right" vertical="center" indent="2"/>
    </xf>
    <xf numFmtId="3" fontId="4" fillId="13" borderId="37" xfId="0" applyNumberFormat="1" applyFont="1" applyFill="1" applyBorder="1" applyAlignment="1">
      <alignment horizontal="right" vertical="center" indent="2"/>
    </xf>
    <xf numFmtId="167" fontId="17" fillId="12" borderId="21" xfId="0" applyNumberFormat="1" applyFont="1" applyFill="1" applyBorder="1" applyAlignment="1">
      <alignment horizontal="right" vertical="center" indent="3"/>
    </xf>
    <xf numFmtId="0" fontId="59" fillId="0" borderId="0" xfId="0" applyFont="1" applyAlignment="1">
      <alignment horizontal="justify" wrapText="1"/>
    </xf>
    <xf numFmtId="0" fontId="60" fillId="0" borderId="0" xfId="0" applyFont="1" applyAlignment="1">
      <alignment horizontal="justify" wrapText="1"/>
    </xf>
    <xf numFmtId="0" fontId="25" fillId="0" borderId="0" xfId="2" applyFont="1" applyBorder="1" applyAlignment="1" applyProtection="1">
      <alignment horizontal="right" vertical="top"/>
    </xf>
    <xf numFmtId="0" fontId="76" fillId="12" borderId="0" xfId="0" applyFont="1" applyFill="1" applyAlignment="1">
      <alignment horizontal="center" vertical="center" wrapText="1"/>
    </xf>
    <xf numFmtId="0" fontId="0" fillId="12" borderId="92" xfId="0" applyFill="1" applyBorder="1"/>
    <xf numFmtId="49" fontId="0" fillId="6" borderId="27" xfId="0" applyNumberFormat="1" applyFill="1" applyBorder="1" applyAlignment="1">
      <alignment vertical="top"/>
    </xf>
    <xf numFmtId="0" fontId="25" fillId="6" borderId="28" xfId="2" applyFont="1" applyFill="1" applyBorder="1" applyAlignment="1" applyProtection="1">
      <alignment horizontal="right" vertical="top"/>
    </xf>
    <xf numFmtId="0" fontId="25" fillId="6" borderId="29" xfId="2" applyFont="1" applyFill="1" applyBorder="1" applyAlignment="1" applyProtection="1">
      <alignment horizontal="right" vertical="top"/>
    </xf>
    <xf numFmtId="0" fontId="59" fillId="12" borderId="61" xfId="0" applyFont="1" applyFill="1" applyBorder="1" applyAlignment="1">
      <alignment horizontal="left" indent="1"/>
    </xf>
    <xf numFmtId="49" fontId="59" fillId="12" borderId="91" xfId="0" applyNumberFormat="1" applyFont="1" applyFill="1" applyBorder="1" applyAlignment="1">
      <alignment horizontal="right" vertical="top"/>
    </xf>
    <xf numFmtId="0" fontId="59" fillId="12" borderId="92" xfId="0" applyFont="1" applyFill="1" applyBorder="1" applyAlignment="1">
      <alignment horizontal="left" indent="1"/>
    </xf>
    <xf numFmtId="0" fontId="59" fillId="12" borderId="94" xfId="0" applyFont="1" applyFill="1" applyBorder="1" applyAlignment="1">
      <alignment horizontal="left" indent="1"/>
    </xf>
    <xf numFmtId="166" fontId="4" fillId="0" borderId="0" xfId="1" applyNumberFormat="1" applyFont="1" applyAlignment="1"/>
    <xf numFmtId="0" fontId="75" fillId="6" borderId="0" xfId="0" applyFont="1" applyFill="1" applyAlignment="1">
      <alignment horizontal="right" vertical="top"/>
    </xf>
    <xf numFmtId="167" fontId="0" fillId="6" borderId="41" xfId="0" applyNumberFormat="1" applyFill="1" applyBorder="1"/>
    <xf numFmtId="167" fontId="1" fillId="6" borderId="0" xfId="0" applyNumberFormat="1" applyFont="1" applyFill="1" applyAlignment="1">
      <alignment horizontal="center" vertical="top"/>
    </xf>
    <xf numFmtId="0" fontId="4" fillId="13" borderId="84" xfId="0" applyFont="1" applyFill="1" applyBorder="1" applyAlignment="1">
      <alignment horizontal="left" indent="1"/>
    </xf>
    <xf numFmtId="168" fontId="17" fillId="12" borderId="46" xfId="3" applyNumberFormat="1" applyFont="1" applyFill="1" applyBorder="1" applyAlignment="1">
      <alignment horizontal="right" indent="2"/>
    </xf>
    <xf numFmtId="168" fontId="17" fillId="12" borderId="5" xfId="3" applyNumberFormat="1" applyFont="1" applyFill="1" applyBorder="1" applyAlignment="1">
      <alignment horizontal="right" vertical="center" indent="2"/>
    </xf>
    <xf numFmtId="168" fontId="17" fillId="12" borderId="5" xfId="3" applyNumberFormat="1" applyFont="1" applyFill="1" applyBorder="1" applyAlignment="1">
      <alignment horizontal="right" indent="2"/>
    </xf>
    <xf numFmtId="168" fontId="17" fillId="12" borderId="47" xfId="3" applyNumberFormat="1" applyFont="1" applyFill="1" applyBorder="1" applyAlignment="1">
      <alignment horizontal="right" vertical="center" indent="2"/>
    </xf>
    <xf numFmtId="166" fontId="12" fillId="7" borderId="41" xfId="0" applyNumberFormat="1" applyFont="1" applyFill="1" applyBorder="1"/>
    <xf numFmtId="0" fontId="12" fillId="7" borderId="40" xfId="0" applyFont="1" applyFill="1" applyBorder="1"/>
    <xf numFmtId="0" fontId="4" fillId="0" borderId="36" xfId="0" applyFont="1" applyBorder="1" applyAlignment="1">
      <alignment horizontal="left" vertical="center" wrapText="1" indent="1"/>
    </xf>
    <xf numFmtId="0" fontId="4" fillId="0" borderId="37" xfId="0" applyFont="1" applyBorder="1" applyAlignment="1">
      <alignment horizontal="left" vertical="center" wrapText="1" indent="1"/>
    </xf>
    <xf numFmtId="0" fontId="0" fillId="6" borderId="27" xfId="0" applyFill="1" applyBorder="1"/>
    <xf numFmtId="0" fontId="61" fillId="6" borderId="28" xfId="0" applyFont="1" applyFill="1" applyBorder="1"/>
    <xf numFmtId="0" fontId="62" fillId="6" borderId="28" xfId="0" applyFont="1" applyFill="1" applyBorder="1"/>
    <xf numFmtId="0" fontId="4" fillId="6" borderId="28" xfId="0" applyFont="1" applyFill="1" applyBorder="1" applyAlignment="1">
      <alignment horizontal="justify"/>
    </xf>
    <xf numFmtId="3" fontId="17" fillId="0" borderId="0" xfId="0" applyNumberFormat="1" applyFont="1"/>
    <xf numFmtId="3" fontId="17" fillId="0" borderId="23" xfId="0" applyNumberFormat="1" applyFont="1" applyBorder="1" applyAlignment="1">
      <alignment vertical="center"/>
    </xf>
    <xf numFmtId="3" fontId="17" fillId="0" borderId="19" xfId="0" applyNumberFormat="1" applyFont="1" applyBorder="1" applyAlignment="1">
      <alignment vertical="center"/>
    </xf>
    <xf numFmtId="3" fontId="17" fillId="0" borderId="95" xfId="0" applyNumberFormat="1" applyFont="1" applyBorder="1" applyAlignment="1">
      <alignment vertical="center"/>
    </xf>
    <xf numFmtId="0" fontId="14" fillId="0" borderId="28" xfId="0" applyFont="1" applyBorder="1" applyAlignment="1">
      <alignment horizontal="right"/>
    </xf>
    <xf numFmtId="0" fontId="13" fillId="6" borderId="33" xfId="0" applyFont="1" applyFill="1" applyBorder="1"/>
    <xf numFmtId="0" fontId="23" fillId="7" borderId="10" xfId="0" applyFont="1" applyFill="1" applyBorder="1" applyAlignment="1">
      <alignment horizontal="right" indent="1"/>
    </xf>
    <xf numFmtId="0" fontId="0" fillId="9" borderId="0" xfId="0" applyFill="1"/>
    <xf numFmtId="10" fontId="4" fillId="14" borderId="1" xfId="3" applyNumberFormat="1" applyFont="1" applyFill="1" applyBorder="1" applyAlignment="1">
      <alignment horizontal="center" vertical="center"/>
    </xf>
    <xf numFmtId="0" fontId="0" fillId="14" borderId="0" xfId="0" applyFill="1"/>
    <xf numFmtId="0" fontId="13" fillId="0" borderId="0" xfId="0" applyFont="1" applyAlignment="1">
      <alignment horizontal="center" vertical="center"/>
    </xf>
    <xf numFmtId="2" fontId="46" fillId="0" borderId="0" xfId="1" applyNumberFormat="1" applyFont="1" applyAlignment="1">
      <alignment horizontal="right" indent="1"/>
    </xf>
    <xf numFmtId="0" fontId="6" fillId="0" borderId="0" xfId="0" applyFont="1" applyAlignment="1">
      <alignment horizontal="right"/>
    </xf>
    <xf numFmtId="0" fontId="77" fillId="0" borderId="0" xfId="0" applyFont="1" applyAlignment="1">
      <alignment vertical="center"/>
    </xf>
    <xf numFmtId="0" fontId="18" fillId="6" borderId="0" xfId="0" applyFont="1" applyFill="1" applyAlignment="1">
      <alignment horizontal="left" wrapText="1"/>
    </xf>
    <xf numFmtId="4" fontId="1" fillId="11" borderId="43" xfId="0" applyNumberFormat="1" applyFont="1" applyFill="1" applyBorder="1" applyAlignment="1">
      <alignment horizontal="right" indent="2"/>
    </xf>
    <xf numFmtId="4" fontId="0" fillId="11" borderId="44" xfId="0" applyNumberFormat="1" applyFill="1" applyBorder="1" applyAlignment="1">
      <alignment horizontal="right" indent="2"/>
    </xf>
    <xf numFmtId="0" fontId="1" fillId="0" borderId="10" xfId="0" applyFont="1" applyBorder="1" applyAlignment="1">
      <alignment horizontal="left" indent="2"/>
    </xf>
    <xf numFmtId="4" fontId="0" fillId="0" borderId="44" xfId="0" applyNumberFormat="1" applyBorder="1" applyAlignment="1">
      <alignment horizontal="right" indent="2"/>
    </xf>
    <xf numFmtId="0" fontId="73" fillId="0" borderId="0" xfId="0" applyFont="1" applyAlignment="1">
      <alignment horizontal="right"/>
    </xf>
    <xf numFmtId="0" fontId="13" fillId="0" borderId="0" xfId="0" applyFont="1" applyAlignment="1">
      <alignment horizontal="right" vertical="center"/>
    </xf>
    <xf numFmtId="0" fontId="78" fillId="0" borderId="0" xfId="0" applyFont="1" applyAlignment="1">
      <alignment horizontal="center" vertical="center"/>
    </xf>
    <xf numFmtId="0" fontId="45" fillId="0" borderId="0" xfId="0" applyFont="1" applyAlignment="1">
      <alignment horizontal="center" vertical="center"/>
    </xf>
    <xf numFmtId="4" fontId="45" fillId="0" borderId="0" xfId="0" applyNumberFormat="1" applyFont="1" applyAlignment="1">
      <alignment horizontal="right"/>
    </xf>
    <xf numFmtId="2" fontId="45" fillId="0" borderId="0" xfId="0" applyNumberFormat="1" applyFont="1" applyAlignment="1">
      <alignment horizontal="right" indent="1"/>
    </xf>
    <xf numFmtId="2" fontId="45" fillId="0" borderId="15" xfId="0" applyNumberFormat="1" applyFont="1" applyBorder="1" applyAlignment="1">
      <alignment horizontal="right" indent="1"/>
    </xf>
    <xf numFmtId="43" fontId="0" fillId="0" borderId="0" xfId="1" applyFont="1" applyFill="1"/>
    <xf numFmtId="10" fontId="17" fillId="0" borderId="83" xfId="3" applyNumberFormat="1" applyFont="1" applyBorder="1" applyAlignment="1">
      <alignment horizontal="right" indent="1"/>
    </xf>
    <xf numFmtId="10" fontId="17" fillId="0" borderId="84" xfId="3" applyNumberFormat="1" applyFont="1" applyBorder="1" applyAlignment="1">
      <alignment horizontal="right" indent="1"/>
    </xf>
    <xf numFmtId="10" fontId="17" fillId="0" borderId="85" xfId="3" applyNumberFormat="1" applyFont="1" applyBorder="1" applyAlignment="1">
      <alignment horizontal="right" indent="1"/>
    </xf>
    <xf numFmtId="10" fontId="12" fillId="3" borderId="11" xfId="3" applyNumberFormat="1" applyFont="1" applyFill="1" applyBorder="1" applyAlignment="1">
      <alignment horizontal="right" vertical="center" indent="1"/>
    </xf>
    <xf numFmtId="10" fontId="17" fillId="0" borderId="86" xfId="3" applyNumberFormat="1" applyFont="1" applyBorder="1" applyAlignment="1">
      <alignment horizontal="right" indent="1"/>
    </xf>
    <xf numFmtId="0" fontId="14" fillId="0" borderId="28" xfId="0" applyFont="1" applyBorder="1" applyAlignment="1">
      <alignment horizontal="left"/>
    </xf>
    <xf numFmtId="172" fontId="4" fillId="6" borderId="0" xfId="0" applyNumberFormat="1" applyFont="1" applyFill="1" applyAlignment="1">
      <alignment horizontal="right" indent="1"/>
    </xf>
    <xf numFmtId="0" fontId="0" fillId="6" borderId="30" xfId="0" applyFill="1" applyBorder="1" applyAlignment="1">
      <alignment vertical="center"/>
    </xf>
    <xf numFmtId="0" fontId="4" fillId="6" borderId="0" xfId="0" applyFont="1" applyFill="1" applyAlignment="1">
      <alignment horizontal="center" vertical="center"/>
    </xf>
    <xf numFmtId="0" fontId="1" fillId="6" borderId="31" xfId="0" applyFont="1" applyFill="1" applyBorder="1" applyAlignment="1">
      <alignment horizontal="left" vertical="center"/>
    </xf>
    <xf numFmtId="0" fontId="0" fillId="0" borderId="88" xfId="0" applyBorder="1"/>
    <xf numFmtId="0" fontId="0" fillId="6" borderId="8" xfId="0" applyFill="1" applyBorder="1"/>
    <xf numFmtId="10" fontId="4" fillId="6" borderId="0" xfId="0" applyNumberFormat="1" applyFont="1" applyFill="1" applyAlignment="1">
      <alignment horizontal="center" vertical="center"/>
    </xf>
    <xf numFmtId="167" fontId="52" fillId="12" borderId="46" xfId="1" applyNumberFormat="1" applyFont="1" applyFill="1" applyBorder="1" applyAlignment="1">
      <alignment horizontal="right" indent="2"/>
    </xf>
    <xf numFmtId="167" fontId="52" fillId="12" borderId="5" xfId="1" applyNumberFormat="1" applyFont="1" applyFill="1" applyBorder="1" applyAlignment="1">
      <alignment horizontal="right" vertical="center" indent="2"/>
    </xf>
    <xf numFmtId="167" fontId="52" fillId="12" borderId="47" xfId="1" applyNumberFormat="1" applyFont="1" applyFill="1" applyBorder="1" applyAlignment="1">
      <alignment horizontal="right" vertical="center" indent="2"/>
    </xf>
    <xf numFmtId="0" fontId="16" fillId="3" borderId="4" xfId="0" applyFont="1" applyFill="1" applyBorder="1" applyAlignment="1">
      <alignment horizontal="left" vertical="center" indent="1"/>
    </xf>
    <xf numFmtId="0" fontId="4" fillId="3" borderId="11" xfId="0" applyFont="1" applyFill="1" applyBorder="1" applyAlignment="1">
      <alignment horizontal="left" vertical="center" wrapText="1" indent="3"/>
    </xf>
    <xf numFmtId="0" fontId="16" fillId="3" borderId="11" xfId="0" applyFont="1" applyFill="1" applyBorder="1" applyAlignment="1">
      <alignment horizontal="left" vertical="center" wrapText="1" indent="3"/>
    </xf>
    <xf numFmtId="0" fontId="16" fillId="3" borderId="11" xfId="0" applyFont="1" applyFill="1" applyBorder="1" applyAlignment="1">
      <alignment horizontal="left" vertical="center" wrapText="1" indent="1"/>
    </xf>
    <xf numFmtId="0" fontId="17" fillId="0" borderId="68" xfId="0" applyFont="1" applyBorder="1" applyAlignment="1">
      <alignment horizontal="left" vertical="center" wrapText="1" indent="1"/>
    </xf>
    <xf numFmtId="0" fontId="17" fillId="0" borderId="70" xfId="0" applyFont="1" applyBorder="1" applyAlignment="1">
      <alignment horizontal="left" vertical="center" wrapText="1" indent="1"/>
    </xf>
    <xf numFmtId="0" fontId="16" fillId="6" borderId="2" xfId="0" applyFont="1" applyFill="1" applyBorder="1" applyAlignment="1">
      <alignment horizontal="left" vertical="center" wrapText="1" indent="1"/>
    </xf>
    <xf numFmtId="0" fontId="17" fillId="0" borderId="69" xfId="0" applyFont="1" applyBorder="1" applyAlignment="1">
      <alignment horizontal="left" vertical="center" indent="1"/>
    </xf>
    <xf numFmtId="0" fontId="4" fillId="3" borderId="11" xfId="0" applyFont="1" applyFill="1" applyBorder="1" applyAlignment="1">
      <alignment horizontal="left" vertical="center" indent="3"/>
    </xf>
    <xf numFmtId="0" fontId="39" fillId="11" borderId="68" xfId="0" applyFont="1" applyFill="1" applyBorder="1" applyAlignment="1">
      <alignment horizontal="left" indent="1"/>
    </xf>
    <xf numFmtId="0" fontId="39" fillId="11" borderId="69" xfId="0" applyFont="1" applyFill="1" applyBorder="1" applyAlignment="1">
      <alignment horizontal="left" indent="1"/>
    </xf>
    <xf numFmtId="0" fontId="4" fillId="13" borderId="69" xfId="0" applyFont="1" applyFill="1" applyBorder="1" applyAlignment="1">
      <alignment horizontal="left" indent="1"/>
    </xf>
    <xf numFmtId="0" fontId="4" fillId="13" borderId="11" xfId="0" applyFont="1" applyFill="1" applyBorder="1" applyAlignment="1">
      <alignment horizontal="left" vertical="center" wrapText="1" indent="1"/>
    </xf>
    <xf numFmtId="0" fontId="16" fillId="3" borderId="26" xfId="0" applyFont="1" applyFill="1" applyBorder="1" applyAlignment="1">
      <alignment horizontal="left" vertical="center" wrapText="1" indent="3"/>
    </xf>
    <xf numFmtId="3" fontId="4" fillId="3" borderId="49" xfId="0" applyNumberFormat="1" applyFont="1" applyFill="1" applyBorder="1" applyAlignment="1">
      <alignment horizontal="right" vertical="center" wrapText="1" indent="1"/>
    </xf>
    <xf numFmtId="3" fontId="4" fillId="6" borderId="52" xfId="0" applyNumberFormat="1" applyFont="1" applyFill="1" applyBorder="1" applyAlignment="1">
      <alignment horizontal="right" vertical="center" wrapText="1" indent="1"/>
    </xf>
    <xf numFmtId="3" fontId="4" fillId="11" borderId="46" xfId="0" applyNumberFormat="1" applyFont="1" applyFill="1" applyBorder="1" applyAlignment="1">
      <alignment horizontal="right" vertical="center" wrapText="1" indent="1"/>
    </xf>
    <xf numFmtId="3" fontId="4" fillId="11" borderId="47" xfId="0" applyNumberFormat="1" applyFont="1" applyFill="1" applyBorder="1" applyAlignment="1">
      <alignment horizontal="right" vertical="center" wrapText="1" indent="1"/>
    </xf>
    <xf numFmtId="3" fontId="16" fillId="3" borderId="49" xfId="0" applyNumberFormat="1" applyFont="1" applyFill="1" applyBorder="1" applyAlignment="1">
      <alignment horizontal="right" vertical="center" wrapText="1" indent="1"/>
    </xf>
    <xf numFmtId="3" fontId="17" fillId="0" borderId="46" xfId="0" applyNumberFormat="1" applyFont="1" applyBorder="1" applyAlignment="1">
      <alignment horizontal="right" indent="1"/>
    </xf>
    <xf numFmtId="3" fontId="17" fillId="0" borderId="5" xfId="0" applyNumberFormat="1" applyFont="1" applyBorder="1" applyAlignment="1">
      <alignment horizontal="right" indent="1"/>
    </xf>
    <xf numFmtId="3" fontId="17" fillId="0" borderId="47" xfId="0" applyNumberFormat="1" applyFont="1" applyBorder="1" applyAlignment="1">
      <alignment horizontal="right" indent="1"/>
    </xf>
    <xf numFmtId="3" fontId="12" fillId="3" borderId="49" xfId="0" applyNumberFormat="1" applyFont="1" applyFill="1" applyBorder="1" applyAlignment="1">
      <alignment horizontal="right" vertical="center" indent="1"/>
    </xf>
    <xf numFmtId="2" fontId="1" fillId="0" borderId="0" xfId="0" applyNumberFormat="1" applyFont="1" applyAlignment="1">
      <alignment horizontal="right"/>
    </xf>
    <xf numFmtId="49" fontId="59" fillId="12" borderId="93" xfId="0" applyNumberFormat="1" applyFont="1" applyFill="1" applyBorder="1" applyAlignment="1">
      <alignment horizontal="right" vertical="center"/>
    </xf>
    <xf numFmtId="0" fontId="4" fillId="13" borderId="69" xfId="0" applyFont="1" applyFill="1" applyBorder="1" applyAlignment="1">
      <alignment horizontal="left" indent="1"/>
    </xf>
    <xf numFmtId="0" fontId="0" fillId="0" borderId="53" xfId="0" applyBorder="1" applyAlignment="1">
      <alignment horizontal="left" indent="1"/>
    </xf>
    <xf numFmtId="0" fontId="4" fillId="3" borderId="11" xfId="0" applyFont="1" applyFill="1" applyBorder="1" applyAlignment="1">
      <alignment horizontal="left" vertical="center" wrapText="1" indent="3"/>
    </xf>
    <xf numFmtId="0" fontId="0" fillId="0" borderId="13" xfId="0" applyBorder="1" applyAlignment="1">
      <alignment horizontal="left" vertical="center" wrapText="1" indent="3"/>
    </xf>
    <xf numFmtId="0" fontId="34" fillId="0" borderId="0" xfId="0" applyFont="1" applyAlignment="1">
      <alignment horizontal="left" vertical="top" wrapText="1" indent="1"/>
    </xf>
    <xf numFmtId="0" fontId="0" fillId="0" borderId="3" xfId="0" applyBorder="1" applyAlignment="1">
      <alignment horizontal="left" vertical="top" wrapText="1" indent="1"/>
    </xf>
    <xf numFmtId="0" fontId="7" fillId="0" borderId="0" xfId="0" applyFont="1" applyAlignment="1">
      <alignment horizontal="left" vertical="top" wrapText="1" indent="1"/>
    </xf>
    <xf numFmtId="0" fontId="38" fillId="6" borderId="7" xfId="0" applyFont="1" applyFill="1" applyBorder="1" applyAlignment="1">
      <alignment horizontal="center" vertical="center" wrapText="1"/>
    </xf>
    <xf numFmtId="0" fontId="38" fillId="6" borderId="0" xfId="0" applyFont="1" applyFill="1" applyAlignment="1">
      <alignment horizontal="center" vertical="center" wrapText="1"/>
    </xf>
    <xf numFmtId="0" fontId="4" fillId="6" borderId="0" xfId="0" applyFont="1" applyFill="1" applyAlignment="1">
      <alignment vertical="center" wrapText="1"/>
    </xf>
    <xf numFmtId="0" fontId="0" fillId="6" borderId="0" xfId="0" applyFill="1" applyAlignment="1">
      <alignment vertical="center" wrapText="1"/>
    </xf>
    <xf numFmtId="0" fontId="0" fillId="6" borderId="41" xfId="0" applyFill="1" applyBorder="1" applyAlignment="1">
      <alignment vertical="center" wrapText="1"/>
    </xf>
    <xf numFmtId="0" fontId="43" fillId="0" borderId="0" xfId="0" applyFont="1" applyAlignment="1">
      <alignment horizontal="center" vertical="top" wrapText="1"/>
    </xf>
    <xf numFmtId="0" fontId="68" fillId="0" borderId="0" xfId="0" applyFont="1" applyAlignment="1">
      <alignment horizontal="center" vertical="top" wrapText="1"/>
    </xf>
    <xf numFmtId="0" fontId="0" fillId="0" borderId="0" xfId="0" applyAlignment="1">
      <alignment vertical="top" wrapText="1"/>
    </xf>
    <xf numFmtId="4" fontId="26" fillId="11" borderId="14" xfId="0" applyNumberFormat="1" applyFont="1" applyFill="1" applyBorder="1" applyAlignment="1">
      <alignment horizontal="center" vertical="center"/>
    </xf>
    <xf numFmtId="0" fontId="26" fillId="11" borderId="16" xfId="0" applyFont="1" applyFill="1" applyBorder="1" applyAlignment="1">
      <alignment horizontal="center" vertical="center"/>
    </xf>
    <xf numFmtId="0" fontId="59" fillId="12" borderId="0" xfId="0" applyFont="1" applyFill="1" applyAlignment="1">
      <alignment horizontal="left" wrapText="1" indent="1"/>
    </xf>
    <xf numFmtId="0" fontId="59" fillId="12" borderId="92" xfId="0" applyFont="1" applyFill="1" applyBorder="1" applyAlignment="1">
      <alignment horizontal="left" wrapText="1" indent="1"/>
    </xf>
    <xf numFmtId="0" fontId="1" fillId="0" borderId="0" xfId="0" applyFont="1" applyAlignment="1">
      <alignment vertical="top" wrapText="1"/>
    </xf>
    <xf numFmtId="0" fontId="4" fillId="6" borderId="0" xfId="0" applyFont="1" applyFill="1" applyAlignment="1">
      <alignment horizontal="left" wrapText="1" indent="1"/>
    </xf>
    <xf numFmtId="3" fontId="39" fillId="11" borderId="5" xfId="0" applyNumberFormat="1" applyFont="1" applyFill="1" applyBorder="1" applyAlignment="1">
      <alignment horizontal="right" indent="3"/>
    </xf>
    <xf numFmtId="3" fontId="4" fillId="11" borderId="5" xfId="0" applyNumberFormat="1" applyFont="1" applyFill="1" applyBorder="1" applyAlignment="1">
      <alignment horizontal="right" indent="3"/>
    </xf>
    <xf numFmtId="168" fontId="17" fillId="0" borderId="5" xfId="0" applyNumberFormat="1" applyFont="1" applyBorder="1" applyAlignment="1">
      <alignment horizontal="right" vertical="center" wrapText="1" indent="1"/>
    </xf>
    <xf numFmtId="168" fontId="17" fillId="0" borderId="5" xfId="0" applyNumberFormat="1" applyFont="1" applyBorder="1" applyAlignment="1">
      <alignment horizontal="right" vertical="center" wrapText="1"/>
    </xf>
    <xf numFmtId="168" fontId="17" fillId="0" borderId="5" xfId="3" applyNumberFormat="1" applyFont="1" applyBorder="1" applyAlignment="1">
      <alignment horizontal="right" indent="2"/>
    </xf>
    <xf numFmtId="168" fontId="17" fillId="0" borderId="21" xfId="3" applyNumberFormat="1" applyFont="1" applyBorder="1" applyAlignment="1">
      <alignment horizontal="right" indent="2"/>
    </xf>
    <xf numFmtId="0" fontId="4" fillId="6" borderId="0" xfId="0" applyFont="1" applyFill="1" applyAlignment="1">
      <alignment horizontal="justify" wrapText="1"/>
    </xf>
    <xf numFmtId="0" fontId="0" fillId="0" borderId="0" xfId="0" applyAlignment="1">
      <alignment horizontal="justify" wrapText="1"/>
    </xf>
    <xf numFmtId="0" fontId="4" fillId="3" borderId="11"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xf numFmtId="0" fontId="55" fillId="6" borderId="28" xfId="0" quotePrefix="1" applyFont="1" applyFill="1" applyBorder="1" applyAlignment="1">
      <alignment horizontal="center"/>
    </xf>
    <xf numFmtId="0" fontId="55" fillId="6" borderId="28" xfId="0" applyFont="1" applyFill="1" applyBorder="1" applyAlignment="1">
      <alignment horizontal="center"/>
    </xf>
    <xf numFmtId="171" fontId="4" fillId="6" borderId="12" xfId="0" applyNumberFormat="1" applyFont="1" applyFill="1" applyBorder="1" applyAlignment="1">
      <alignment horizontal="right" vertical="center" indent="3"/>
    </xf>
    <xf numFmtId="0" fontId="12" fillId="3" borderId="38" xfId="0" applyFont="1" applyFill="1" applyBorder="1" applyAlignment="1">
      <alignment horizontal="center" vertical="center" wrapText="1"/>
    </xf>
    <xf numFmtId="0" fontId="0" fillId="0" borderId="45" xfId="0" applyBorder="1" applyAlignment="1">
      <alignment horizontal="center" vertical="center" wrapText="1"/>
    </xf>
    <xf numFmtId="0" fontId="59" fillId="6" borderId="0" xfId="0" applyFont="1" applyFill="1" applyAlignment="1">
      <alignment horizontal="justify" vertical="center" wrapText="1"/>
    </xf>
    <xf numFmtId="0" fontId="59" fillId="6" borderId="0" xfId="0" applyFont="1" applyFill="1" applyAlignment="1">
      <alignment horizontal="justify" wrapText="1"/>
    </xf>
    <xf numFmtId="0" fontId="79" fillId="0" borderId="26" xfId="0" applyFont="1" applyBorder="1" applyAlignment="1">
      <alignment horizontal="center" vertical="center" wrapText="1"/>
    </xf>
    <xf numFmtId="0" fontId="79" fillId="0" borderId="2" xfId="0" applyFont="1" applyBorder="1" applyAlignment="1">
      <alignment horizontal="center" vertical="center" wrapText="1"/>
    </xf>
    <xf numFmtId="0" fontId="79" fillId="0" borderId="50" xfId="0" applyFont="1" applyBorder="1" applyAlignment="1">
      <alignment horizontal="center" vertical="center" wrapText="1"/>
    </xf>
    <xf numFmtId="0" fontId="13" fillId="6" borderId="0" xfId="0" applyFont="1" applyFill="1" applyAlignment="1">
      <alignment horizontal="justify" vertical="top" wrapText="1"/>
    </xf>
    <xf numFmtId="0" fontId="4" fillId="6" borderId="0" xfId="0" applyFont="1" applyFill="1" applyAlignment="1">
      <alignment wrapText="1"/>
    </xf>
    <xf numFmtId="0" fontId="4" fillId="13" borderId="68" xfId="0" applyFont="1" applyFill="1" applyBorder="1" applyAlignment="1">
      <alignment horizontal="left" indent="1"/>
    </xf>
    <xf numFmtId="0" fontId="0" fillId="0" borderId="56" xfId="0" applyBorder="1" applyAlignment="1">
      <alignment horizontal="left" indent="1"/>
    </xf>
    <xf numFmtId="0" fontId="76" fillId="12" borderId="65" xfId="0" applyFont="1" applyFill="1" applyBorder="1" applyAlignment="1">
      <alignment horizontal="center" wrapText="1"/>
    </xf>
    <xf numFmtId="1" fontId="17" fillId="0" borderId="46" xfId="0" applyNumberFormat="1" applyFont="1" applyBorder="1" applyAlignment="1">
      <alignment horizontal="right" vertical="center" wrapText="1" indent="2"/>
    </xf>
    <xf numFmtId="1" fontId="17" fillId="0" borderId="46" xfId="0" applyNumberFormat="1" applyFont="1" applyBorder="1" applyAlignment="1">
      <alignment horizontal="right" indent="2"/>
    </xf>
    <xf numFmtId="3" fontId="17" fillId="0" borderId="14" xfId="0" applyNumberFormat="1" applyFont="1" applyBorder="1" applyAlignment="1">
      <alignment horizontal="right" indent="3"/>
    </xf>
    <xf numFmtId="0" fontId="17" fillId="0" borderId="15" xfId="0" applyFont="1" applyBorder="1"/>
    <xf numFmtId="0" fontId="17" fillId="0" borderId="16" xfId="0" applyFont="1" applyBorder="1"/>
    <xf numFmtId="3" fontId="39" fillId="11" borderId="46" xfId="0" applyNumberFormat="1" applyFont="1" applyFill="1" applyBorder="1" applyAlignment="1">
      <alignment horizontal="right" indent="3"/>
    </xf>
    <xf numFmtId="3" fontId="4" fillId="11" borderId="46" xfId="0" applyNumberFormat="1" applyFont="1" applyFill="1" applyBorder="1" applyAlignment="1">
      <alignment horizontal="right" indent="3"/>
    </xf>
    <xf numFmtId="3" fontId="39" fillId="11" borderId="47" xfId="0" applyNumberFormat="1" applyFont="1" applyFill="1" applyBorder="1" applyAlignment="1">
      <alignment horizontal="right" indent="3"/>
    </xf>
    <xf numFmtId="3" fontId="4" fillId="11" borderId="47" xfId="0" applyNumberFormat="1" applyFont="1" applyFill="1" applyBorder="1" applyAlignment="1">
      <alignment horizontal="right" indent="3"/>
    </xf>
    <xf numFmtId="3" fontId="4" fillId="11" borderId="47" xfId="0" applyNumberFormat="1" applyFont="1" applyFill="1" applyBorder="1" applyAlignment="1">
      <alignment horizontal="right" vertical="center" indent="3"/>
    </xf>
    <xf numFmtId="0" fontId="0" fillId="11" borderId="47" xfId="0" applyFill="1" applyBorder="1" applyAlignment="1">
      <alignment horizontal="right" vertical="center" indent="3"/>
    </xf>
    <xf numFmtId="0" fontId="0" fillId="11" borderId="25" xfId="0" applyFill="1" applyBorder="1" applyAlignment="1">
      <alignment horizontal="right" vertical="center" indent="3"/>
    </xf>
    <xf numFmtId="3" fontId="16" fillId="3" borderId="11" xfId="0" applyNumberFormat="1" applyFont="1" applyFill="1" applyBorder="1" applyAlignment="1">
      <alignment horizontal="right" vertical="center" indent="3"/>
    </xf>
    <xf numFmtId="3" fontId="16" fillId="3" borderId="12" xfId="0" applyNumberFormat="1" applyFont="1" applyFill="1" applyBorder="1" applyAlignment="1">
      <alignment horizontal="right" vertical="center" indent="3"/>
    </xf>
    <xf numFmtId="3" fontId="16" fillId="3" borderId="13" xfId="0" applyNumberFormat="1" applyFont="1" applyFill="1" applyBorder="1" applyAlignment="1">
      <alignment horizontal="right" vertical="center" indent="3"/>
    </xf>
    <xf numFmtId="3" fontId="4" fillId="3" borderId="11" xfId="0" applyNumberFormat="1" applyFont="1" applyFill="1" applyBorder="1" applyAlignment="1">
      <alignment horizontal="right" vertical="center" indent="3"/>
    </xf>
    <xf numFmtId="3" fontId="4" fillId="3" borderId="12" xfId="0" applyNumberFormat="1" applyFont="1" applyFill="1" applyBorder="1" applyAlignment="1">
      <alignment horizontal="right" vertical="center" indent="3"/>
    </xf>
    <xf numFmtId="3" fontId="4" fillId="3" borderId="13" xfId="0" applyNumberFormat="1" applyFont="1" applyFill="1" applyBorder="1" applyAlignment="1">
      <alignment horizontal="right" vertical="center" indent="3"/>
    </xf>
    <xf numFmtId="0" fontId="13" fillId="10" borderId="11" xfId="0" applyFont="1" applyFill="1" applyBorder="1" applyAlignment="1">
      <alignment horizontal="left" vertical="center" indent="1"/>
    </xf>
    <xf numFmtId="0" fontId="0" fillId="10" borderId="12" xfId="0" applyFill="1" applyBorder="1" applyAlignment="1">
      <alignment horizontal="left" indent="1"/>
    </xf>
    <xf numFmtId="0" fontId="0" fillId="0" borderId="13" xfId="0" applyBorder="1" applyAlignment="1">
      <alignment horizontal="left" indent="1"/>
    </xf>
    <xf numFmtId="0" fontId="75" fillId="7" borderId="28" xfId="0" applyFont="1" applyFill="1" applyBorder="1" applyAlignment="1">
      <alignment horizontal="right" vertical="center" wrapText="1"/>
    </xf>
    <xf numFmtId="0" fontId="0" fillId="0" borderId="28" xfId="0" applyBorder="1" applyAlignment="1">
      <alignment horizontal="right" vertical="center" wrapText="1"/>
    </xf>
    <xf numFmtId="0" fontId="0" fillId="0" borderId="0" xfId="0" applyAlignment="1">
      <alignment horizontal="right" vertical="center" wrapText="1"/>
    </xf>
    <xf numFmtId="0" fontId="39" fillId="6" borderId="0" xfId="0" applyFont="1" applyFill="1" applyAlignment="1">
      <alignment horizontal="center" vertical="center"/>
    </xf>
    <xf numFmtId="0" fontId="0" fillId="0" borderId="0" xfId="0" applyAlignment="1">
      <alignment horizontal="center"/>
    </xf>
    <xf numFmtId="0" fontId="4" fillId="6" borderId="0" xfId="0" applyFont="1" applyFill="1" applyAlignment="1">
      <alignment horizontal="right" vertical="center" indent="1"/>
    </xf>
    <xf numFmtId="0" fontId="0" fillId="0" borderId="0" xfId="0" applyAlignment="1">
      <alignment horizontal="right"/>
    </xf>
    <xf numFmtId="168" fontId="4" fillId="3" borderId="11" xfId="0" applyNumberFormat="1" applyFont="1" applyFill="1" applyBorder="1" applyAlignment="1">
      <alignment horizontal="right" vertical="center" wrapText="1" indent="1"/>
    </xf>
    <xf numFmtId="168" fontId="0" fillId="3" borderId="12" xfId="0" applyNumberFormat="1" applyFill="1" applyBorder="1" applyAlignment="1">
      <alignment horizontal="right" vertical="center" wrapText="1"/>
    </xf>
    <xf numFmtId="168" fontId="0" fillId="3" borderId="13" xfId="0" applyNumberFormat="1" applyFill="1" applyBorder="1" applyAlignment="1">
      <alignment horizontal="right" vertical="center" wrapText="1"/>
    </xf>
    <xf numFmtId="0" fontId="20" fillId="6" borderId="30" xfId="0" applyFont="1" applyFill="1" applyBorder="1" applyAlignment="1">
      <alignment horizontal="center" vertical="center" wrapText="1"/>
    </xf>
    <xf numFmtId="0" fontId="0" fillId="0" borderId="0" xfId="0"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4" fillId="6" borderId="0" xfId="0" applyFont="1" applyFill="1" applyAlignment="1">
      <alignment horizontal="justify" vertical="center" wrapText="1"/>
    </xf>
    <xf numFmtId="0" fontId="4" fillId="9" borderId="38" xfId="0" applyFont="1" applyFill="1" applyBorder="1" applyAlignment="1">
      <alignment horizontal="center" vertical="center" wrapText="1"/>
    </xf>
    <xf numFmtId="0" fontId="4" fillId="9" borderId="45" xfId="0" applyFont="1" applyFill="1" applyBorder="1" applyAlignment="1">
      <alignment horizontal="center" vertical="center" wrapText="1"/>
    </xf>
    <xf numFmtId="0" fontId="46" fillId="0" borderId="5" xfId="0" applyFont="1" applyBorder="1" applyAlignment="1">
      <alignment horizontal="center" vertical="center" wrapText="1"/>
    </xf>
    <xf numFmtId="0" fontId="0" fillId="0" borderId="5" xfId="0" applyBorder="1"/>
    <xf numFmtId="168" fontId="17" fillId="0" borderId="46" xfId="0" applyNumberFormat="1" applyFont="1" applyBorder="1" applyAlignment="1">
      <alignment horizontal="right" vertical="center" wrapText="1" indent="1"/>
    </xf>
    <xf numFmtId="168" fontId="17" fillId="0" borderId="46" xfId="0" applyNumberFormat="1" applyFont="1" applyBorder="1" applyAlignment="1">
      <alignment horizontal="right" vertical="center" wrapText="1"/>
    </xf>
    <xf numFmtId="49" fontId="4" fillId="6" borderId="27" xfId="0" applyNumberFormat="1" applyFont="1" applyFill="1" applyBorder="1" applyAlignment="1">
      <alignment horizontal="left" vertical="center" wrapText="1"/>
    </xf>
    <xf numFmtId="0" fontId="0" fillId="6" borderId="28" xfId="0" applyFill="1" applyBorder="1" applyAlignment="1">
      <alignment horizontal="left" vertical="center" wrapText="1"/>
    </xf>
    <xf numFmtId="49" fontId="4" fillId="6" borderId="30" xfId="0" applyNumberFormat="1" applyFont="1" applyFill="1" applyBorder="1" applyAlignment="1">
      <alignment horizontal="left" vertical="center" wrapText="1"/>
    </xf>
    <xf numFmtId="0" fontId="0" fillId="6" borderId="0" xfId="0" applyFill="1" applyAlignment="1">
      <alignment horizontal="left" vertical="center" wrapText="1"/>
    </xf>
    <xf numFmtId="0" fontId="0" fillId="6" borderId="30" xfId="0" applyFill="1" applyBorder="1" applyAlignment="1">
      <alignment horizontal="left" vertical="center" wrapText="1"/>
    </xf>
    <xf numFmtId="0" fontId="4" fillId="6" borderId="30" xfId="0" applyFont="1" applyFill="1" applyBorder="1" applyAlignment="1">
      <alignment horizontal="left" wrapText="1" indent="1"/>
    </xf>
    <xf numFmtId="0" fontId="4" fillId="0" borderId="0" xfId="0" applyFont="1" applyAlignment="1">
      <alignment horizontal="left" wrapText="1" indent="1"/>
    </xf>
    <xf numFmtId="0" fontId="4" fillId="0" borderId="31" xfId="0" applyFont="1" applyBorder="1" applyAlignment="1">
      <alignment horizontal="left" wrapText="1" indent="1"/>
    </xf>
    <xf numFmtId="0" fontId="4" fillId="0" borderId="30" xfId="0" applyFont="1" applyBorder="1" applyAlignment="1">
      <alignment horizontal="left" wrapText="1" indent="1"/>
    </xf>
    <xf numFmtId="0" fontId="4" fillId="6" borderId="0" xfId="0" applyFont="1" applyFill="1" applyAlignment="1">
      <alignment horizontal="justify"/>
    </xf>
    <xf numFmtId="168" fontId="17" fillId="0" borderId="46" xfId="3" applyNumberFormat="1" applyFont="1" applyBorder="1" applyAlignment="1">
      <alignment horizontal="right" indent="2"/>
    </xf>
    <xf numFmtId="168" fontId="17" fillId="0" borderId="20" xfId="3" applyNumberFormat="1" applyFont="1" applyBorder="1" applyAlignment="1">
      <alignment horizontal="right" indent="2"/>
    </xf>
    <xf numFmtId="0" fontId="4" fillId="3" borderId="87" xfId="0" applyFont="1" applyFill="1" applyBorder="1" applyAlignment="1">
      <alignment horizontal="center" vertical="center" wrapText="1"/>
    </xf>
    <xf numFmtId="0" fontId="1" fillId="0" borderId="88" xfId="0" applyFont="1" applyBorder="1" applyAlignment="1">
      <alignment horizontal="center" vertical="center" wrapText="1"/>
    </xf>
    <xf numFmtId="0" fontId="4" fillId="9" borderId="74" xfId="0" applyFont="1" applyFill="1" applyBorder="1" applyAlignment="1">
      <alignment horizontal="center" vertical="center" wrapText="1"/>
    </xf>
    <xf numFmtId="0" fontId="4" fillId="9" borderId="82" xfId="0" applyFont="1" applyFill="1" applyBorder="1" applyAlignment="1">
      <alignment horizontal="center" vertical="center" wrapText="1"/>
    </xf>
    <xf numFmtId="0" fontId="46" fillId="0" borderId="0" xfId="0" applyFont="1" applyAlignment="1">
      <alignment horizontal="center" wrapText="1"/>
    </xf>
    <xf numFmtId="0" fontId="20" fillId="0" borderId="0" xfId="0" applyFont="1" applyAlignment="1">
      <alignment horizontal="center" vertical="center" wrapText="1"/>
    </xf>
    <xf numFmtId="0" fontId="14" fillId="0" borderId="0" xfId="0" applyFont="1" applyAlignment="1">
      <alignment horizontal="center" vertical="center" wrapText="1"/>
    </xf>
    <xf numFmtId="0" fontId="13" fillId="3" borderId="4" xfId="0" applyFont="1" applyFill="1" applyBorder="1" applyAlignment="1">
      <alignment horizontal="left" vertical="center" wrapText="1"/>
    </xf>
    <xf numFmtId="0" fontId="0" fillId="0" borderId="77" xfId="0" applyBorder="1"/>
    <xf numFmtId="0" fontId="4" fillId="0" borderId="54" xfId="0" applyFont="1" applyBorder="1" applyAlignment="1">
      <alignment horizontal="left" vertical="center"/>
    </xf>
    <xf numFmtId="0" fontId="0" fillId="0" borderId="10" xfId="0" applyBorder="1"/>
    <xf numFmtId="0" fontId="16" fillId="3" borderId="11" xfId="0" applyFont="1" applyFill="1" applyBorder="1" applyAlignment="1">
      <alignment horizontal="left" vertical="center" wrapText="1"/>
    </xf>
    <xf numFmtId="0" fontId="0" fillId="0" borderId="95" xfId="0" applyBorder="1"/>
    <xf numFmtId="0" fontId="6" fillId="9" borderId="38" xfId="0" applyFont="1" applyFill="1" applyBorder="1" applyAlignment="1">
      <alignment horizontal="center" vertical="center" wrapText="1"/>
    </xf>
    <xf numFmtId="0" fontId="63" fillId="0" borderId="0" xfId="0" applyFont="1" applyAlignment="1">
      <alignment wrapText="1"/>
    </xf>
    <xf numFmtId="0" fontId="0" fillId="0" borderId="0" xfId="0" applyAlignment="1">
      <alignment wrapText="1"/>
    </xf>
    <xf numFmtId="0" fontId="4" fillId="9" borderId="76" xfId="0" applyFont="1" applyFill="1" applyBorder="1" applyAlignment="1">
      <alignment horizontal="center" vertical="center" wrapText="1"/>
    </xf>
    <xf numFmtId="0" fontId="4" fillId="9" borderId="79" xfId="0" applyFont="1" applyFill="1" applyBorder="1" applyAlignment="1">
      <alignment horizontal="center" vertical="center" wrapText="1"/>
    </xf>
    <xf numFmtId="0" fontId="13" fillId="0" borderId="0" xfId="0" applyFont="1" applyAlignment="1">
      <alignment vertical="center" wrapText="1"/>
    </xf>
    <xf numFmtId="0" fontId="0" fillId="0" borderId="5" xfId="0" applyBorder="1" applyAlignment="1">
      <alignment wrapText="1"/>
    </xf>
    <xf numFmtId="0" fontId="4" fillId="0" borderId="54" xfId="0" applyFont="1" applyBorder="1" applyAlignment="1">
      <alignment horizontal="left" wrapText="1"/>
    </xf>
    <xf numFmtId="0" fontId="4" fillId="9" borderId="87" xfId="0" applyFont="1" applyFill="1" applyBorder="1" applyAlignment="1">
      <alignment horizontal="center" vertical="center" wrapText="1"/>
    </xf>
    <xf numFmtId="0" fontId="4" fillId="9" borderId="88" xfId="0" applyFont="1" applyFill="1" applyBorder="1" applyAlignment="1">
      <alignment horizontal="center" vertical="center" wrapText="1"/>
    </xf>
    <xf numFmtId="0" fontId="46" fillId="0" borderId="42" xfId="0" applyFont="1" applyBorder="1" applyAlignment="1">
      <alignment horizontal="center" vertical="center" wrapText="1"/>
    </xf>
    <xf numFmtId="0" fontId="0" fillId="0" borderId="43" xfId="0" applyBorder="1" applyAlignment="1">
      <alignment wrapText="1"/>
    </xf>
    <xf numFmtId="0" fontId="0" fillId="0" borderId="44" xfId="0" applyBorder="1" applyAlignment="1">
      <alignment wrapText="1"/>
    </xf>
    <xf numFmtId="0" fontId="17" fillId="3" borderId="77" xfId="0" applyFont="1" applyFill="1" applyBorder="1" applyAlignment="1">
      <alignment horizontal="center" vertical="center" wrapText="1"/>
    </xf>
    <xf numFmtId="0" fontId="1" fillId="0" borderId="81" xfId="0" applyFont="1" applyBorder="1" applyAlignment="1">
      <alignment horizontal="center" vertical="center" wrapText="1"/>
    </xf>
    <xf numFmtId="0" fontId="2" fillId="0" borderId="54" xfId="0" applyFont="1" applyBorder="1" applyAlignment="1">
      <alignment horizontal="left" vertical="top" wrapText="1" indent="2"/>
    </xf>
    <xf numFmtId="0" fontId="0" fillId="0" borderId="0" xfId="0" applyAlignment="1">
      <alignment horizontal="left" vertical="top" wrapText="1" indent="2"/>
    </xf>
    <xf numFmtId="167" fontId="17" fillId="0" borderId="14" xfId="0" applyNumberFormat="1" applyFont="1" applyBorder="1" applyAlignment="1">
      <alignment horizontal="center" vertical="center" wrapText="1"/>
    </xf>
    <xf numFmtId="167" fontId="17" fillId="0" borderId="53" xfId="0" applyNumberFormat="1" applyFont="1" applyBorder="1" applyAlignment="1">
      <alignment horizontal="center" vertical="center" wrapText="1"/>
    </xf>
    <xf numFmtId="1" fontId="17" fillId="0" borderId="14" xfId="0" applyNumberFormat="1" applyFont="1" applyBorder="1" applyAlignment="1">
      <alignment horizontal="right" vertical="center" wrapText="1" indent="2"/>
    </xf>
    <xf numFmtId="1" fontId="17" fillId="0" borderId="16" xfId="0" applyNumberFormat="1" applyFont="1" applyBorder="1" applyAlignment="1">
      <alignment horizontal="right" vertical="center" wrapText="1" indent="2"/>
    </xf>
    <xf numFmtId="0" fontId="4" fillId="6" borderId="0" xfId="0" applyFont="1" applyFill="1" applyAlignment="1">
      <alignment horizontal="left" vertical="center" wrapText="1" indent="1"/>
    </xf>
    <xf numFmtId="0" fontId="4" fillId="6" borderId="33" xfId="0" applyFont="1" applyFill="1" applyBorder="1" applyAlignment="1">
      <alignment horizontal="left" vertical="center" wrapText="1" indent="1"/>
    </xf>
    <xf numFmtId="10" fontId="4" fillId="3" borderId="11" xfId="0" applyNumberFormat="1" applyFont="1" applyFill="1" applyBorder="1" applyAlignment="1">
      <alignment horizontal="center" vertical="center" wrapText="1"/>
    </xf>
    <xf numFmtId="0" fontId="4" fillId="9" borderId="11" xfId="0" applyFont="1" applyFill="1" applyBorder="1" applyAlignment="1">
      <alignment horizontal="center" vertical="center" wrapText="1"/>
    </xf>
    <xf numFmtId="0" fontId="0" fillId="9" borderId="13" xfId="0" applyFill="1" applyBorder="1"/>
    <xf numFmtId="1" fontId="16" fillId="3" borderId="11" xfId="0" applyNumberFormat="1" applyFont="1" applyFill="1" applyBorder="1" applyAlignment="1">
      <alignment horizontal="center" vertical="center" wrapText="1"/>
    </xf>
    <xf numFmtId="1" fontId="26" fillId="3" borderId="13" xfId="0" applyNumberFormat="1" applyFont="1" applyFill="1" applyBorder="1"/>
    <xf numFmtId="167" fontId="4" fillId="0" borderId="14" xfId="0" applyNumberFormat="1" applyFont="1" applyBorder="1" applyAlignment="1">
      <alignment horizontal="center" vertical="center" wrapText="1"/>
    </xf>
    <xf numFmtId="167" fontId="4" fillId="0" borderId="53" xfId="0" applyNumberFormat="1" applyFont="1" applyBorder="1" applyAlignment="1">
      <alignment horizontal="center" vertical="center" wrapText="1"/>
    </xf>
    <xf numFmtId="1" fontId="4" fillId="3" borderId="11" xfId="0" applyNumberFormat="1" applyFont="1" applyFill="1" applyBorder="1" applyAlignment="1">
      <alignment horizontal="right" vertical="center" wrapText="1" indent="2"/>
    </xf>
    <xf numFmtId="1" fontId="0" fillId="3" borderId="13" xfId="0" applyNumberFormat="1" applyFill="1" applyBorder="1" applyAlignment="1">
      <alignment horizontal="right" indent="2"/>
    </xf>
    <xf numFmtId="3" fontId="17" fillId="0" borderId="5" xfId="1" applyNumberFormat="1" applyFont="1" applyBorder="1" applyAlignment="1">
      <alignment horizontal="right" vertical="center" indent="2"/>
    </xf>
    <xf numFmtId="0" fontId="17" fillId="0" borderId="5" xfId="0" applyFont="1" applyBorder="1" applyAlignment="1">
      <alignment horizontal="right" vertical="center" indent="2"/>
    </xf>
    <xf numFmtId="3" fontId="17" fillId="0" borderId="22" xfId="0" applyNumberFormat="1" applyFont="1" applyBorder="1" applyAlignment="1">
      <alignment horizontal="right" indent="3"/>
    </xf>
    <xf numFmtId="0" fontId="17" fillId="0" borderId="23" xfId="0" applyFont="1" applyBorder="1"/>
    <xf numFmtId="0" fontId="17" fillId="0" borderId="24" xfId="0" applyFont="1" applyBorder="1"/>
    <xf numFmtId="49" fontId="4" fillId="6" borderId="9" xfId="0" applyNumberFormat="1" applyFont="1" applyFill="1" applyBorder="1" applyAlignment="1">
      <alignment horizontal="left" vertical="center" wrapText="1" indent="1"/>
    </xf>
    <xf numFmtId="0" fontId="0" fillId="0" borderId="0" xfId="0" applyAlignment="1">
      <alignment horizontal="left" vertical="center" wrapText="1" indent="1"/>
    </xf>
    <xf numFmtId="0" fontId="0" fillId="0" borderId="10" xfId="0" applyBorder="1" applyAlignment="1">
      <alignment horizontal="left" vertical="center" wrapText="1" indent="1"/>
    </xf>
    <xf numFmtId="0" fontId="0" fillId="0" borderId="9" xfId="0" applyBorder="1" applyAlignment="1">
      <alignment horizontal="left" vertical="center" wrapText="1" indent="1"/>
    </xf>
    <xf numFmtId="0" fontId="0" fillId="0" borderId="39" xfId="0" applyBorder="1" applyAlignment="1">
      <alignment horizontal="left" vertical="center" wrapText="1" indent="1"/>
    </xf>
    <xf numFmtId="0" fontId="0" fillId="0" borderId="41" xfId="0" applyBorder="1" applyAlignment="1">
      <alignment horizontal="left" vertical="center" wrapText="1" indent="1"/>
    </xf>
    <xf numFmtId="0" fontId="0" fillId="0" borderId="40" xfId="0" applyBorder="1" applyAlignment="1">
      <alignment horizontal="left" vertical="center" wrapText="1" indent="1"/>
    </xf>
    <xf numFmtId="3" fontId="17" fillId="0" borderId="47" xfId="1" applyNumberFormat="1" applyFont="1" applyBorder="1" applyAlignment="1">
      <alignment horizontal="right" vertical="center" indent="2"/>
    </xf>
    <xf numFmtId="0" fontId="17" fillId="0" borderId="47" xfId="0" applyFont="1" applyBorder="1" applyAlignment="1">
      <alignment horizontal="right" vertical="center" indent="2"/>
    </xf>
    <xf numFmtId="1" fontId="17" fillId="0" borderId="22" xfId="0" applyNumberFormat="1" applyFont="1" applyBorder="1" applyAlignment="1">
      <alignment horizontal="right" vertical="center" wrapText="1" indent="2"/>
    </xf>
    <xf numFmtId="1" fontId="17" fillId="0" borderId="24" xfId="0" applyNumberFormat="1" applyFont="1" applyBorder="1" applyAlignment="1">
      <alignment horizontal="right" vertical="center" wrapText="1" indent="2"/>
    </xf>
    <xf numFmtId="1" fontId="4" fillId="6" borderId="18" xfId="0" applyNumberFormat="1" applyFont="1" applyFill="1" applyBorder="1" applyAlignment="1">
      <alignment horizontal="center" vertical="center" wrapText="1"/>
    </xf>
    <xf numFmtId="1" fontId="0" fillId="6" borderId="18" xfId="0" applyNumberFormat="1" applyFill="1" applyBorder="1"/>
    <xf numFmtId="167" fontId="12" fillId="6" borderId="54" xfId="0" applyNumberFormat="1" applyFont="1" applyFill="1" applyBorder="1" applyAlignment="1">
      <alignment horizontal="center"/>
    </xf>
    <xf numFmtId="167" fontId="0" fillId="6" borderId="0" xfId="0" applyNumberFormat="1" applyFill="1" applyAlignment="1">
      <alignment horizontal="center"/>
    </xf>
    <xf numFmtId="0" fontId="4" fillId="3" borderId="72" xfId="0" applyFont="1" applyFill="1" applyBorder="1" applyAlignment="1">
      <alignment horizontal="center" vertical="center" wrapText="1"/>
    </xf>
    <xf numFmtId="0" fontId="0" fillId="0" borderId="73" xfId="0" applyBorder="1" applyAlignment="1">
      <alignment horizontal="center" vertical="center" wrapText="1"/>
    </xf>
    <xf numFmtId="0" fontId="0" fillId="0" borderId="77"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80" xfId="0" applyBorder="1" applyAlignment="1">
      <alignment horizontal="center" vertical="center" wrapText="1"/>
    </xf>
    <xf numFmtId="0" fontId="0" fillId="0" borderId="2" xfId="0" applyBorder="1" applyAlignment="1">
      <alignment horizontal="center" vertical="center" wrapText="1"/>
    </xf>
    <xf numFmtId="0" fontId="0" fillId="0" borderId="81" xfId="0" applyBorder="1" applyAlignment="1">
      <alignment horizontal="center" vertical="center" wrapText="1"/>
    </xf>
    <xf numFmtId="167" fontId="17" fillId="0" borderId="53" xfId="0" applyNumberFormat="1" applyFont="1" applyBorder="1"/>
    <xf numFmtId="2" fontId="4" fillId="3" borderId="76" xfId="0" applyNumberFormat="1" applyFont="1" applyFill="1" applyBorder="1" applyAlignment="1">
      <alignment horizontal="center" vertical="center" wrapText="1"/>
    </xf>
    <xf numFmtId="0" fontId="0" fillId="0" borderId="78" xfId="0" applyBorder="1" applyAlignment="1">
      <alignment wrapText="1"/>
    </xf>
    <xf numFmtId="0" fontId="0" fillId="0" borderId="79" xfId="0" applyBorder="1" applyAlignment="1">
      <alignment wrapText="1"/>
    </xf>
    <xf numFmtId="0" fontId="4" fillId="3" borderId="74" xfId="0" applyFont="1" applyFill="1" applyBorder="1" applyAlignment="1">
      <alignment horizontal="center" vertical="center" wrapText="1"/>
    </xf>
    <xf numFmtId="0" fontId="0" fillId="0" borderId="75" xfId="0" applyBorder="1" applyAlignment="1">
      <alignment wrapText="1"/>
    </xf>
    <xf numFmtId="0" fontId="0" fillId="0" borderId="82" xfId="0" applyBorder="1" applyAlignment="1">
      <alignment wrapText="1"/>
    </xf>
    <xf numFmtId="0" fontId="39" fillId="6" borderId="0" xfId="0" applyFont="1" applyFill="1" applyAlignment="1">
      <alignment horizontal="justify" vertical="center" wrapText="1"/>
    </xf>
    <xf numFmtId="0" fontId="0" fillId="6" borderId="0" xfId="0" applyFill="1" applyAlignment="1">
      <alignment horizontal="justify" vertical="center" wrapText="1"/>
    </xf>
    <xf numFmtId="3" fontId="17" fillId="0" borderId="17" xfId="0" applyNumberFormat="1" applyFont="1" applyBorder="1" applyAlignment="1">
      <alignment horizontal="right" indent="3"/>
    </xf>
    <xf numFmtId="0" fontId="17" fillId="0" borderId="18" xfId="0" applyFont="1" applyBorder="1"/>
    <xf numFmtId="0" fontId="17" fillId="0" borderId="19" xfId="0" applyFont="1" applyBorder="1"/>
    <xf numFmtId="0" fontId="4" fillId="6" borderId="0" xfId="0" applyFont="1" applyFill="1" applyAlignment="1">
      <alignment horizontal="justify" vertical="top" wrapText="1"/>
    </xf>
    <xf numFmtId="168" fontId="17" fillId="0" borderId="47" xfId="0" applyNumberFormat="1" applyFont="1" applyBorder="1" applyAlignment="1">
      <alignment horizontal="right" vertical="center" wrapText="1" indent="1"/>
    </xf>
    <xf numFmtId="168" fontId="17" fillId="0" borderId="47" xfId="0" applyNumberFormat="1" applyFont="1" applyBorder="1" applyAlignment="1">
      <alignment horizontal="right" vertical="center" wrapText="1"/>
    </xf>
    <xf numFmtId="0" fontId="4" fillId="9" borderId="1" xfId="0" applyFont="1" applyFill="1" applyBorder="1" applyAlignment="1">
      <alignment horizontal="center" vertical="center" wrapText="1"/>
    </xf>
    <xf numFmtId="0" fontId="0" fillId="9" borderId="1" xfId="0" applyFill="1" applyBorder="1" applyAlignment="1">
      <alignment horizontal="center" vertical="center"/>
    </xf>
    <xf numFmtId="168" fontId="12" fillId="3" borderId="1" xfId="0" applyNumberFormat="1" applyFont="1" applyFill="1" applyBorder="1" applyAlignment="1">
      <alignment horizontal="right" vertical="center" indent="2"/>
    </xf>
    <xf numFmtId="0" fontId="17" fillId="0" borderId="0" xfId="0" applyFont="1" applyAlignment="1">
      <alignment wrapText="1"/>
    </xf>
    <xf numFmtId="0" fontId="1" fillId="0" borderId="5" xfId="0" applyFont="1" applyBorder="1" applyAlignment="1">
      <alignment horizontal="center" vertical="center" wrapText="1"/>
    </xf>
    <xf numFmtId="0" fontId="1" fillId="0" borderId="5" xfId="0" applyFont="1" applyBorder="1" applyAlignment="1">
      <alignment wrapText="1"/>
    </xf>
    <xf numFmtId="3" fontId="12" fillId="3" borderId="1" xfId="0" applyNumberFormat="1" applyFont="1" applyFill="1" applyBorder="1" applyAlignment="1">
      <alignment horizontal="right" vertical="center" indent="3"/>
    </xf>
    <xf numFmtId="0" fontId="4" fillId="0" borderId="4" xfId="0" applyFont="1" applyBorder="1" applyAlignment="1">
      <alignment horizontal="left" wrapText="1"/>
    </xf>
    <xf numFmtId="0" fontId="1" fillId="0" borderId="14" xfId="0" applyFont="1" applyBorder="1" applyAlignment="1">
      <alignment horizontal="center" vertical="center"/>
    </xf>
    <xf numFmtId="0" fontId="0" fillId="0" borderId="16" xfId="0" applyBorder="1" applyAlignment="1">
      <alignment horizontal="center" vertical="center"/>
    </xf>
    <xf numFmtId="0" fontId="66" fillId="0" borderId="42" xfId="0" applyFont="1" applyBorder="1" applyAlignment="1">
      <alignment horizontal="center" vertical="center" wrapText="1"/>
    </xf>
    <xf numFmtId="0" fontId="66" fillId="0" borderId="43" xfId="0" applyFont="1" applyBorder="1" applyAlignment="1">
      <alignment horizontal="center" vertical="center" wrapText="1"/>
    </xf>
    <xf numFmtId="0" fontId="66" fillId="0" borderId="44" xfId="0" applyFont="1" applyBorder="1" applyAlignment="1">
      <alignment wrapText="1"/>
    </xf>
    <xf numFmtId="0" fontId="1" fillId="0" borderId="42" xfId="0" applyFont="1" applyBorder="1" applyAlignment="1">
      <alignment horizontal="center" vertical="center" wrapText="1"/>
    </xf>
    <xf numFmtId="0" fontId="0" fillId="0" borderId="43" xfId="0" applyBorder="1" applyAlignment="1">
      <alignment horizontal="center" vertical="center" wrapText="1"/>
    </xf>
    <xf numFmtId="168" fontId="17" fillId="0" borderId="47" xfId="3" applyNumberFormat="1" applyFont="1" applyBorder="1" applyAlignment="1">
      <alignment horizontal="right" indent="2"/>
    </xf>
    <xf numFmtId="168" fontId="17" fillId="0" borderId="25" xfId="3" applyNumberFormat="1" applyFont="1" applyBorder="1" applyAlignment="1">
      <alignment horizontal="right" indent="2"/>
    </xf>
    <xf numFmtId="3" fontId="4" fillId="11" borderId="46" xfId="0" applyNumberFormat="1" applyFont="1" applyFill="1" applyBorder="1" applyAlignment="1">
      <alignment horizontal="right" vertical="center" wrapText="1" indent="3"/>
    </xf>
    <xf numFmtId="0" fontId="0" fillId="11" borderId="46" xfId="0" applyFill="1" applyBorder="1" applyAlignment="1">
      <alignment horizontal="right" vertical="center" wrapText="1" indent="3"/>
    </xf>
    <xf numFmtId="0" fontId="0" fillId="11" borderId="20" xfId="0" applyFill="1" applyBorder="1" applyAlignment="1">
      <alignment horizontal="right" vertical="center" wrapText="1" indent="3"/>
    </xf>
    <xf numFmtId="0" fontId="4" fillId="3" borderId="73" xfId="0" applyFont="1" applyFill="1" applyBorder="1" applyAlignment="1">
      <alignment horizontal="center" vertical="center" wrapText="1"/>
    </xf>
    <xf numFmtId="0" fontId="0" fillId="0" borderId="60" xfId="0" applyBorder="1" applyAlignment="1">
      <alignment horizontal="center" vertical="center" wrapText="1"/>
    </xf>
    <xf numFmtId="0" fontId="4" fillId="6" borderId="0" xfId="0" applyFont="1" applyFill="1" applyAlignment="1">
      <alignment horizontal="left" vertical="top" wrapText="1" indent="3"/>
    </xf>
    <xf numFmtId="0" fontId="1" fillId="6" borderId="0" xfId="0" applyFont="1" applyFill="1" applyAlignment="1">
      <alignment horizontal="left" vertical="top" wrapText="1" indent="3"/>
    </xf>
    <xf numFmtId="0" fontId="0" fillId="0" borderId="0" xfId="0" applyAlignment="1">
      <alignment horizontal="justify" vertical="center" wrapText="1"/>
    </xf>
    <xf numFmtId="0" fontId="4" fillId="6" borderId="61" xfId="0" applyFont="1" applyFill="1" applyBorder="1" applyAlignment="1">
      <alignment horizontal="justify" vertical="top" wrapText="1"/>
    </xf>
    <xf numFmtId="0" fontId="0" fillId="0" borderId="61" xfId="0" applyBorder="1" applyAlignment="1">
      <alignment horizontal="justify" vertical="top" wrapText="1"/>
    </xf>
    <xf numFmtId="0" fontId="4" fillId="3" borderId="4" xfId="0" applyFont="1" applyFill="1" applyBorder="1" applyAlignment="1">
      <alignment horizontal="center" vertical="center" wrapText="1"/>
    </xf>
    <xf numFmtId="0" fontId="0" fillId="0" borderId="26" xfId="0" applyBorder="1" applyAlignment="1">
      <alignment horizontal="center" vertical="center" wrapText="1"/>
    </xf>
    <xf numFmtId="0" fontId="4" fillId="9" borderId="66" xfId="0" applyFont="1" applyFill="1" applyBorder="1" applyAlignment="1">
      <alignment horizontal="left" vertical="center" wrapText="1" indent="1"/>
    </xf>
    <xf numFmtId="0" fontId="4" fillId="9" borderId="67" xfId="0" applyFont="1" applyFill="1" applyBorder="1" applyAlignment="1">
      <alignment horizontal="left" vertical="center" wrapText="1" indent="1"/>
    </xf>
    <xf numFmtId="0" fontId="71" fillId="0" borderId="0" xfId="0" applyFont="1" applyAlignment="1">
      <alignment horizontal="center" vertical="center" wrapText="1" readingOrder="1"/>
    </xf>
    <xf numFmtId="0" fontId="71" fillId="0" borderId="2" xfId="0" applyFont="1" applyBorder="1" applyAlignment="1">
      <alignment horizontal="center" vertical="center" readingOrder="1"/>
    </xf>
    <xf numFmtId="0" fontId="4" fillId="0" borderId="2" xfId="0" applyFont="1" applyBorder="1" applyAlignment="1">
      <alignment horizontal="center" vertical="center"/>
    </xf>
    <xf numFmtId="0" fontId="4" fillId="6" borderId="0" xfId="0" applyFont="1" applyFill="1" applyAlignment="1">
      <alignment horizontal="justify" vertical="center"/>
    </xf>
    <xf numFmtId="0" fontId="0" fillId="0" borderId="0" xfId="0" applyAlignment="1">
      <alignment horizontal="justify" vertical="center"/>
    </xf>
    <xf numFmtId="0" fontId="1" fillId="9" borderId="38" xfId="0" applyFont="1" applyFill="1" applyBorder="1" applyAlignment="1">
      <alignment horizontal="center" wrapText="1"/>
    </xf>
    <xf numFmtId="0" fontId="0" fillId="9" borderId="45" xfId="0" applyFill="1" applyBorder="1" applyAlignment="1">
      <alignment horizontal="center" wrapText="1"/>
    </xf>
    <xf numFmtId="0" fontId="33" fillId="5" borderId="14" xfId="0" applyFont="1" applyFill="1" applyBorder="1" applyAlignment="1">
      <alignment horizontal="center" vertical="center"/>
    </xf>
    <xf numFmtId="0" fontId="0" fillId="0" borderId="15" xfId="0" applyBorder="1" applyAlignment="1">
      <alignment horizontal="center" vertical="center"/>
    </xf>
    <xf numFmtId="0" fontId="20" fillId="6" borderId="0" xfId="0" applyFont="1" applyFill="1" applyAlignment="1">
      <alignment horizontal="left" vertical="top" wrapText="1" indent="3"/>
    </xf>
    <xf numFmtId="0" fontId="0" fillId="6" borderId="0" xfId="0" applyFill="1" applyAlignment="1">
      <alignment horizontal="left" vertical="top" wrapText="1" indent="3"/>
    </xf>
    <xf numFmtId="0" fontId="33" fillId="0" borderId="7" xfId="0" applyFont="1" applyBorder="1" applyAlignment="1">
      <alignment horizontal="center"/>
    </xf>
    <xf numFmtId="0" fontId="4" fillId="3" borderId="38"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0" borderId="0" xfId="0" applyFont="1" applyAlignment="1">
      <alignment wrapText="1"/>
    </xf>
    <xf numFmtId="0" fontId="17" fillId="9" borderId="38" xfId="0" applyFont="1" applyFill="1" applyBorder="1" applyAlignment="1">
      <alignment horizontal="center" vertical="center" wrapText="1"/>
    </xf>
    <xf numFmtId="0" fontId="17" fillId="9" borderId="45" xfId="0" applyFont="1" applyFill="1" applyBorder="1" applyAlignment="1">
      <alignment horizontal="center" vertical="center" wrapText="1"/>
    </xf>
    <xf numFmtId="0" fontId="53" fillId="0" borderId="0" xfId="0" applyFont="1" applyAlignment="1">
      <alignment wrapText="1"/>
    </xf>
    <xf numFmtId="0" fontId="0" fillId="3" borderId="60" xfId="0" applyFill="1" applyBorder="1" applyAlignment="1">
      <alignment horizontal="center" vertical="center" wrapText="1"/>
    </xf>
    <xf numFmtId="0" fontId="4" fillId="3" borderId="26" xfId="0" applyFont="1" applyFill="1" applyBorder="1" applyAlignment="1">
      <alignment horizontal="center" vertical="center" wrapText="1"/>
    </xf>
    <xf numFmtId="0" fontId="0" fillId="3" borderId="50" xfId="0" applyFill="1" applyBorder="1" applyAlignment="1">
      <alignment horizontal="center" vertical="center" wrapText="1"/>
    </xf>
    <xf numFmtId="0" fontId="13" fillId="11" borderId="54" xfId="0" applyFont="1" applyFill="1" applyBorder="1" applyAlignment="1">
      <alignment horizontal="left" vertical="center"/>
    </xf>
    <xf numFmtId="0" fontId="0" fillId="11" borderId="0" xfId="0" applyFill="1"/>
    <xf numFmtId="0" fontId="0" fillId="0" borderId="0" xfId="0"/>
    <xf numFmtId="0" fontId="1" fillId="0" borderId="73" xfId="0" applyFont="1" applyBorder="1" applyAlignment="1">
      <alignment wrapText="1"/>
    </xf>
    <xf numFmtId="0" fontId="0" fillId="0" borderId="73" xfId="0" applyBorder="1" applyAlignment="1">
      <alignment wrapText="1"/>
    </xf>
    <xf numFmtId="3" fontId="4" fillId="11" borderId="68" xfId="0" applyNumberFormat="1" applyFont="1" applyFill="1" applyBorder="1" applyAlignment="1">
      <alignment horizontal="right" vertical="center" wrapText="1" indent="3"/>
    </xf>
    <xf numFmtId="0" fontId="0" fillId="11" borderId="18" xfId="0" applyFill="1" applyBorder="1" applyAlignment="1">
      <alignment horizontal="right" vertical="center" wrapText="1" indent="3"/>
    </xf>
    <xf numFmtId="0" fontId="0" fillId="11" borderId="56" xfId="0" applyFill="1" applyBorder="1" applyAlignment="1">
      <alignment horizontal="right" vertical="center" wrapText="1" indent="3"/>
    </xf>
    <xf numFmtId="0" fontId="13" fillId="10" borderId="11" xfId="0" applyFont="1" applyFill="1" applyBorder="1" applyAlignment="1">
      <alignment horizontal="left" vertical="center"/>
    </xf>
    <xf numFmtId="0" fontId="0" fillId="10" borderId="13" xfId="0" applyFill="1" applyBorder="1"/>
    <xf numFmtId="0" fontId="4" fillId="9" borderId="12" xfId="0" applyFont="1" applyFill="1" applyBorder="1" applyAlignment="1">
      <alignment horizontal="center" vertical="center" wrapText="1"/>
    </xf>
    <xf numFmtId="0" fontId="4" fillId="9" borderId="13" xfId="0" applyFont="1" applyFill="1" applyBorder="1" applyAlignment="1">
      <alignment horizontal="center" vertical="center" wrapText="1"/>
    </xf>
    <xf numFmtId="3" fontId="4" fillId="11" borderId="68" xfId="1" applyNumberFormat="1" applyFont="1" applyFill="1" applyBorder="1" applyAlignment="1">
      <alignment horizontal="right" vertical="center" indent="3"/>
    </xf>
    <xf numFmtId="3" fontId="4" fillId="11" borderId="18" xfId="1" applyNumberFormat="1" applyFont="1" applyFill="1" applyBorder="1" applyAlignment="1">
      <alignment horizontal="right" vertical="center" indent="3"/>
    </xf>
    <xf numFmtId="3" fontId="4" fillId="11" borderId="56" xfId="1" applyNumberFormat="1" applyFont="1" applyFill="1" applyBorder="1" applyAlignment="1">
      <alignment horizontal="right" vertical="center" indent="3"/>
    </xf>
    <xf numFmtId="3" fontId="4" fillId="11" borderId="69" xfId="1" applyNumberFormat="1" applyFont="1" applyFill="1" applyBorder="1" applyAlignment="1">
      <alignment horizontal="right" vertical="center" indent="3"/>
    </xf>
    <xf numFmtId="3" fontId="4" fillId="11" borderId="15" xfId="1" applyNumberFormat="1" applyFont="1" applyFill="1" applyBorder="1" applyAlignment="1">
      <alignment horizontal="right" vertical="center" indent="3"/>
    </xf>
    <xf numFmtId="3" fontId="4" fillId="11" borderId="53" xfId="1" applyNumberFormat="1" applyFont="1" applyFill="1" applyBorder="1" applyAlignment="1">
      <alignment horizontal="right" vertical="center" indent="3"/>
    </xf>
    <xf numFmtId="3" fontId="4" fillId="11" borderId="70" xfId="0" applyNumberFormat="1" applyFont="1" applyFill="1" applyBorder="1" applyAlignment="1">
      <alignment horizontal="right" vertical="center" indent="3"/>
    </xf>
    <xf numFmtId="0" fontId="0" fillId="11" borderId="23" xfId="0" applyFill="1" applyBorder="1" applyAlignment="1">
      <alignment horizontal="right" vertical="center" indent="3"/>
    </xf>
    <xf numFmtId="0" fontId="0" fillId="11" borderId="71" xfId="0" applyFill="1" applyBorder="1" applyAlignment="1">
      <alignment horizontal="right" vertical="center" indent="3"/>
    </xf>
    <xf numFmtId="3" fontId="44" fillId="11" borderId="5" xfId="0" applyNumberFormat="1" applyFont="1" applyFill="1" applyBorder="1" applyAlignment="1">
      <alignment horizontal="right" indent="3"/>
    </xf>
    <xf numFmtId="3" fontId="44" fillId="11" borderId="47" xfId="0" applyNumberFormat="1" applyFont="1" applyFill="1" applyBorder="1" applyAlignment="1">
      <alignment horizontal="right" indent="3"/>
    </xf>
    <xf numFmtId="3" fontId="44" fillId="11" borderId="46" xfId="0" applyNumberFormat="1" applyFont="1" applyFill="1" applyBorder="1" applyAlignment="1">
      <alignment horizontal="right" indent="3"/>
    </xf>
    <xf numFmtId="0" fontId="13" fillId="11" borderId="11" xfId="0" applyFont="1" applyFill="1" applyBorder="1" applyAlignment="1">
      <alignment horizontal="left" vertical="center"/>
    </xf>
    <xf numFmtId="0" fontId="0" fillId="11" borderId="13" xfId="0" applyFill="1" applyBorder="1"/>
    <xf numFmtId="0" fontId="4" fillId="11" borderId="68" xfId="0" applyFont="1" applyFill="1" applyBorder="1" applyAlignment="1">
      <alignment horizontal="right" vertical="center" wrapText="1" indent="3"/>
    </xf>
    <xf numFmtId="0" fontId="4" fillId="11" borderId="18" xfId="0" applyFont="1" applyFill="1" applyBorder="1" applyAlignment="1">
      <alignment horizontal="right" vertical="center" wrapText="1" indent="3"/>
    </xf>
    <xf numFmtId="0" fontId="4" fillId="11" borderId="56" xfId="0" applyFont="1" applyFill="1" applyBorder="1" applyAlignment="1">
      <alignment horizontal="right" vertical="center" wrapText="1" indent="3"/>
    </xf>
    <xf numFmtId="172" fontId="4" fillId="11" borderId="69" xfId="0" applyNumberFormat="1" applyFont="1" applyFill="1" applyBorder="1" applyAlignment="1">
      <alignment horizontal="right" vertical="center" wrapText="1" indent="3"/>
    </xf>
    <xf numFmtId="172" fontId="4" fillId="11" borderId="15" xfId="0" applyNumberFormat="1" applyFont="1" applyFill="1" applyBorder="1" applyAlignment="1">
      <alignment horizontal="right" vertical="center" wrapText="1" indent="3"/>
    </xf>
    <xf numFmtId="172" fontId="4" fillId="11" borderId="53" xfId="0" applyNumberFormat="1" applyFont="1" applyFill="1" applyBorder="1" applyAlignment="1">
      <alignment horizontal="right" vertical="center" wrapText="1" indent="3"/>
    </xf>
    <xf numFmtId="3" fontId="4" fillId="11" borderId="11" xfId="0" applyNumberFormat="1" applyFont="1" applyFill="1" applyBorder="1" applyAlignment="1">
      <alignment horizontal="right" vertical="center" indent="3"/>
    </xf>
    <xf numFmtId="0" fontId="0" fillId="11" borderId="12" xfId="0" applyFill="1" applyBorder="1" applyAlignment="1">
      <alignment horizontal="right" vertical="center" indent="3"/>
    </xf>
    <xf numFmtId="0" fontId="0" fillId="11" borderId="13" xfId="0" applyFill="1" applyBorder="1" applyAlignment="1">
      <alignment horizontal="right" vertical="center" indent="3"/>
    </xf>
    <xf numFmtId="0" fontId="12" fillId="11" borderId="69" xfId="0" applyFont="1" applyFill="1" applyBorder="1" applyAlignment="1">
      <alignment horizontal="right" wrapText="1" indent="3"/>
    </xf>
    <xf numFmtId="0" fontId="0" fillId="11" borderId="15" xfId="0" applyFill="1" applyBorder="1" applyAlignment="1">
      <alignment horizontal="right" wrapText="1" indent="3"/>
    </xf>
    <xf numFmtId="0" fontId="0" fillId="11" borderId="53" xfId="0" applyFill="1" applyBorder="1" applyAlignment="1">
      <alignment horizontal="right" wrapText="1" indent="3"/>
    </xf>
    <xf numFmtId="3" fontId="4" fillId="11" borderId="69" xfId="0" applyNumberFormat="1" applyFont="1" applyFill="1" applyBorder="1" applyAlignment="1">
      <alignment horizontal="right" vertical="center" indent="3"/>
    </xf>
    <xf numFmtId="3" fontId="4" fillId="11" borderId="15" xfId="0" applyNumberFormat="1" applyFont="1" applyFill="1" applyBorder="1" applyAlignment="1">
      <alignment horizontal="right" vertical="center" indent="3"/>
    </xf>
    <xf numFmtId="3" fontId="4" fillId="11" borderId="53" xfId="0" applyNumberFormat="1" applyFont="1" applyFill="1" applyBorder="1" applyAlignment="1">
      <alignment horizontal="right" vertical="center" indent="3"/>
    </xf>
    <xf numFmtId="3" fontId="4" fillId="9" borderId="11" xfId="0" applyNumberFormat="1" applyFont="1" applyFill="1" applyBorder="1" applyAlignment="1">
      <alignment horizontal="right" vertical="center" indent="3"/>
    </xf>
    <xf numFmtId="3" fontId="4" fillId="9" borderId="12" xfId="0" applyNumberFormat="1" applyFont="1" applyFill="1" applyBorder="1" applyAlignment="1">
      <alignment horizontal="right" vertical="center" indent="3"/>
    </xf>
    <xf numFmtId="3" fontId="4" fillId="9" borderId="13" xfId="0" applyNumberFormat="1" applyFont="1" applyFill="1" applyBorder="1" applyAlignment="1">
      <alignment horizontal="right" vertical="center" indent="3"/>
    </xf>
    <xf numFmtId="0" fontId="12" fillId="11" borderId="70" xfId="0" applyFont="1" applyFill="1" applyBorder="1" applyAlignment="1">
      <alignment horizontal="right" wrapText="1" indent="3"/>
    </xf>
    <xf numFmtId="0" fontId="0" fillId="11" borderId="23" xfId="0" applyFill="1" applyBorder="1" applyAlignment="1">
      <alignment horizontal="right" wrapText="1" indent="3"/>
    </xf>
    <xf numFmtId="0" fontId="0" fillId="11" borderId="71" xfId="0" applyFill="1" applyBorder="1" applyAlignment="1">
      <alignment horizontal="right" wrapText="1" indent="3"/>
    </xf>
    <xf numFmtId="0" fontId="12" fillId="11" borderId="68" xfId="0" applyFont="1" applyFill="1" applyBorder="1" applyAlignment="1">
      <alignment horizontal="right" wrapText="1" indent="3"/>
    </xf>
    <xf numFmtId="0" fontId="0" fillId="11" borderId="18" xfId="0" applyFill="1" applyBorder="1" applyAlignment="1">
      <alignment horizontal="right" wrapText="1" indent="3"/>
    </xf>
    <xf numFmtId="0" fontId="0" fillId="11" borderId="56" xfId="0" applyFill="1" applyBorder="1" applyAlignment="1">
      <alignment horizontal="right" wrapText="1" indent="3"/>
    </xf>
    <xf numFmtId="3" fontId="4" fillId="11" borderId="70" xfId="1" applyNumberFormat="1" applyFont="1" applyFill="1" applyBorder="1" applyAlignment="1">
      <alignment horizontal="right" vertical="center" indent="3"/>
    </xf>
    <xf numFmtId="0" fontId="0" fillId="11" borderId="23" xfId="0" applyFill="1" applyBorder="1" applyAlignment="1">
      <alignment horizontal="right"/>
    </xf>
    <xf numFmtId="0" fontId="0" fillId="11" borderId="71" xfId="0" applyFill="1" applyBorder="1" applyAlignment="1">
      <alignment horizontal="right"/>
    </xf>
    <xf numFmtId="0" fontId="0" fillId="9" borderId="12" xfId="0" applyFill="1" applyBorder="1" applyAlignment="1">
      <alignment horizontal="right" vertical="center"/>
    </xf>
    <xf numFmtId="0" fontId="0" fillId="9" borderId="13" xfId="0" applyFill="1" applyBorder="1" applyAlignment="1">
      <alignment horizontal="right" vertical="center"/>
    </xf>
    <xf numFmtId="0" fontId="0" fillId="11" borderId="12" xfId="0" applyFill="1" applyBorder="1" applyAlignment="1">
      <alignment horizontal="right"/>
    </xf>
    <xf numFmtId="0" fontId="0" fillId="11" borderId="13" xfId="0" applyFill="1" applyBorder="1" applyAlignment="1">
      <alignment horizontal="right"/>
    </xf>
    <xf numFmtId="0" fontId="0" fillId="9" borderId="12" xfId="0" applyFill="1" applyBorder="1" applyAlignment="1">
      <alignment horizontal="right" vertical="center" indent="3"/>
    </xf>
    <xf numFmtId="0" fontId="0" fillId="9" borderId="13" xfId="0" applyFill="1" applyBorder="1" applyAlignment="1">
      <alignment horizontal="right" vertical="center" indent="3"/>
    </xf>
    <xf numFmtId="3" fontId="4" fillId="11" borderId="12" xfId="0" applyNumberFormat="1" applyFont="1" applyFill="1" applyBorder="1" applyAlignment="1">
      <alignment horizontal="right" vertical="center" indent="3"/>
    </xf>
    <xf numFmtId="3" fontId="4" fillId="11" borderId="13" xfId="0" applyNumberFormat="1" applyFont="1" applyFill="1" applyBorder="1" applyAlignment="1">
      <alignment horizontal="right" vertical="center" indent="3"/>
    </xf>
    <xf numFmtId="0" fontId="0" fillId="0" borderId="12" xfId="0" applyBorder="1" applyAlignment="1">
      <alignment horizontal="right" vertical="center" indent="3"/>
    </xf>
    <xf numFmtId="0" fontId="0" fillId="0" borderId="13" xfId="0" applyBorder="1" applyAlignment="1">
      <alignment horizontal="right" vertical="center" indent="3"/>
    </xf>
    <xf numFmtId="0" fontId="0" fillId="11" borderId="15" xfId="0" applyFill="1" applyBorder="1" applyAlignment="1">
      <alignment horizontal="right" vertical="center" indent="3"/>
    </xf>
    <xf numFmtId="0" fontId="0" fillId="11" borderId="53" xfId="0" applyFill="1" applyBorder="1" applyAlignment="1">
      <alignment horizontal="right" vertical="center" indent="3"/>
    </xf>
    <xf numFmtId="3" fontId="0" fillId="11" borderId="15" xfId="1" applyNumberFormat="1" applyFont="1" applyFill="1" applyBorder="1" applyAlignment="1">
      <alignment horizontal="right" vertical="center" indent="3"/>
    </xf>
    <xf numFmtId="3" fontId="0" fillId="11" borderId="53" xfId="1" applyNumberFormat="1" applyFont="1" applyFill="1" applyBorder="1" applyAlignment="1">
      <alignment horizontal="right" vertical="center" indent="3"/>
    </xf>
    <xf numFmtId="3" fontId="4" fillId="11" borderId="23" xfId="1" applyNumberFormat="1" applyFont="1" applyFill="1" applyBorder="1" applyAlignment="1">
      <alignment horizontal="right" vertical="center" indent="3"/>
    </xf>
    <xf numFmtId="3" fontId="4" fillId="11" borderId="71" xfId="1" applyNumberFormat="1" applyFont="1" applyFill="1" applyBorder="1" applyAlignment="1">
      <alignment horizontal="right" vertical="center" indent="3"/>
    </xf>
    <xf numFmtId="0" fontId="0" fillId="11" borderId="15" xfId="0" applyFill="1" applyBorder="1" applyAlignment="1">
      <alignment horizontal="right"/>
    </xf>
    <xf numFmtId="0" fontId="0" fillId="11" borderId="53" xfId="0" applyFill="1" applyBorder="1" applyAlignment="1">
      <alignment horizontal="right"/>
    </xf>
    <xf numFmtId="0" fontId="0" fillId="9" borderId="12" xfId="0" applyFill="1" applyBorder="1" applyAlignment="1">
      <alignment horizontal="center" vertical="center" wrapText="1"/>
    </xf>
    <xf numFmtId="0" fontId="0" fillId="9" borderId="13" xfId="0" applyFill="1" applyBorder="1" applyAlignment="1">
      <alignment horizontal="center" vertical="center" wrapText="1"/>
    </xf>
    <xf numFmtId="0" fontId="0" fillId="11" borderId="18" xfId="0" applyFill="1" applyBorder="1" applyAlignment="1">
      <alignment horizontal="right"/>
    </xf>
    <xf numFmtId="0" fontId="0" fillId="11" borderId="56" xfId="0" applyFill="1" applyBorder="1" applyAlignment="1">
      <alignment horizontal="right"/>
    </xf>
    <xf numFmtId="0" fontId="16" fillId="11" borderId="57" xfId="0" applyFont="1" applyFill="1" applyBorder="1" applyAlignment="1">
      <alignment horizontal="left" vertical="center"/>
    </xf>
    <xf numFmtId="0" fontId="16" fillId="11" borderId="58" xfId="0" applyFont="1" applyFill="1" applyBorder="1" applyAlignment="1">
      <alignment horizontal="left" vertical="center"/>
    </xf>
    <xf numFmtId="0" fontId="0" fillId="11" borderId="58" xfId="0" applyFill="1" applyBorder="1"/>
    <xf numFmtId="0" fontId="0" fillId="11" borderId="59" xfId="0" applyFill="1" applyBorder="1"/>
    <xf numFmtId="0" fontId="16" fillId="11" borderId="11" xfId="0" applyFont="1" applyFill="1" applyBorder="1" applyAlignment="1">
      <alignment horizontal="left" vertical="center" indent="1"/>
    </xf>
    <xf numFmtId="0" fontId="16" fillId="11" borderId="12" xfId="0" applyFont="1" applyFill="1" applyBorder="1" applyAlignment="1">
      <alignment horizontal="left" vertical="center" indent="1"/>
    </xf>
    <xf numFmtId="0" fontId="16" fillId="11" borderId="13" xfId="0" applyFont="1" applyFill="1" applyBorder="1" applyAlignment="1">
      <alignment horizontal="left" vertical="center" indent="1"/>
    </xf>
    <xf numFmtId="3" fontId="4" fillId="11" borderId="11" xfId="1" applyNumberFormat="1" applyFont="1" applyFill="1" applyBorder="1" applyAlignment="1">
      <alignment horizontal="right" vertical="center" indent="3"/>
    </xf>
    <xf numFmtId="3" fontId="4" fillId="11" borderId="12" xfId="1" applyNumberFormat="1" applyFont="1" applyFill="1" applyBorder="1" applyAlignment="1">
      <alignment horizontal="right" vertical="center" indent="3"/>
    </xf>
    <xf numFmtId="3" fontId="4" fillId="11" borderId="13" xfId="1" applyNumberFormat="1" applyFont="1" applyFill="1" applyBorder="1" applyAlignment="1">
      <alignment horizontal="right" vertical="center" indent="3"/>
    </xf>
    <xf numFmtId="3" fontId="4" fillId="9" borderId="11" xfId="1" applyNumberFormat="1" applyFont="1" applyFill="1" applyBorder="1" applyAlignment="1">
      <alignment horizontal="right" vertical="center" indent="3"/>
    </xf>
    <xf numFmtId="3" fontId="4" fillId="9" borderId="12" xfId="1" applyNumberFormat="1" applyFont="1" applyFill="1" applyBorder="1" applyAlignment="1">
      <alignment horizontal="right" vertical="center" indent="3"/>
    </xf>
    <xf numFmtId="3" fontId="4" fillId="9" borderId="13" xfId="1" applyNumberFormat="1" applyFont="1" applyFill="1" applyBorder="1" applyAlignment="1">
      <alignment horizontal="right" vertical="center" indent="3"/>
    </xf>
    <xf numFmtId="3" fontId="4" fillId="9" borderId="11" xfId="1" applyNumberFormat="1" applyFont="1" applyFill="1" applyBorder="1" applyAlignment="1">
      <alignment horizontal="center" vertical="center" wrapText="1"/>
    </xf>
    <xf numFmtId="3" fontId="4" fillId="9" borderId="12" xfId="1" applyNumberFormat="1" applyFont="1" applyFill="1" applyBorder="1" applyAlignment="1">
      <alignment horizontal="center" vertical="center" wrapText="1"/>
    </xf>
    <xf numFmtId="3" fontId="4" fillId="9" borderId="13" xfId="1" applyNumberFormat="1" applyFont="1" applyFill="1" applyBorder="1" applyAlignment="1">
      <alignment horizontal="center" vertical="center" wrapText="1"/>
    </xf>
    <xf numFmtId="3" fontId="4" fillId="11" borderId="23" xfId="0" applyNumberFormat="1" applyFont="1" applyFill="1" applyBorder="1" applyAlignment="1">
      <alignment horizontal="right" vertical="center" indent="3"/>
    </xf>
    <xf numFmtId="3" fontId="4" fillId="11" borderId="71" xfId="0" applyNumberFormat="1" applyFont="1" applyFill="1" applyBorder="1" applyAlignment="1">
      <alignment horizontal="right" vertical="center" indent="3"/>
    </xf>
    <xf numFmtId="0" fontId="16" fillId="11" borderId="57" xfId="0" applyFont="1" applyFill="1" applyBorder="1" applyAlignment="1">
      <alignment horizontal="left" vertical="center" indent="1"/>
    </xf>
    <xf numFmtId="0" fontId="16" fillId="11" borderId="58" xfId="0" applyFont="1" applyFill="1" applyBorder="1" applyAlignment="1">
      <alignment horizontal="left" vertical="center" indent="1"/>
    </xf>
    <xf numFmtId="0" fontId="0" fillId="11" borderId="58" xfId="0" applyFill="1" applyBorder="1" applyAlignment="1">
      <alignment horizontal="left" vertical="center" indent="1"/>
    </xf>
    <xf numFmtId="0" fontId="0" fillId="11" borderId="59" xfId="0" applyFill="1" applyBorder="1" applyAlignment="1">
      <alignment horizontal="left" vertical="center" indent="1"/>
    </xf>
    <xf numFmtId="3" fontId="0" fillId="11" borderId="18" xfId="1" applyNumberFormat="1" applyFont="1" applyFill="1" applyBorder="1" applyAlignment="1">
      <alignment horizontal="right" vertical="center" indent="3"/>
    </xf>
    <xf numFmtId="3" fontId="0" fillId="11" borderId="56" xfId="1" applyNumberFormat="1" applyFont="1" applyFill="1" applyBorder="1" applyAlignment="1">
      <alignment horizontal="right" vertical="center" indent="3"/>
    </xf>
    <xf numFmtId="0" fontId="20" fillId="0" borderId="0" xfId="0" applyFont="1" applyAlignment="1">
      <alignment wrapText="1"/>
    </xf>
    <xf numFmtId="0" fontId="12" fillId="11" borderId="69" xfId="0" applyFont="1" applyFill="1" applyBorder="1" applyAlignment="1">
      <alignment horizontal="right" vertical="center" wrapText="1" indent="3"/>
    </xf>
    <xf numFmtId="0" fontId="0" fillId="11" borderId="15" xfId="0" applyFill="1" applyBorder="1" applyAlignment="1">
      <alignment horizontal="right" vertical="center" wrapText="1" indent="3"/>
    </xf>
    <xf numFmtId="0" fontId="0" fillId="11" borderId="53" xfId="0" applyFill="1" applyBorder="1" applyAlignment="1">
      <alignment horizontal="right" vertical="center" wrapText="1" indent="3"/>
    </xf>
    <xf numFmtId="0" fontId="12" fillId="0" borderId="14" xfId="0" applyFont="1" applyBorder="1" applyAlignment="1">
      <alignment horizontal="center" vertical="center" wrapText="1"/>
    </xf>
    <xf numFmtId="0" fontId="0" fillId="0" borderId="16" xfId="0" applyBorder="1" applyAlignment="1">
      <alignment wrapText="1"/>
    </xf>
    <xf numFmtId="0" fontId="16" fillId="11" borderId="11" xfId="0" applyFont="1" applyFill="1" applyBorder="1" applyAlignment="1">
      <alignment horizontal="left" vertical="center" wrapText="1" indent="1"/>
    </xf>
    <xf numFmtId="0" fontId="0" fillId="11" borderId="12" xfId="0" applyFill="1" applyBorder="1" applyAlignment="1">
      <alignment horizontal="left" vertical="center" wrapText="1" indent="1"/>
    </xf>
    <xf numFmtId="0" fontId="0" fillId="11" borderId="13" xfId="0" applyFill="1" applyBorder="1" applyAlignment="1">
      <alignment horizontal="left" vertical="center" wrapText="1" indent="1"/>
    </xf>
    <xf numFmtId="0" fontId="12" fillId="11" borderId="68" xfId="0" applyFont="1" applyFill="1" applyBorder="1" applyAlignment="1">
      <alignment horizontal="right" vertical="center" wrapText="1" indent="3"/>
    </xf>
    <xf numFmtId="0" fontId="0" fillId="0" borderId="0" xfId="0" applyAlignment="1">
      <alignment horizontal="left" vertical="top" wrapText="1"/>
    </xf>
    <xf numFmtId="0" fontId="0" fillId="0" borderId="5"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16" fillId="4" borderId="14" xfId="0" applyFont="1" applyFill="1" applyBorder="1" applyAlignment="1">
      <alignment horizontal="left" vertical="center" wrapText="1"/>
    </xf>
    <xf numFmtId="0" fontId="16" fillId="0" borderId="15" xfId="0" applyFont="1" applyBorder="1" applyAlignment="1">
      <alignment horizontal="left" vertical="center" wrapText="1"/>
    </xf>
    <xf numFmtId="0" fontId="0" fillId="0" borderId="15" xfId="0" applyBorder="1" applyAlignment="1">
      <alignment wrapText="1"/>
    </xf>
    <xf numFmtId="0" fontId="12" fillId="0" borderId="5" xfId="0" applyFont="1" applyBorder="1" applyAlignment="1">
      <alignment horizontal="center" vertical="center" wrapText="1"/>
    </xf>
    <xf numFmtId="0" fontId="0" fillId="0" borderId="0" xfId="0" applyAlignment="1">
      <alignment horizontal="left" wrapText="1"/>
    </xf>
    <xf numFmtId="3" fontId="4" fillId="11" borderId="68" xfId="0" applyNumberFormat="1" applyFont="1" applyFill="1" applyBorder="1" applyAlignment="1">
      <alignment horizontal="right" vertical="center" indent="3"/>
    </xf>
    <xf numFmtId="3" fontId="4" fillId="11" borderId="18" xfId="0" applyNumberFormat="1" applyFont="1" applyFill="1" applyBorder="1" applyAlignment="1">
      <alignment horizontal="right" vertical="center" indent="3"/>
    </xf>
    <xf numFmtId="3" fontId="4" fillId="11" borderId="56" xfId="0" applyNumberFormat="1" applyFont="1" applyFill="1" applyBorder="1" applyAlignment="1">
      <alignment horizontal="right" vertical="center" indent="3"/>
    </xf>
    <xf numFmtId="3" fontId="0" fillId="11" borderId="46" xfId="0" applyNumberFormat="1" applyFill="1" applyBorder="1" applyAlignment="1">
      <alignment horizontal="right" indent="3"/>
    </xf>
    <xf numFmtId="172" fontId="4" fillId="11" borderId="70" xfId="0" applyNumberFormat="1" applyFont="1" applyFill="1" applyBorder="1" applyAlignment="1">
      <alignment horizontal="right" vertical="center" wrapText="1" indent="3"/>
    </xf>
    <xf numFmtId="172" fontId="4" fillId="11" borderId="23" xfId="0" applyNumberFormat="1" applyFont="1" applyFill="1" applyBorder="1" applyAlignment="1">
      <alignment horizontal="right" vertical="center" wrapText="1" indent="3"/>
    </xf>
    <xf numFmtId="172" fontId="4" fillId="11" borderId="71" xfId="0" applyNumberFormat="1" applyFont="1" applyFill="1" applyBorder="1" applyAlignment="1">
      <alignment horizontal="right" vertical="center" wrapText="1" indent="3"/>
    </xf>
    <xf numFmtId="3" fontId="0" fillId="11" borderId="5" xfId="0" applyNumberFormat="1" applyFill="1" applyBorder="1" applyAlignment="1">
      <alignment horizontal="right" indent="3"/>
    </xf>
    <xf numFmtId="3" fontId="0" fillId="11" borderId="47" xfId="0" applyNumberFormat="1" applyFill="1" applyBorder="1" applyAlignment="1">
      <alignment horizontal="right" indent="3"/>
    </xf>
    <xf numFmtId="3" fontId="44" fillId="0" borderId="5" xfId="0" applyNumberFormat="1" applyFont="1" applyBorder="1" applyAlignment="1">
      <alignment horizontal="right" indent="3"/>
    </xf>
    <xf numFmtId="3" fontId="72" fillId="0" borderId="5" xfId="0" applyNumberFormat="1" applyFont="1" applyBorder="1" applyAlignment="1">
      <alignment horizontal="right" indent="3"/>
    </xf>
    <xf numFmtId="3" fontId="44" fillId="0" borderId="47" xfId="0" applyNumberFormat="1" applyFont="1" applyBorder="1" applyAlignment="1">
      <alignment horizontal="right" indent="3"/>
    </xf>
    <xf numFmtId="3" fontId="72" fillId="0" borderId="47" xfId="0" applyNumberFormat="1" applyFont="1" applyBorder="1" applyAlignment="1">
      <alignment horizontal="right" indent="3"/>
    </xf>
    <xf numFmtId="3" fontId="4" fillId="0" borderId="11" xfId="0" applyNumberFormat="1" applyFont="1" applyBorder="1" applyAlignment="1">
      <alignment horizontal="right" vertical="center" indent="3"/>
    </xf>
    <xf numFmtId="3" fontId="4" fillId="0" borderId="12" xfId="0" applyNumberFormat="1" applyFont="1" applyBorder="1" applyAlignment="1">
      <alignment horizontal="right" vertical="center" indent="3"/>
    </xf>
    <xf numFmtId="3" fontId="4" fillId="0" borderId="13" xfId="0" applyNumberFormat="1" applyFont="1" applyBorder="1" applyAlignment="1">
      <alignment horizontal="right" vertical="center" indent="3"/>
    </xf>
    <xf numFmtId="3" fontId="4" fillId="0" borderId="68" xfId="0" applyNumberFormat="1" applyFont="1" applyBorder="1" applyAlignment="1">
      <alignment horizontal="right" vertical="center" wrapText="1" indent="3"/>
    </xf>
    <xf numFmtId="0" fontId="0" fillId="0" borderId="18" xfId="0" applyBorder="1" applyAlignment="1">
      <alignment horizontal="right" vertical="center" wrapText="1" indent="3"/>
    </xf>
    <xf numFmtId="0" fontId="0" fillId="0" borderId="56" xfId="0" applyBorder="1" applyAlignment="1">
      <alignment horizontal="right" vertical="center" wrapText="1" indent="3"/>
    </xf>
    <xf numFmtId="3" fontId="4" fillId="0" borderId="70" xfId="0" applyNumberFormat="1" applyFont="1" applyBorder="1" applyAlignment="1">
      <alignment horizontal="right" vertical="center" indent="3"/>
    </xf>
    <xf numFmtId="0" fontId="0" fillId="0" borderId="23" xfId="0" applyBorder="1" applyAlignment="1">
      <alignment horizontal="right" vertical="center" indent="3"/>
    </xf>
    <xf numFmtId="0" fontId="0" fillId="0" borderId="71" xfId="0" applyBorder="1" applyAlignment="1">
      <alignment horizontal="right" vertical="center" indent="3"/>
    </xf>
    <xf numFmtId="3" fontId="44" fillId="0" borderId="46" xfId="0" applyNumberFormat="1" applyFont="1" applyBorder="1" applyAlignment="1">
      <alignment horizontal="right" indent="3"/>
    </xf>
    <xf numFmtId="3" fontId="72" fillId="0" borderId="46" xfId="0" applyNumberFormat="1" applyFont="1" applyBorder="1" applyAlignment="1">
      <alignment horizontal="right" indent="3"/>
    </xf>
    <xf numFmtId="0" fontId="13" fillId="11" borderId="11" xfId="0" applyFont="1" applyFill="1" applyBorder="1" applyAlignment="1">
      <alignment horizontal="left" vertical="center" indent="1"/>
    </xf>
    <xf numFmtId="0" fontId="0" fillId="11" borderId="12" xfId="0" applyFill="1" applyBorder="1" applyAlignment="1">
      <alignment horizontal="left" vertical="center" indent="1"/>
    </xf>
    <xf numFmtId="0" fontId="0" fillId="11" borderId="13" xfId="0" applyFill="1" applyBorder="1" applyAlignment="1">
      <alignment horizontal="left" vertical="center" indent="1"/>
    </xf>
    <xf numFmtId="0" fontId="0" fillId="0" borderId="12" xfId="0" applyBorder="1" applyAlignment="1">
      <alignment horizontal="left" vertical="center" indent="1"/>
    </xf>
    <xf numFmtId="0" fontId="0" fillId="0" borderId="13" xfId="0" applyBorder="1" applyAlignment="1">
      <alignment horizontal="left" vertical="center" indent="1"/>
    </xf>
    <xf numFmtId="0" fontId="13" fillId="11" borderId="11" xfId="0" applyFont="1" applyFill="1" applyBorder="1" applyAlignment="1">
      <alignment horizontal="left" vertical="center" wrapText="1" indent="1"/>
    </xf>
    <xf numFmtId="0" fontId="0" fillId="10" borderId="12" xfId="0" applyFill="1" applyBorder="1"/>
    <xf numFmtId="0" fontId="0" fillId="0" borderId="13" xfId="0" applyBorder="1"/>
    <xf numFmtId="0" fontId="65" fillId="0" borderId="26" xfId="0" applyFont="1" applyBorder="1" applyAlignment="1">
      <alignment horizontal="center" vertical="center" wrapText="1"/>
    </xf>
    <xf numFmtId="0" fontId="65" fillId="0" borderId="2" xfId="0" applyFont="1" applyBorder="1" applyAlignment="1">
      <alignment horizontal="center" vertical="center" wrapText="1"/>
    </xf>
    <xf numFmtId="0" fontId="65" fillId="0" borderId="50" xfId="0" applyFont="1" applyBorder="1" applyAlignment="1">
      <alignment horizontal="center" vertical="center" wrapText="1"/>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colors>
    <mruColors>
      <color rgb="FF3333FF"/>
      <color rgb="FFFFFFCC"/>
      <color rgb="FF0000CC"/>
      <color rgb="FFCCECFF"/>
      <color rgb="FFCCFFFF"/>
      <color rgb="FFCCFFCC"/>
      <color rgb="FFDAEEF3"/>
      <color rgb="FF99CCFF"/>
      <color rgb="FF000099"/>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207064</xdr:colOff>
      <xdr:row>36</xdr:row>
      <xdr:rowOff>149914</xdr:rowOff>
    </xdr:from>
    <xdr:to>
      <xdr:col>14</xdr:col>
      <xdr:colOff>242617</xdr:colOff>
      <xdr:row>37</xdr:row>
      <xdr:rowOff>44928</xdr:rowOff>
    </xdr:to>
    <xdr:sp macro="" textlink="">
      <xdr:nvSpPr>
        <xdr:cNvPr id="1049" name="Line 25">
          <a:extLst>
            <a:ext uri="{FF2B5EF4-FFF2-40B4-BE49-F238E27FC236}">
              <a16:creationId xmlns:a16="http://schemas.microsoft.com/office/drawing/2014/main" id="{00000000-0008-0000-0000-000019040000}"/>
            </a:ext>
          </a:extLst>
        </xdr:cNvPr>
        <xdr:cNvSpPr>
          <a:spLocks noChangeShapeType="1"/>
        </xdr:cNvSpPr>
      </xdr:nvSpPr>
      <xdr:spPr bwMode="auto">
        <a:xfrm>
          <a:off x="7620389" y="10654372"/>
          <a:ext cx="628620" cy="182561"/>
        </a:xfrm>
        <a:prstGeom prst="line">
          <a:avLst/>
        </a:prstGeom>
        <a:noFill/>
        <a:ln w="9525">
          <a:solidFill>
            <a:srgbClr val="C00000"/>
          </a:solidFill>
          <a:round/>
          <a:headEnd/>
          <a:tailEnd type="triangle" w="med" len="med"/>
        </a:ln>
      </xdr:spPr>
    </xdr:sp>
    <xdr:clientData/>
  </xdr:twoCellAnchor>
  <xdr:twoCellAnchor>
    <xdr:from>
      <xdr:col>19</xdr:col>
      <xdr:colOff>388622</xdr:colOff>
      <xdr:row>36</xdr:row>
      <xdr:rowOff>95250</xdr:rowOff>
    </xdr:from>
    <xdr:to>
      <xdr:col>19</xdr:col>
      <xdr:colOff>600075</xdr:colOff>
      <xdr:row>37</xdr:row>
      <xdr:rowOff>83820</xdr:rowOff>
    </xdr:to>
    <xdr:cxnSp macro="">
      <xdr:nvCxnSpPr>
        <xdr:cNvPr id="3" name="Straight Arrow Connector 2">
          <a:extLst>
            <a:ext uri="{FF2B5EF4-FFF2-40B4-BE49-F238E27FC236}">
              <a16:creationId xmlns:a16="http://schemas.microsoft.com/office/drawing/2014/main" id="{E48E50BE-5EB1-47CF-A1FB-581284D833F4}"/>
            </a:ext>
          </a:extLst>
        </xdr:cNvPr>
        <xdr:cNvCxnSpPr/>
      </xdr:nvCxnSpPr>
      <xdr:spPr>
        <a:xfrm flipH="1">
          <a:off x="12980672" y="12954000"/>
          <a:ext cx="211453" cy="274320"/>
        </a:xfrm>
        <a:prstGeom prst="straightConnector1">
          <a:avLst/>
        </a:prstGeom>
        <a:ln>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60960</xdr:colOff>
      <xdr:row>36</xdr:row>
      <xdr:rowOff>179070</xdr:rowOff>
    </xdr:from>
    <xdr:to>
      <xdr:col>21</xdr:col>
      <xdr:colOff>186690</xdr:colOff>
      <xdr:row>37</xdr:row>
      <xdr:rowOff>62865</xdr:rowOff>
    </xdr:to>
    <xdr:cxnSp macro="">
      <xdr:nvCxnSpPr>
        <xdr:cNvPr id="5" name="Straight Arrow Connector 4">
          <a:extLst>
            <a:ext uri="{FF2B5EF4-FFF2-40B4-BE49-F238E27FC236}">
              <a16:creationId xmlns:a16="http://schemas.microsoft.com/office/drawing/2014/main" id="{1C9D8EA3-22F2-4343-9CC4-4596EC8CE965}"/>
            </a:ext>
          </a:extLst>
        </xdr:cNvPr>
        <xdr:cNvCxnSpPr/>
      </xdr:nvCxnSpPr>
      <xdr:spPr>
        <a:xfrm>
          <a:off x="14338935" y="13037820"/>
          <a:ext cx="125730" cy="169545"/>
        </a:xfrm>
        <a:prstGeom prst="straightConnector1">
          <a:avLst/>
        </a:prstGeom>
        <a:ln>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213360</xdr:colOff>
      <xdr:row>198</xdr:row>
      <xdr:rowOff>149087</xdr:rowOff>
    </xdr:from>
    <xdr:to>
      <xdr:col>16</xdr:col>
      <xdr:colOff>337039</xdr:colOff>
      <xdr:row>202</xdr:row>
      <xdr:rowOff>41413</xdr:rowOff>
    </xdr:to>
    <xdr:sp macro="" textlink="">
      <xdr:nvSpPr>
        <xdr:cNvPr id="8" name="Freeform: Shape 7">
          <a:extLst>
            <a:ext uri="{FF2B5EF4-FFF2-40B4-BE49-F238E27FC236}">
              <a16:creationId xmlns:a16="http://schemas.microsoft.com/office/drawing/2014/main" id="{4EAA5C3F-573E-4D87-BD3C-42C119C206F3}"/>
            </a:ext>
          </a:extLst>
        </xdr:cNvPr>
        <xdr:cNvSpPr/>
      </xdr:nvSpPr>
      <xdr:spPr>
        <a:xfrm>
          <a:off x="8346245" y="49144222"/>
          <a:ext cx="2688102" cy="668979"/>
        </a:xfrm>
        <a:custGeom>
          <a:avLst/>
          <a:gdLst>
            <a:gd name="connsiteX0" fmla="*/ 0 w 2317750"/>
            <a:gd name="connsiteY0" fmla="*/ 0 h 809625"/>
            <a:gd name="connsiteX1" fmla="*/ 1698625 w 2317750"/>
            <a:gd name="connsiteY1" fmla="*/ 127000 h 809625"/>
            <a:gd name="connsiteX2" fmla="*/ 2127250 w 2317750"/>
            <a:gd name="connsiteY2" fmla="*/ 428625 h 809625"/>
            <a:gd name="connsiteX3" fmla="*/ 2317750 w 2317750"/>
            <a:gd name="connsiteY3" fmla="*/ 809625 h 809625"/>
            <a:gd name="connsiteX4" fmla="*/ 2317750 w 2317750"/>
            <a:gd name="connsiteY4" fmla="*/ 809625 h 809625"/>
            <a:gd name="connsiteX0" fmla="*/ 0 w 2317750"/>
            <a:gd name="connsiteY0" fmla="*/ 0 h 809625"/>
            <a:gd name="connsiteX1" fmla="*/ 1698625 w 2317750"/>
            <a:gd name="connsiteY1" fmla="*/ 127000 h 809625"/>
            <a:gd name="connsiteX2" fmla="*/ 2135188 w 2317750"/>
            <a:gd name="connsiteY2" fmla="*/ 365125 h 809625"/>
            <a:gd name="connsiteX3" fmla="*/ 2317750 w 2317750"/>
            <a:gd name="connsiteY3" fmla="*/ 809625 h 809625"/>
            <a:gd name="connsiteX4" fmla="*/ 2317750 w 2317750"/>
            <a:gd name="connsiteY4" fmla="*/ 809625 h 8096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7750" h="809625">
              <a:moveTo>
                <a:pt x="0" y="0"/>
              </a:moveTo>
              <a:cubicBezTo>
                <a:pt x="672041" y="27781"/>
                <a:pt x="1342760" y="66146"/>
                <a:pt x="1698625" y="127000"/>
              </a:cubicBezTo>
              <a:cubicBezTo>
                <a:pt x="2054490" y="187854"/>
                <a:pt x="2032001" y="251354"/>
                <a:pt x="2135188" y="365125"/>
              </a:cubicBezTo>
              <a:cubicBezTo>
                <a:pt x="2238375" y="478896"/>
                <a:pt x="2287323" y="735542"/>
                <a:pt x="2317750" y="809625"/>
              </a:cubicBezTo>
              <a:lnTo>
                <a:pt x="2317750" y="809625"/>
              </a:lnTo>
            </a:path>
          </a:pathLst>
        </a:custGeom>
        <a:noFill/>
        <a:ln w="28575">
          <a:solidFill>
            <a:sysClr val="windowText" lastClr="000000">
              <a:alpha val="42000"/>
            </a:sysClr>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18</xdr:col>
      <xdr:colOff>727710</xdr:colOff>
      <xdr:row>35</xdr:row>
      <xdr:rowOff>9525</xdr:rowOff>
    </xdr:from>
    <xdr:to>
      <xdr:col>21</xdr:col>
      <xdr:colOff>537210</xdr:colOff>
      <xdr:row>36</xdr:row>
      <xdr:rowOff>213359</xdr:rowOff>
    </xdr:to>
    <xdr:sp macro="" textlink="">
      <xdr:nvSpPr>
        <xdr:cNvPr id="6" name="TextBox 5">
          <a:extLst>
            <a:ext uri="{FF2B5EF4-FFF2-40B4-BE49-F238E27FC236}">
              <a16:creationId xmlns:a16="http://schemas.microsoft.com/office/drawing/2014/main" id="{D8E4810D-AC6B-496E-97B3-A9295BD33C0C}"/>
            </a:ext>
          </a:extLst>
        </xdr:cNvPr>
        <xdr:cNvSpPr txBox="1"/>
      </xdr:nvSpPr>
      <xdr:spPr>
        <a:xfrm>
          <a:off x="12519660" y="12620625"/>
          <a:ext cx="2295525" cy="4514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CA" sz="1100">
              <a:solidFill>
                <a:schemeClr val="accent1">
                  <a:lumMod val="75000"/>
                </a:schemeClr>
              </a:solidFill>
            </a:rPr>
            <a:t>Voting </a:t>
          </a:r>
          <a:r>
            <a:rPr lang="en-CA" sz="1000">
              <a:solidFill>
                <a:schemeClr val="accent1">
                  <a:lumMod val="75000"/>
                </a:schemeClr>
              </a:solidFill>
              <a:latin typeface="Arial" panose="020B0604020202020204" pitchFamily="34" charset="0"/>
              <a:cs typeface="Arial" panose="020B0604020202020204" pitchFamily="34" charset="0"/>
            </a:rPr>
            <a:t>power</a:t>
          </a:r>
          <a:r>
            <a:rPr lang="en-CA" sz="1100">
              <a:solidFill>
                <a:schemeClr val="accent1">
                  <a:lumMod val="75000"/>
                </a:schemeClr>
              </a:solidFill>
            </a:rPr>
            <a:t> in parliament is proportonal to the overall popular vote.</a:t>
          </a:r>
        </a:p>
      </xdr:txBody>
    </xdr:sp>
    <xdr:clientData/>
  </xdr:twoCellAnchor>
  <xdr:twoCellAnchor>
    <xdr:from>
      <xdr:col>18</xdr:col>
      <xdr:colOff>590551</xdr:colOff>
      <xdr:row>56</xdr:row>
      <xdr:rowOff>28575</xdr:rowOff>
    </xdr:from>
    <xdr:to>
      <xdr:col>18</xdr:col>
      <xdr:colOff>742950</xdr:colOff>
      <xdr:row>57</xdr:row>
      <xdr:rowOff>38100</xdr:rowOff>
    </xdr:to>
    <xdr:cxnSp macro="">
      <xdr:nvCxnSpPr>
        <xdr:cNvPr id="14" name="Straight Arrow Connector 13">
          <a:extLst>
            <a:ext uri="{FF2B5EF4-FFF2-40B4-BE49-F238E27FC236}">
              <a16:creationId xmlns:a16="http://schemas.microsoft.com/office/drawing/2014/main" id="{EBA32E1A-4D62-4907-81E0-35EC698D772D}"/>
            </a:ext>
          </a:extLst>
        </xdr:cNvPr>
        <xdr:cNvCxnSpPr/>
      </xdr:nvCxnSpPr>
      <xdr:spPr>
        <a:xfrm flipH="1" flipV="1">
          <a:off x="12382501" y="17706975"/>
          <a:ext cx="152399" cy="238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95250</xdr:colOff>
      <xdr:row>55</xdr:row>
      <xdr:rowOff>219075</xdr:rowOff>
    </xdr:from>
    <xdr:to>
      <xdr:col>20</xdr:col>
      <xdr:colOff>257175</xdr:colOff>
      <xdr:row>57</xdr:row>
      <xdr:rowOff>0</xdr:rowOff>
    </xdr:to>
    <xdr:cxnSp macro="">
      <xdr:nvCxnSpPr>
        <xdr:cNvPr id="16" name="Straight Arrow Connector 15">
          <a:extLst>
            <a:ext uri="{FF2B5EF4-FFF2-40B4-BE49-F238E27FC236}">
              <a16:creationId xmlns:a16="http://schemas.microsoft.com/office/drawing/2014/main" id="{00874526-B8A1-4C57-9B6C-548438B0D41F}"/>
            </a:ext>
          </a:extLst>
        </xdr:cNvPr>
        <xdr:cNvCxnSpPr/>
      </xdr:nvCxnSpPr>
      <xdr:spPr>
        <a:xfrm flipV="1">
          <a:off x="13544550" y="17668875"/>
          <a:ext cx="161925" cy="238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368100</xdr:colOff>
      <xdr:row>235</xdr:row>
      <xdr:rowOff>141797</xdr:rowOff>
    </xdr:from>
    <xdr:to>
      <xdr:col>20</xdr:col>
      <xdr:colOff>863981</xdr:colOff>
      <xdr:row>239</xdr:row>
      <xdr:rowOff>87578</xdr:rowOff>
    </xdr:to>
    <xdr:sp macro="" textlink="">
      <xdr:nvSpPr>
        <xdr:cNvPr id="4" name="TextBox 3">
          <a:extLst>
            <a:ext uri="{FF2B5EF4-FFF2-40B4-BE49-F238E27FC236}">
              <a16:creationId xmlns:a16="http://schemas.microsoft.com/office/drawing/2014/main" id="{D63B9EA4-A29B-E9E9-2DA9-3B2A6DE88A90}"/>
            </a:ext>
          </a:extLst>
        </xdr:cNvPr>
        <xdr:cNvSpPr txBox="1"/>
      </xdr:nvSpPr>
      <xdr:spPr>
        <a:xfrm>
          <a:off x="13483292" y="56185432"/>
          <a:ext cx="1294516" cy="590550"/>
        </a:xfrm>
        <a:prstGeom prst="rect">
          <a:avLst/>
        </a:prstGeom>
        <a:solidFill>
          <a:schemeClr val="accent6">
            <a:lumMod val="20000"/>
            <a:lumOff val="80000"/>
            <a:alpha val="50000"/>
          </a:schemeClr>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CA" sz="1100">
              <a:solidFill>
                <a:srgbClr val="3333FF"/>
              </a:solidFill>
            </a:rPr>
            <a:t>Keep in mind: No Member should have less than 1.0</a:t>
          </a:r>
          <a:r>
            <a:rPr lang="en-CA" sz="1100" baseline="0">
              <a:solidFill>
                <a:srgbClr val="3333FF"/>
              </a:solidFill>
            </a:rPr>
            <a:t> votes.</a:t>
          </a:r>
          <a:endParaRPr lang="en-CA" sz="1100">
            <a:solidFill>
              <a:srgbClr val="3333FF"/>
            </a:solidFill>
          </a:endParaRPr>
        </a:p>
      </xdr:txBody>
    </xdr:sp>
    <xdr:clientData/>
  </xdr:twoCellAnchor>
  <xdr:twoCellAnchor>
    <xdr:from>
      <xdr:col>19</xdr:col>
      <xdr:colOff>25400</xdr:colOff>
      <xdr:row>268</xdr:row>
      <xdr:rowOff>117230</xdr:rowOff>
    </xdr:from>
    <xdr:to>
      <xdr:col>19</xdr:col>
      <xdr:colOff>410308</xdr:colOff>
      <xdr:row>270</xdr:row>
      <xdr:rowOff>29307</xdr:rowOff>
    </xdr:to>
    <xdr:cxnSp macro="">
      <xdr:nvCxnSpPr>
        <xdr:cNvPr id="9" name="Straight Arrow Connector 8">
          <a:extLst>
            <a:ext uri="{FF2B5EF4-FFF2-40B4-BE49-F238E27FC236}">
              <a16:creationId xmlns:a16="http://schemas.microsoft.com/office/drawing/2014/main" id="{5291A81B-5FE8-4A95-8363-7F6FD559A4FF}"/>
            </a:ext>
          </a:extLst>
        </xdr:cNvPr>
        <xdr:cNvCxnSpPr/>
      </xdr:nvCxnSpPr>
      <xdr:spPr>
        <a:xfrm flipH="1" flipV="1">
          <a:off x="13140592" y="61480211"/>
          <a:ext cx="384908" cy="2710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397727</xdr:colOff>
      <xdr:row>269</xdr:row>
      <xdr:rowOff>69258</xdr:rowOff>
    </xdr:from>
    <xdr:to>
      <xdr:col>21</xdr:col>
      <xdr:colOff>196379</xdr:colOff>
      <xdr:row>273</xdr:row>
      <xdr:rowOff>71942</xdr:rowOff>
    </xdr:to>
    <xdr:sp macro="" textlink="">
      <xdr:nvSpPr>
        <xdr:cNvPr id="11" name="TextBox 10">
          <a:extLst>
            <a:ext uri="{FF2B5EF4-FFF2-40B4-BE49-F238E27FC236}">
              <a16:creationId xmlns:a16="http://schemas.microsoft.com/office/drawing/2014/main" id="{3654E0FB-E3CD-4F28-B0F0-14AE9D480BF5}"/>
            </a:ext>
          </a:extLst>
        </xdr:cNvPr>
        <xdr:cNvSpPr txBox="1"/>
      </xdr:nvSpPr>
      <xdr:spPr>
        <a:xfrm>
          <a:off x="13512919" y="61630066"/>
          <a:ext cx="1513152" cy="64745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n-CA" sz="1100">
              <a:solidFill>
                <a:srgbClr val="3333FF"/>
              </a:solidFill>
            </a:rPr>
            <a:t>Insert</a:t>
          </a:r>
          <a:r>
            <a:rPr lang="en-CA" sz="1100" baseline="0">
              <a:solidFill>
                <a:srgbClr val="3333FF"/>
              </a:solidFill>
            </a:rPr>
            <a:t> the Total House Vote Entitlement for the Party here.</a:t>
          </a:r>
          <a:endParaRPr lang="en-CA" sz="1100">
            <a:solidFill>
              <a:srgbClr val="3333FF"/>
            </a:solidFill>
          </a:endParaRPr>
        </a:p>
      </xdr:txBody>
    </xdr:sp>
    <xdr:clientData/>
  </xdr:twoCellAnchor>
  <xdr:twoCellAnchor>
    <xdr:from>
      <xdr:col>14</xdr:col>
      <xdr:colOff>286026</xdr:colOff>
      <xdr:row>27</xdr:row>
      <xdr:rowOff>12580</xdr:rowOff>
    </xdr:from>
    <xdr:to>
      <xdr:col>15</xdr:col>
      <xdr:colOff>102578</xdr:colOff>
      <xdr:row>29</xdr:row>
      <xdr:rowOff>219807</xdr:rowOff>
    </xdr:to>
    <xdr:sp macro="" textlink="">
      <xdr:nvSpPr>
        <xdr:cNvPr id="20" name="TextBox 19">
          <a:extLst>
            <a:ext uri="{FF2B5EF4-FFF2-40B4-BE49-F238E27FC236}">
              <a16:creationId xmlns:a16="http://schemas.microsoft.com/office/drawing/2014/main" id="{267574F1-F3DB-53B2-4C6A-57D451E18678}"/>
            </a:ext>
          </a:extLst>
        </xdr:cNvPr>
        <xdr:cNvSpPr txBox="1"/>
      </xdr:nvSpPr>
      <xdr:spPr>
        <a:xfrm>
          <a:off x="9019718" y="8958753"/>
          <a:ext cx="798360" cy="588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CA" sz="1100"/>
            <a:t>These are pre-set by legislation.</a:t>
          </a:r>
        </a:p>
      </xdr:txBody>
    </xdr:sp>
    <xdr:clientData/>
  </xdr:twoCellAnchor>
  <xdr:twoCellAnchor>
    <xdr:from>
      <xdr:col>14</xdr:col>
      <xdr:colOff>659008</xdr:colOff>
      <xdr:row>149</xdr:row>
      <xdr:rowOff>48523</xdr:rowOff>
    </xdr:from>
    <xdr:to>
      <xdr:col>18</xdr:col>
      <xdr:colOff>0</xdr:colOff>
      <xdr:row>155</xdr:row>
      <xdr:rowOff>21981</xdr:rowOff>
    </xdr:to>
    <xdr:sp macro="" textlink="">
      <xdr:nvSpPr>
        <xdr:cNvPr id="21" name="TextBox 20">
          <a:extLst>
            <a:ext uri="{FF2B5EF4-FFF2-40B4-BE49-F238E27FC236}">
              <a16:creationId xmlns:a16="http://schemas.microsoft.com/office/drawing/2014/main" id="{1DF1E095-5D1B-4093-90FF-19998778C6F8}"/>
            </a:ext>
          </a:extLst>
        </xdr:cNvPr>
        <xdr:cNvSpPr txBox="1"/>
      </xdr:nvSpPr>
      <xdr:spPr>
        <a:xfrm>
          <a:off x="9392700" y="38339023"/>
          <a:ext cx="2865242" cy="11164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52 "The Number of Members of the House of Commons may be from Time to Time increased by the Parliament of Canada, provided the proportionate Representation of the Provinces prescribed by this Act is not thereby disturbed".</a:t>
          </a:r>
        </a:p>
      </xdr:txBody>
    </xdr:sp>
    <xdr:clientData/>
  </xdr:twoCellAnchor>
  <xdr:oneCellAnchor>
    <xdr:from>
      <xdr:col>14</xdr:col>
      <xdr:colOff>659423</xdr:colOff>
      <xdr:row>142</xdr:row>
      <xdr:rowOff>65943</xdr:rowOff>
    </xdr:from>
    <xdr:ext cx="2857500" cy="1642373"/>
    <xdr:sp macro="" textlink="">
      <xdr:nvSpPr>
        <xdr:cNvPr id="2" name="TextBox 1">
          <a:extLst>
            <a:ext uri="{FF2B5EF4-FFF2-40B4-BE49-F238E27FC236}">
              <a16:creationId xmlns:a16="http://schemas.microsoft.com/office/drawing/2014/main" id="{C56DE799-96E0-43ED-9DEE-E69EA2EF7820}"/>
            </a:ext>
          </a:extLst>
        </xdr:cNvPr>
        <xdr:cNvSpPr txBox="1"/>
      </xdr:nvSpPr>
      <xdr:spPr>
        <a:xfrm>
          <a:off x="9393115" y="36539366"/>
          <a:ext cx="2857500" cy="1642373"/>
        </a:xfrm>
        <a:prstGeom prst="rect">
          <a:avLst/>
        </a:prstGeom>
        <a:noFill/>
        <a:ln w="3175">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36000" rtlCol="0" anchor="t">
          <a:spAutoFit/>
        </a:bodyPr>
        <a:lstStyle/>
        <a:p>
          <a:r>
            <a:rPr lang="en-CA" sz="1100"/>
            <a:t>Section 49 in Canada's Constitution states that "Questions arising in the House of Commons shall be decided by a Majority of Voices".  However, 'Voices' is not defined, and can be defined in legislation as, for example, "the expression of the ballots cast by voters in a general election and represented by the number of parliamentary votes of each Member of the House of Commons".</a:t>
          </a:r>
        </a:p>
      </xdr:txBody>
    </xdr:sp>
    <xdr:clientData/>
  </xdr:oneCellAnchor>
  <xdr:twoCellAnchor>
    <xdr:from>
      <xdr:col>19</xdr:col>
      <xdr:colOff>483577</xdr:colOff>
      <xdr:row>261</xdr:row>
      <xdr:rowOff>51287</xdr:rowOff>
    </xdr:from>
    <xdr:to>
      <xdr:col>22</xdr:col>
      <xdr:colOff>197826</xdr:colOff>
      <xdr:row>268</xdr:row>
      <xdr:rowOff>51288</xdr:rowOff>
    </xdr:to>
    <xdr:sp macro="" textlink="">
      <xdr:nvSpPr>
        <xdr:cNvPr id="17" name="TextBox 16">
          <a:extLst>
            <a:ext uri="{FF2B5EF4-FFF2-40B4-BE49-F238E27FC236}">
              <a16:creationId xmlns:a16="http://schemas.microsoft.com/office/drawing/2014/main" id="{9963AEF2-6C0A-4F1C-B171-FFD17F585151}"/>
            </a:ext>
          </a:extLst>
        </xdr:cNvPr>
        <xdr:cNvSpPr txBox="1"/>
      </xdr:nvSpPr>
      <xdr:spPr>
        <a:xfrm>
          <a:off x="13598769" y="60285922"/>
          <a:ext cx="2315307" cy="1128347"/>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en-CA" sz="1100">
              <a:solidFill>
                <a:srgbClr val="3333FF"/>
              </a:solidFill>
            </a:rPr>
            <a:t>If this is more</a:t>
          </a:r>
          <a:r>
            <a:rPr lang="en-CA" sz="1100" baseline="0">
              <a:solidFill>
                <a:srgbClr val="3333FF"/>
              </a:solidFill>
            </a:rPr>
            <a:t> than 1.00 votes per Member, there may be Members missing from the list, or Special Allocations can be increased, or you may wish for the minimum Vote per Member to be greater than 1.00.</a:t>
          </a:r>
          <a:endParaRPr lang="en-CA" sz="1100">
            <a:solidFill>
              <a:srgbClr val="3333FF"/>
            </a:solidFill>
          </a:endParaRPr>
        </a:p>
      </xdr:txBody>
    </xdr:sp>
    <xdr:clientData/>
  </xdr:twoCellAnchor>
  <xdr:twoCellAnchor>
    <xdr:from>
      <xdr:col>19</xdr:col>
      <xdr:colOff>14655</xdr:colOff>
      <xdr:row>266</xdr:row>
      <xdr:rowOff>14653</xdr:rowOff>
    </xdr:from>
    <xdr:to>
      <xdr:col>19</xdr:col>
      <xdr:colOff>483578</xdr:colOff>
      <xdr:row>267</xdr:row>
      <xdr:rowOff>102577</xdr:rowOff>
    </xdr:to>
    <xdr:cxnSp macro="">
      <xdr:nvCxnSpPr>
        <xdr:cNvPr id="22" name="Straight Arrow Connector 21">
          <a:extLst>
            <a:ext uri="{FF2B5EF4-FFF2-40B4-BE49-F238E27FC236}">
              <a16:creationId xmlns:a16="http://schemas.microsoft.com/office/drawing/2014/main" id="{661CBCA3-6340-006C-DBC9-BE2AA8CEDA67}"/>
            </a:ext>
          </a:extLst>
        </xdr:cNvPr>
        <xdr:cNvCxnSpPr/>
      </xdr:nvCxnSpPr>
      <xdr:spPr>
        <a:xfrm flipH="1">
          <a:off x="13129847" y="61055249"/>
          <a:ext cx="468923" cy="24911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0</xdr:colOff>
      <xdr:row>5</xdr:row>
      <xdr:rowOff>0</xdr:rowOff>
    </xdr:from>
    <xdr:ext cx="2857500" cy="1642373"/>
    <xdr:sp macro="" textlink="">
      <xdr:nvSpPr>
        <xdr:cNvPr id="23" name="TextBox 22">
          <a:extLst>
            <a:ext uri="{FF2B5EF4-FFF2-40B4-BE49-F238E27FC236}">
              <a16:creationId xmlns:a16="http://schemas.microsoft.com/office/drawing/2014/main" id="{B8583442-7FC5-464D-AD33-92EBA7033FF2}"/>
            </a:ext>
          </a:extLst>
        </xdr:cNvPr>
        <xdr:cNvSpPr txBox="1"/>
      </xdr:nvSpPr>
      <xdr:spPr>
        <a:xfrm>
          <a:off x="9715500" y="1355481"/>
          <a:ext cx="2857500" cy="1642373"/>
        </a:xfrm>
        <a:prstGeom prst="rect">
          <a:avLst/>
        </a:prstGeom>
        <a:noFill/>
        <a:ln w="3175">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36000" bIns="36000" rtlCol="0" anchor="t">
          <a:spAutoFit/>
        </a:bodyPr>
        <a:lstStyle/>
        <a:p>
          <a:r>
            <a:rPr lang="en-CA" sz="1100"/>
            <a:t>Section 49 in Canada's Constitution states that "Questions arising in the House of Commons shall be decided by a Majority of Voices".  However, 'Voices' is not defined, and can be defined in legislation as, for example, "the expression of the ballots cast by voters in a general election and represented by the number of parliamentary votes of each Member of the House of Commons".</a:t>
          </a:r>
        </a:p>
      </xdr:txBody>
    </xdr:sp>
    <xdr:clientData/>
  </xdr:oneCellAnchor>
  <xdr:twoCellAnchor>
    <xdr:from>
      <xdr:col>15</xdr:col>
      <xdr:colOff>0</xdr:colOff>
      <xdr:row>7</xdr:row>
      <xdr:rowOff>183173</xdr:rowOff>
    </xdr:from>
    <xdr:to>
      <xdr:col>18</xdr:col>
      <xdr:colOff>322800</xdr:colOff>
      <xdr:row>10</xdr:row>
      <xdr:rowOff>420400</xdr:rowOff>
    </xdr:to>
    <xdr:sp macro="" textlink="">
      <xdr:nvSpPr>
        <xdr:cNvPr id="25" name="TextBox 24">
          <a:extLst>
            <a:ext uri="{FF2B5EF4-FFF2-40B4-BE49-F238E27FC236}">
              <a16:creationId xmlns:a16="http://schemas.microsoft.com/office/drawing/2014/main" id="{BE165460-822B-4F62-945F-095E55B5E4D1}"/>
            </a:ext>
          </a:extLst>
        </xdr:cNvPr>
        <xdr:cNvSpPr txBox="1"/>
      </xdr:nvSpPr>
      <xdr:spPr>
        <a:xfrm>
          <a:off x="9715500" y="3055327"/>
          <a:ext cx="2865242" cy="11164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52 "The Number of Members of the House of Commons may be from Time to Time increased by the Parliament of Canada, provided the proportionate Representation of the Provinces prescribed by this Act is not thereby disturbed".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30056</xdr:colOff>
      <xdr:row>76</xdr:row>
      <xdr:rowOff>129540</xdr:rowOff>
    </xdr:from>
    <xdr:to>
      <xdr:col>13</xdr:col>
      <xdr:colOff>134815</xdr:colOff>
      <xdr:row>78</xdr:row>
      <xdr:rowOff>186691</xdr:rowOff>
    </xdr:to>
    <xdr:sp macro="" textlink="">
      <xdr:nvSpPr>
        <xdr:cNvPr id="7175" name="Text Box 7">
          <a:extLst>
            <a:ext uri="{FF2B5EF4-FFF2-40B4-BE49-F238E27FC236}">
              <a16:creationId xmlns:a16="http://schemas.microsoft.com/office/drawing/2014/main" id="{00000000-0008-0000-0100-0000071C0000}"/>
            </a:ext>
          </a:extLst>
        </xdr:cNvPr>
        <xdr:cNvSpPr txBox="1">
          <a:spLocks noChangeArrowheads="1"/>
        </xdr:cNvSpPr>
      </xdr:nvSpPr>
      <xdr:spPr bwMode="auto">
        <a:xfrm>
          <a:off x="8953076" y="27835860"/>
          <a:ext cx="1179179" cy="377191"/>
        </a:xfrm>
        <a:prstGeom prst="rect">
          <a:avLst/>
        </a:prstGeom>
        <a:solidFill>
          <a:srgbClr val="FFFFFF"/>
        </a:solidFill>
        <a:ln w="9525">
          <a:noFill/>
          <a:miter lim="800000"/>
          <a:headEnd/>
          <a:tailEnd/>
        </a:ln>
      </xdr:spPr>
      <xdr:txBody>
        <a:bodyPr vertOverflow="clip" wrap="square" lIns="36576" tIns="27432" rIns="0" bIns="0" anchor="t" upright="1"/>
        <a:lstStyle/>
        <a:p>
          <a:pPr algn="ctr" rtl="0">
            <a:defRPr sz="1000"/>
          </a:pPr>
          <a:r>
            <a:rPr lang="en-US" sz="1100" b="0" i="0" u="none" strike="noStrike" baseline="0">
              <a:solidFill>
                <a:srgbClr val="000000"/>
              </a:solidFill>
              <a:latin typeface="Arial"/>
              <a:cs typeface="Arial"/>
            </a:rPr>
            <a:t>Entitlement div. by number of MPs. </a:t>
          </a:r>
        </a:p>
      </xdr:txBody>
    </xdr:sp>
    <xdr:clientData/>
  </xdr:twoCellAnchor>
  <xdr:twoCellAnchor>
    <xdr:from>
      <xdr:col>9</xdr:col>
      <xdr:colOff>594360</xdr:colOff>
      <xdr:row>76</xdr:row>
      <xdr:rowOff>129540</xdr:rowOff>
    </xdr:from>
    <xdr:to>
      <xdr:col>11</xdr:col>
      <xdr:colOff>598170</xdr:colOff>
      <xdr:row>79</xdr:row>
      <xdr:rowOff>0</xdr:rowOff>
    </xdr:to>
    <xdr:sp macro="" textlink="">
      <xdr:nvSpPr>
        <xdr:cNvPr id="7181" name="Text Box 13">
          <a:extLst>
            <a:ext uri="{FF2B5EF4-FFF2-40B4-BE49-F238E27FC236}">
              <a16:creationId xmlns:a16="http://schemas.microsoft.com/office/drawing/2014/main" id="{00000000-0008-0000-0100-00000D1C0000}"/>
            </a:ext>
          </a:extLst>
        </xdr:cNvPr>
        <xdr:cNvSpPr txBox="1">
          <a:spLocks noChangeArrowheads="1"/>
        </xdr:cNvSpPr>
      </xdr:nvSpPr>
      <xdr:spPr bwMode="auto">
        <a:xfrm>
          <a:off x="7330440" y="27835860"/>
          <a:ext cx="1398270" cy="381000"/>
        </a:xfrm>
        <a:prstGeom prst="rect">
          <a:avLst/>
        </a:prstGeom>
        <a:solidFill>
          <a:srgbClr val="FFFFFF"/>
        </a:solidFill>
        <a:ln w="9525">
          <a:noFill/>
          <a:miter lim="800000"/>
          <a:headEnd/>
          <a:tailEnd/>
        </a:ln>
      </xdr:spPr>
      <xdr:txBody>
        <a:bodyPr vertOverflow="clip" wrap="square" lIns="36576" tIns="27432" rIns="0" bIns="0" anchor="t" upright="1"/>
        <a:lstStyle/>
        <a:p>
          <a:pPr algn="ctr" rtl="0">
            <a:defRPr sz="1000"/>
          </a:pPr>
          <a:r>
            <a:rPr lang="en-US" sz="1100" b="0" i="0" u="none" strike="noStrike" baseline="0">
              <a:solidFill>
                <a:srgbClr val="000000"/>
              </a:solidFill>
              <a:latin typeface="Arial"/>
              <a:cs typeface="Arial"/>
            </a:rPr>
            <a:t>'Party List' seats can be added with SVPR.</a:t>
          </a:r>
        </a:p>
      </xdr:txBody>
    </xdr:sp>
    <xdr:clientData/>
  </xdr:twoCellAnchor>
  <xdr:twoCellAnchor editAs="oneCell">
    <xdr:from>
      <xdr:col>16</xdr:col>
      <xdr:colOff>460107</xdr:colOff>
      <xdr:row>26</xdr:row>
      <xdr:rowOff>226017</xdr:rowOff>
    </xdr:from>
    <xdr:to>
      <xdr:col>25</xdr:col>
      <xdr:colOff>488682</xdr:colOff>
      <xdr:row>39</xdr:row>
      <xdr:rowOff>665943</xdr:rowOff>
    </xdr:to>
    <xdr:pic>
      <xdr:nvPicPr>
        <xdr:cNvPr id="5" name="Picture 4">
          <a:extLst>
            <a:ext uri="{FF2B5EF4-FFF2-40B4-BE49-F238E27FC236}">
              <a16:creationId xmlns:a16="http://schemas.microsoft.com/office/drawing/2014/main" id="{45626EB4-E89C-68B6-4BCC-AF3E8F37D1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2734" y="9541144"/>
          <a:ext cx="5549846" cy="8931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121920</xdr:colOff>
      <xdr:row>215</xdr:row>
      <xdr:rowOff>106680</xdr:rowOff>
    </xdr:from>
    <xdr:to>
      <xdr:col>10</xdr:col>
      <xdr:colOff>541020</xdr:colOff>
      <xdr:row>215</xdr:row>
      <xdr:rowOff>106680</xdr:rowOff>
    </xdr:to>
    <xdr:sp macro="" textlink="">
      <xdr:nvSpPr>
        <xdr:cNvPr id="6145" name="Line 1">
          <a:extLst>
            <a:ext uri="{FF2B5EF4-FFF2-40B4-BE49-F238E27FC236}">
              <a16:creationId xmlns:a16="http://schemas.microsoft.com/office/drawing/2014/main" id="{00000000-0008-0000-0200-000001180000}"/>
            </a:ext>
          </a:extLst>
        </xdr:cNvPr>
        <xdr:cNvSpPr>
          <a:spLocks noChangeShapeType="1"/>
        </xdr:cNvSpPr>
      </xdr:nvSpPr>
      <xdr:spPr bwMode="auto">
        <a:xfrm flipH="1">
          <a:off x="8336280" y="38938200"/>
          <a:ext cx="419100" cy="0"/>
        </a:xfrm>
        <a:prstGeom prst="line">
          <a:avLst/>
        </a:prstGeom>
        <a:noFill/>
        <a:ln w="9525">
          <a:solidFill>
            <a:srgbClr val="0000FF"/>
          </a:solidFill>
          <a:round/>
          <a:headEnd/>
          <a:tailEnd type="triangle" w="med" len="med"/>
        </a:ln>
      </xdr:spPr>
    </xdr:sp>
    <xdr:clientData/>
  </xdr:twoCellAnchor>
  <xdr:twoCellAnchor>
    <xdr:from>
      <xdr:col>10</xdr:col>
      <xdr:colOff>99060</xdr:colOff>
      <xdr:row>221</xdr:row>
      <xdr:rowOff>99060</xdr:rowOff>
    </xdr:from>
    <xdr:to>
      <xdr:col>10</xdr:col>
      <xdr:colOff>525780</xdr:colOff>
      <xdr:row>221</xdr:row>
      <xdr:rowOff>99060</xdr:rowOff>
    </xdr:to>
    <xdr:sp macro="" textlink="">
      <xdr:nvSpPr>
        <xdr:cNvPr id="6146" name="Line 2">
          <a:extLst>
            <a:ext uri="{FF2B5EF4-FFF2-40B4-BE49-F238E27FC236}">
              <a16:creationId xmlns:a16="http://schemas.microsoft.com/office/drawing/2014/main" id="{00000000-0008-0000-0200-000002180000}"/>
            </a:ext>
          </a:extLst>
        </xdr:cNvPr>
        <xdr:cNvSpPr>
          <a:spLocks noChangeShapeType="1"/>
        </xdr:cNvSpPr>
      </xdr:nvSpPr>
      <xdr:spPr bwMode="auto">
        <a:xfrm flipH="1">
          <a:off x="8313420" y="40165020"/>
          <a:ext cx="426720" cy="0"/>
        </a:xfrm>
        <a:prstGeom prst="line">
          <a:avLst/>
        </a:prstGeom>
        <a:noFill/>
        <a:ln w="9525">
          <a:solidFill>
            <a:srgbClr val="0000FF"/>
          </a:solidFill>
          <a:round/>
          <a:headEnd/>
          <a:tailEnd type="triangle" w="med" len="med"/>
        </a:ln>
      </xdr:spPr>
    </xdr:sp>
    <xdr:clientData/>
  </xdr:twoCellAnchor>
  <xdr:twoCellAnchor>
    <xdr:from>
      <xdr:col>10</xdr:col>
      <xdr:colOff>182880</xdr:colOff>
      <xdr:row>54</xdr:row>
      <xdr:rowOff>0</xdr:rowOff>
    </xdr:from>
    <xdr:to>
      <xdr:col>10</xdr:col>
      <xdr:colOff>541020</xdr:colOff>
      <xdr:row>59</xdr:row>
      <xdr:rowOff>7620</xdr:rowOff>
    </xdr:to>
    <xdr:sp macro="" textlink="">
      <xdr:nvSpPr>
        <xdr:cNvPr id="6147" name="AutoShape 3">
          <a:extLst>
            <a:ext uri="{FF2B5EF4-FFF2-40B4-BE49-F238E27FC236}">
              <a16:creationId xmlns:a16="http://schemas.microsoft.com/office/drawing/2014/main" id="{00000000-0008-0000-0200-000003180000}"/>
            </a:ext>
          </a:extLst>
        </xdr:cNvPr>
        <xdr:cNvSpPr>
          <a:spLocks/>
        </xdr:cNvSpPr>
      </xdr:nvSpPr>
      <xdr:spPr bwMode="auto">
        <a:xfrm>
          <a:off x="8397240" y="7620000"/>
          <a:ext cx="358140" cy="1036320"/>
        </a:xfrm>
        <a:prstGeom prst="rightBrace">
          <a:avLst>
            <a:gd name="adj1" fmla="val 24113"/>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makedemocracybetter.com/" TargetMode="External"/><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enr.elections.ca/Provinces.aspx?lang=e" TargetMode="Externa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276"/>
  <sheetViews>
    <sheetView showGridLines="0" tabSelected="1" topLeftCell="C1" zoomScale="130" zoomScaleNormal="130" workbookViewId="0">
      <pane ySplit="975" topLeftCell="A36" activePane="bottomLeft"/>
      <selection activeCell="F1" sqref="F1:F1048576"/>
      <selection pane="bottomLeft" activeCell="J41" sqref="J41"/>
    </sheetView>
  </sheetViews>
  <sheetFormatPr defaultRowHeight="12.75" x14ac:dyDescent="0.2"/>
  <cols>
    <col min="1" max="1" width="15.7109375" customWidth="1"/>
    <col min="2" max="2" width="2.28515625" customWidth="1"/>
    <col min="3" max="3" width="2" style="1" customWidth="1"/>
    <col min="4" max="4" width="7.85546875" customWidth="1"/>
    <col min="5" max="5" width="27.5703125" customWidth="1"/>
    <col min="6" max="6" width="16.85546875" customWidth="1"/>
    <col min="7" max="7" width="6.140625" customWidth="1"/>
    <col min="8" max="8" width="10.28515625" customWidth="1"/>
    <col min="9" max="9" width="3.28515625" customWidth="1"/>
    <col min="10" max="10" width="16" customWidth="1"/>
    <col min="11" max="11" width="13.85546875" customWidth="1"/>
    <col min="12" max="12" width="3.28515625" customWidth="1"/>
    <col min="13" max="13" width="3.140625" customWidth="1"/>
    <col min="14" max="14" width="2.5703125" customWidth="1"/>
    <col min="15" max="16" width="14.7109375" customWidth="1"/>
    <col min="17" max="17" width="11.5703125" customWidth="1"/>
    <col min="18" max="18" width="11.85546875" customWidth="1"/>
    <col min="19" max="19" width="12.85546875" customWidth="1"/>
    <col min="20" max="20" width="12" customWidth="1"/>
    <col min="21" max="21" width="13.7109375" customWidth="1"/>
    <col min="22" max="22" width="13.28515625" customWidth="1"/>
    <col min="23" max="24" width="12.7109375" customWidth="1"/>
    <col min="25" max="25" width="15" customWidth="1"/>
    <col min="26" max="26" width="12.7109375" customWidth="1"/>
    <col min="27" max="27" width="12.28515625" customWidth="1"/>
    <col min="28" max="28" width="11.140625" customWidth="1"/>
    <col min="29" max="29" width="11.28515625" customWidth="1"/>
    <col min="30" max="30" width="12" customWidth="1"/>
    <col min="31" max="31" width="11.7109375" customWidth="1"/>
    <col min="32" max="32" width="12.42578125" customWidth="1"/>
    <col min="33" max="33" width="10.28515625" customWidth="1"/>
    <col min="34" max="34" width="11.42578125" customWidth="1"/>
    <col min="35" max="35" width="10" customWidth="1"/>
    <col min="36" max="36" width="10.5703125" customWidth="1"/>
    <col min="37" max="37" width="10.42578125" bestFit="1" customWidth="1"/>
    <col min="38" max="39" width="11.7109375" customWidth="1"/>
    <col min="41" max="41" width="11.28515625" customWidth="1"/>
    <col min="42" max="42" width="11.42578125" customWidth="1"/>
    <col min="45" max="45" width="11.85546875" customWidth="1"/>
    <col min="46" max="46" width="12.5703125" customWidth="1"/>
    <col min="48" max="48" width="9" customWidth="1"/>
    <col min="49" max="49" width="14.28515625" customWidth="1"/>
    <col min="50" max="50" width="10.5703125" customWidth="1"/>
  </cols>
  <sheetData>
    <row r="1" spans="1:33" ht="24.75" customHeight="1" x14ac:dyDescent="0.2">
      <c r="E1" s="805" t="s">
        <v>223</v>
      </c>
      <c r="AG1" s="700"/>
    </row>
    <row r="2" spans="1:33" ht="16.5" customHeight="1" thickBot="1" x14ac:dyDescent="0.25"/>
    <row r="3" spans="1:33" ht="27.75" customHeight="1" x14ac:dyDescent="0.4">
      <c r="A3" s="117"/>
      <c r="B3" s="117"/>
      <c r="C3" s="560"/>
      <c r="D3" s="906" t="s">
        <v>415</v>
      </c>
      <c r="E3" s="906"/>
      <c r="F3" s="906"/>
      <c r="G3" s="906"/>
      <c r="H3" s="906"/>
      <c r="I3" s="906"/>
      <c r="J3" s="906"/>
      <c r="K3" s="906"/>
      <c r="L3" s="906"/>
      <c r="M3" s="561"/>
      <c r="N3" s="765"/>
      <c r="O3" s="541"/>
      <c r="P3" s="541"/>
      <c r="Q3" s="27"/>
      <c r="R3" s="14"/>
    </row>
    <row r="4" spans="1:33" ht="8.25" customHeight="1" x14ac:dyDescent="0.4">
      <c r="A4" s="117"/>
      <c r="B4" s="117"/>
      <c r="C4" s="562"/>
      <c r="D4" s="766"/>
      <c r="E4" s="766"/>
      <c r="F4" s="766"/>
      <c r="G4" s="766"/>
      <c r="H4" s="766"/>
      <c r="I4" s="766"/>
      <c r="J4" s="766"/>
      <c r="K4" s="766"/>
      <c r="L4" s="766"/>
      <c r="M4" s="767"/>
      <c r="N4" s="765"/>
      <c r="O4" s="541"/>
      <c r="P4" s="541"/>
      <c r="Q4" s="27"/>
      <c r="R4" s="14"/>
    </row>
    <row r="5" spans="1:33" ht="36" customHeight="1" x14ac:dyDescent="0.4">
      <c r="A5" s="117"/>
      <c r="B5" s="117"/>
      <c r="C5" s="772" t="s">
        <v>410</v>
      </c>
      <c r="D5" s="877" t="s">
        <v>490</v>
      </c>
      <c r="E5" s="877"/>
      <c r="F5" s="877"/>
      <c r="G5" s="877"/>
      <c r="H5" s="877"/>
      <c r="I5" s="877"/>
      <c r="J5" s="877"/>
      <c r="K5" s="877"/>
      <c r="L5" s="877"/>
      <c r="M5" s="773"/>
      <c r="N5" s="765"/>
      <c r="O5" s="541"/>
      <c r="P5" s="541"/>
      <c r="Q5" s="27"/>
      <c r="R5" s="14"/>
    </row>
    <row r="6" spans="1:33" ht="67.5" customHeight="1" x14ac:dyDescent="0.4">
      <c r="A6" s="117"/>
      <c r="B6" s="117"/>
      <c r="C6" s="772" t="s">
        <v>411</v>
      </c>
      <c r="D6" s="877" t="s">
        <v>491</v>
      </c>
      <c r="E6" s="877"/>
      <c r="F6" s="877"/>
      <c r="G6" s="877"/>
      <c r="H6" s="877"/>
      <c r="I6" s="877"/>
      <c r="J6" s="877"/>
      <c r="K6" s="877"/>
      <c r="L6" s="877"/>
      <c r="M6" s="878"/>
      <c r="N6" s="765"/>
      <c r="O6" s="541"/>
      <c r="P6" s="541"/>
      <c r="Q6" s="27"/>
      <c r="R6" s="14"/>
    </row>
    <row r="7" spans="1:33" ht="51.75" customHeight="1" x14ac:dyDescent="0.4">
      <c r="A7" s="117"/>
      <c r="B7" s="117"/>
      <c r="C7" s="772" t="s">
        <v>412</v>
      </c>
      <c r="D7" s="877" t="s">
        <v>492</v>
      </c>
      <c r="E7" s="877"/>
      <c r="F7" s="877"/>
      <c r="G7" s="877"/>
      <c r="H7" s="877"/>
      <c r="I7" s="877"/>
      <c r="J7" s="877"/>
      <c r="K7" s="877"/>
      <c r="L7" s="877"/>
      <c r="M7" s="878"/>
      <c r="N7" s="765"/>
      <c r="O7" s="541"/>
      <c r="P7" s="541"/>
      <c r="Q7" s="27"/>
      <c r="R7" s="14"/>
    </row>
    <row r="8" spans="1:33" ht="21.75" customHeight="1" thickBot="1" x14ac:dyDescent="0.45">
      <c r="A8" s="117"/>
      <c r="B8" s="117"/>
      <c r="C8" s="859" t="s">
        <v>413</v>
      </c>
      <c r="D8" s="771" t="s">
        <v>414</v>
      </c>
      <c r="E8" s="771"/>
      <c r="F8" s="771"/>
      <c r="G8" s="771"/>
      <c r="H8" s="771"/>
      <c r="I8" s="771"/>
      <c r="J8" s="771"/>
      <c r="K8" s="771"/>
      <c r="L8" s="771"/>
      <c r="M8" s="774"/>
      <c r="N8" s="765"/>
      <c r="O8" s="541"/>
      <c r="P8" s="541"/>
      <c r="Q8" s="27"/>
      <c r="R8" s="14"/>
    </row>
    <row r="9" spans="1:33" ht="21.75" customHeight="1" thickBot="1" x14ac:dyDescent="0.45">
      <c r="A9" s="117"/>
      <c r="B9" s="117"/>
      <c r="D9" s="763"/>
      <c r="E9" s="764"/>
      <c r="F9" s="764"/>
      <c r="G9" s="764"/>
      <c r="H9" s="764"/>
      <c r="I9" s="764"/>
      <c r="J9" s="764"/>
      <c r="K9" s="764"/>
      <c r="L9" s="764"/>
      <c r="M9" s="764"/>
      <c r="N9" s="765"/>
      <c r="O9" s="541"/>
      <c r="P9" s="541"/>
      <c r="Q9" s="27"/>
      <c r="R9" s="14"/>
    </row>
    <row r="10" spans="1:33" ht="29.25" customHeight="1" thickTop="1" x14ac:dyDescent="0.4">
      <c r="C10" s="768"/>
      <c r="D10" s="892" t="s">
        <v>295</v>
      </c>
      <c r="E10" s="893"/>
      <c r="F10" s="893"/>
      <c r="G10" s="893"/>
      <c r="H10" s="893"/>
      <c r="I10" s="893"/>
      <c r="J10" s="893"/>
      <c r="K10" s="893"/>
      <c r="L10" s="893"/>
      <c r="M10" s="769"/>
      <c r="N10" s="770"/>
      <c r="O10" s="541"/>
      <c r="P10" s="541"/>
      <c r="Q10" s="28"/>
      <c r="R10" s="3"/>
    </row>
    <row r="11" spans="1:33" ht="44.25" customHeight="1" x14ac:dyDescent="0.35">
      <c r="A11" t="s">
        <v>1</v>
      </c>
      <c r="C11" s="380"/>
      <c r="D11" s="897" t="s">
        <v>294</v>
      </c>
      <c r="E11" s="898"/>
      <c r="F11" s="898"/>
      <c r="G11" s="898"/>
      <c r="H11" s="898"/>
      <c r="I11" s="898"/>
      <c r="J11" s="898"/>
      <c r="K11" s="898"/>
      <c r="L11" s="898"/>
      <c r="M11" s="898"/>
      <c r="N11" s="452"/>
      <c r="O11" s="546"/>
      <c r="P11" s="546"/>
      <c r="Q11" s="28"/>
      <c r="R11" s="3"/>
    </row>
    <row r="12" spans="1:33" ht="21" customHeight="1" x14ac:dyDescent="0.3">
      <c r="C12" s="380"/>
      <c r="D12" s="453" t="s">
        <v>213</v>
      </c>
      <c r="E12" s="309"/>
      <c r="F12" s="309"/>
      <c r="G12" s="309"/>
      <c r="H12" s="309"/>
      <c r="I12" s="309"/>
      <c r="J12" s="309"/>
      <c r="K12" s="309"/>
      <c r="L12" s="309"/>
      <c r="M12" s="309"/>
      <c r="N12" s="303"/>
    </row>
    <row r="13" spans="1:33" ht="7.5" customHeight="1" x14ac:dyDescent="0.2">
      <c r="C13" s="380"/>
      <c r="D13" s="309"/>
      <c r="E13" s="309"/>
      <c r="F13" s="309"/>
      <c r="G13" s="309"/>
      <c r="H13" s="309"/>
      <c r="I13" s="309"/>
      <c r="J13" s="309"/>
      <c r="K13" s="309"/>
      <c r="L13" s="309"/>
      <c r="M13" s="309"/>
      <c r="N13" s="303"/>
    </row>
    <row r="14" spans="1:33" ht="48" customHeight="1" x14ac:dyDescent="0.2">
      <c r="C14" s="426"/>
      <c r="D14" s="887" t="s">
        <v>325</v>
      </c>
      <c r="E14" s="887"/>
      <c r="F14" s="887"/>
      <c r="G14" s="887"/>
      <c r="H14" s="887"/>
      <c r="I14" s="887"/>
      <c r="J14" s="887"/>
      <c r="K14" s="887"/>
      <c r="L14" s="887"/>
      <c r="M14" s="903"/>
      <c r="N14" s="308"/>
      <c r="O14" s="12"/>
      <c r="P14" s="12"/>
    </row>
    <row r="15" spans="1:33" ht="33" customHeight="1" x14ac:dyDescent="0.2">
      <c r="C15" s="426"/>
      <c r="D15" s="887" t="s">
        <v>308</v>
      </c>
      <c r="E15" s="958"/>
      <c r="F15" s="958"/>
      <c r="G15" s="958"/>
      <c r="H15" s="958"/>
      <c r="I15" s="958"/>
      <c r="J15" s="958"/>
      <c r="K15" s="958"/>
      <c r="L15" s="958"/>
      <c r="M15" s="454"/>
      <c r="N15" s="308"/>
      <c r="O15" s="12"/>
      <c r="P15" s="12"/>
    </row>
    <row r="16" spans="1:33" ht="9.75" customHeight="1" x14ac:dyDescent="0.3">
      <c r="C16" s="302"/>
      <c r="D16" s="806"/>
      <c r="E16" s="385"/>
      <c r="F16" s="385"/>
      <c r="G16" s="385"/>
      <c r="H16" s="385"/>
      <c r="I16" s="385"/>
      <c r="J16" s="385"/>
      <c r="K16" s="385"/>
      <c r="L16" s="385"/>
      <c r="M16" s="385"/>
      <c r="N16" s="397"/>
      <c r="O16" s="51"/>
      <c r="P16" s="51"/>
      <c r="Q16" s="12"/>
      <c r="R16" s="12"/>
    </row>
    <row r="17" spans="3:17" ht="16.5" customHeight="1" x14ac:dyDescent="0.2">
      <c r="C17" s="302"/>
      <c r="D17" s="902" t="s">
        <v>465</v>
      </c>
      <c r="E17" s="887"/>
      <c r="F17" s="887"/>
      <c r="G17" s="887"/>
      <c r="H17" s="887"/>
      <c r="I17" s="887"/>
      <c r="J17" s="887"/>
      <c r="K17" s="887"/>
      <c r="L17" s="903"/>
      <c r="M17" s="903"/>
      <c r="N17" s="303"/>
    </row>
    <row r="18" spans="3:17" ht="47.25" customHeight="1" x14ac:dyDescent="0.2">
      <c r="C18" s="302"/>
      <c r="D18" s="887"/>
      <c r="E18" s="887"/>
      <c r="F18" s="887"/>
      <c r="G18" s="887"/>
      <c r="H18" s="887"/>
      <c r="I18" s="887"/>
      <c r="J18" s="887"/>
      <c r="K18" s="887"/>
      <c r="L18" s="903"/>
      <c r="M18" s="903"/>
      <c r="N18" s="303"/>
    </row>
    <row r="19" spans="3:17" ht="7.5" customHeight="1" x14ac:dyDescent="0.2">
      <c r="C19" s="302"/>
      <c r="D19" s="304"/>
      <c r="E19" s="304"/>
      <c r="F19" s="304"/>
      <c r="G19" s="304"/>
      <c r="H19" s="304"/>
      <c r="I19" s="304"/>
      <c r="J19" s="304"/>
      <c r="K19" s="304"/>
      <c r="L19" s="298"/>
      <c r="M19" s="298"/>
      <c r="N19" s="303"/>
    </row>
    <row r="20" spans="3:17" ht="16.5" customHeight="1" x14ac:dyDescent="0.2">
      <c r="C20" s="302"/>
      <c r="D20" s="305" t="s">
        <v>296</v>
      </c>
      <c r="E20" s="298"/>
      <c r="F20" s="306"/>
      <c r="G20" s="306"/>
      <c r="H20" s="298"/>
      <c r="I20" s="298"/>
      <c r="J20" s="306"/>
      <c r="K20" s="306"/>
      <c r="L20" s="304"/>
      <c r="M20" s="298"/>
      <c r="N20" s="617" t="s">
        <v>23</v>
      </c>
      <c r="O20" s="547"/>
      <c r="P20" s="547"/>
      <c r="Q20" s="12"/>
    </row>
    <row r="21" spans="3:17" ht="30.75" customHeight="1" x14ac:dyDescent="0.2">
      <c r="C21" s="302"/>
      <c r="D21" s="880" t="s">
        <v>478</v>
      </c>
      <c r="E21" s="880"/>
      <c r="F21" s="880"/>
      <c r="G21" s="880"/>
      <c r="H21" s="880"/>
      <c r="I21" s="880"/>
      <c r="J21" s="880"/>
      <c r="K21" s="880"/>
      <c r="L21" s="880"/>
      <c r="M21" s="880"/>
      <c r="N21" s="303"/>
    </row>
    <row r="22" spans="3:17" ht="17.25" customHeight="1" x14ac:dyDescent="0.25">
      <c r="C22" s="302"/>
      <c r="D22" s="298"/>
      <c r="E22" s="336"/>
      <c r="F22" s="337"/>
      <c r="G22" s="601"/>
      <c r="H22" s="373" t="s">
        <v>479</v>
      </c>
      <c r="I22" s="603" t="s">
        <v>480</v>
      </c>
      <c r="J22" s="602" t="s">
        <v>291</v>
      </c>
      <c r="K22" s="337"/>
      <c r="L22" s="595"/>
      <c r="M22" s="595"/>
      <c r="N22" s="303"/>
    </row>
    <row r="23" spans="3:17" ht="6.75" customHeight="1" thickBot="1" x14ac:dyDescent="0.25">
      <c r="C23" s="321"/>
      <c r="D23" s="338"/>
      <c r="E23" s="364"/>
      <c r="F23" s="364"/>
      <c r="G23" s="364"/>
      <c r="H23" s="364"/>
      <c r="I23" s="364"/>
      <c r="J23" s="364"/>
      <c r="K23" s="364"/>
      <c r="L23" s="340"/>
      <c r="M23" s="340"/>
      <c r="N23" s="342"/>
    </row>
    <row r="24" spans="3:17" ht="11.25" customHeight="1" thickTop="1" x14ac:dyDescent="0.2">
      <c r="C24" s="6"/>
      <c r="D24" s="19"/>
      <c r="E24" s="105"/>
      <c r="F24" s="190"/>
      <c r="G24" s="106"/>
      <c r="H24" s="106"/>
      <c r="I24" s="106"/>
      <c r="J24" s="106"/>
      <c r="K24" s="106"/>
      <c r="L24" s="106"/>
      <c r="M24" s="106"/>
    </row>
    <row r="25" spans="3:17" ht="23.25" customHeight="1" thickBot="1" x14ac:dyDescent="0.25">
      <c r="C25" s="573" t="s">
        <v>367</v>
      </c>
      <c r="D25" s="19"/>
      <c r="E25" s="105"/>
      <c r="F25" s="190"/>
      <c r="G25" s="106"/>
      <c r="H25" s="106"/>
      <c r="I25" s="106"/>
      <c r="J25" s="106"/>
      <c r="K25" s="106"/>
      <c r="L25" s="106"/>
      <c r="M25" s="106"/>
    </row>
    <row r="26" spans="3:17" ht="11.25" customHeight="1" thickTop="1" x14ac:dyDescent="0.2">
      <c r="C26" s="574"/>
      <c r="D26" s="694"/>
      <c r="E26" s="695"/>
      <c r="F26" s="575"/>
      <c r="G26" s="576"/>
      <c r="H26" s="696" t="s">
        <v>299</v>
      </c>
      <c r="I26" s="576"/>
      <c r="J26" s="576"/>
      <c r="K26" s="576"/>
      <c r="L26" s="576"/>
      <c r="M26" s="576"/>
      <c r="N26" s="697"/>
    </row>
    <row r="27" spans="3:17" ht="19.5" customHeight="1" x14ac:dyDescent="0.2">
      <c r="C27" s="688"/>
      <c r="D27" s="689" t="s">
        <v>460</v>
      </c>
      <c r="E27" s="690"/>
      <c r="F27" s="691"/>
      <c r="G27" s="692"/>
      <c r="H27" s="702">
        <v>0.02</v>
      </c>
      <c r="I27" s="313" t="s">
        <v>302</v>
      </c>
      <c r="J27" s="692"/>
      <c r="K27" s="692"/>
      <c r="L27" s="692"/>
      <c r="M27" s="692"/>
      <c r="N27" s="693"/>
    </row>
    <row r="28" spans="3:17" ht="16.5" customHeight="1" x14ac:dyDescent="0.2">
      <c r="C28" s="954" t="s">
        <v>376</v>
      </c>
      <c r="D28" s="955"/>
      <c r="E28" s="955"/>
      <c r="F28" s="955"/>
      <c r="G28" s="955"/>
      <c r="H28" s="955"/>
      <c r="I28" s="955"/>
      <c r="J28" s="955"/>
      <c r="K28" s="955"/>
      <c r="L28" s="955"/>
      <c r="M28" s="955"/>
      <c r="N28" s="956"/>
    </row>
    <row r="29" spans="3:17" ht="13.5" customHeight="1" x14ac:dyDescent="0.2">
      <c r="C29" s="957"/>
      <c r="D29" s="955"/>
      <c r="E29" s="955"/>
      <c r="F29" s="955"/>
      <c r="G29" s="955"/>
      <c r="H29" s="955"/>
      <c r="I29" s="955"/>
      <c r="J29" s="955"/>
      <c r="K29" s="955"/>
      <c r="L29" s="955"/>
      <c r="M29" s="955"/>
      <c r="N29" s="956"/>
    </row>
    <row r="30" spans="3:17" ht="19.5" customHeight="1" x14ac:dyDescent="0.2">
      <c r="C30" s="302"/>
      <c r="D30" s="313" t="s">
        <v>442</v>
      </c>
      <c r="E30" s="310"/>
      <c r="F30" s="311"/>
      <c r="G30" s="311"/>
      <c r="H30" s="533">
        <v>0.05</v>
      </c>
      <c r="I30" s="313" t="s">
        <v>300</v>
      </c>
      <c r="J30" s="298"/>
      <c r="K30" s="298"/>
      <c r="L30" s="298"/>
      <c r="M30" s="298"/>
      <c r="N30" s="303"/>
    </row>
    <row r="31" spans="3:17" ht="19.5" customHeight="1" x14ac:dyDescent="0.2">
      <c r="C31" s="302"/>
      <c r="D31" s="313" t="s">
        <v>443</v>
      </c>
      <c r="E31" s="316"/>
      <c r="F31" s="316"/>
      <c r="G31" s="314"/>
      <c r="H31" s="569"/>
      <c r="I31" s="312"/>
      <c r="J31" s="315"/>
      <c r="K31" s="316"/>
      <c r="L31" s="316"/>
      <c r="M31" s="316"/>
      <c r="N31" s="303"/>
    </row>
    <row r="32" spans="3:17" ht="19.5" customHeight="1" x14ac:dyDescent="0.2">
      <c r="C32" s="302"/>
      <c r="D32" s="298"/>
      <c r="E32" s="316"/>
      <c r="F32" s="550"/>
      <c r="G32" s="317" t="s">
        <v>444</v>
      </c>
      <c r="H32" s="534">
        <v>0.05</v>
      </c>
      <c r="I32" s="314" t="s">
        <v>338</v>
      </c>
      <c r="J32" s="316"/>
      <c r="K32" s="316"/>
      <c r="L32" s="550"/>
      <c r="M32" s="550"/>
      <c r="N32" s="308"/>
    </row>
    <row r="33" spans="1:41" ht="19.5" customHeight="1" x14ac:dyDescent="0.2">
      <c r="C33" s="302"/>
      <c r="D33" s="559">
        <f>ROUNDUP(G57*H32,0)</f>
        <v>18</v>
      </c>
      <c r="E33" s="314" t="s">
        <v>408</v>
      </c>
      <c r="F33" s="298"/>
      <c r="G33" s="316"/>
      <c r="H33" s="316"/>
      <c r="I33" s="316"/>
      <c r="J33" s="316"/>
      <c r="K33" s="316"/>
      <c r="L33" s="311"/>
      <c r="M33" s="316"/>
      <c r="N33" s="303"/>
    </row>
    <row r="34" spans="1:41" ht="6.75" customHeight="1" thickBot="1" x14ac:dyDescent="0.25">
      <c r="C34" s="321"/>
      <c r="D34" s="338"/>
      <c r="E34" s="339"/>
      <c r="F34" s="340"/>
      <c r="G34" s="341"/>
      <c r="H34" s="343"/>
      <c r="I34" s="338"/>
      <c r="J34" s="340"/>
      <c r="K34" s="340"/>
      <c r="L34" s="340"/>
      <c r="M34" s="340"/>
      <c r="N34" s="342"/>
    </row>
    <row r="35" spans="1:41" ht="19.5" customHeight="1" thickTop="1" thickBot="1" x14ac:dyDescent="0.35">
      <c r="C35" s="6"/>
      <c r="D35" s="19"/>
      <c r="E35" s="105"/>
      <c r="F35" s="190"/>
      <c r="G35" s="106"/>
      <c r="H35" s="106"/>
      <c r="I35" s="106"/>
      <c r="J35" s="106"/>
      <c r="K35" s="106"/>
      <c r="L35" s="106"/>
      <c r="M35" s="106"/>
      <c r="Q35" s="570"/>
      <c r="R35" s="65"/>
    </row>
    <row r="36" spans="1:41" ht="19.5" customHeight="1" thickTop="1" thickBot="1" x14ac:dyDescent="0.25">
      <c r="C36" s="949"/>
      <c r="D36" s="950"/>
      <c r="E36" s="567" t="s">
        <v>212</v>
      </c>
      <c r="F36" s="327"/>
      <c r="G36" s="327"/>
      <c r="H36" s="327"/>
      <c r="I36" s="928" t="s">
        <v>409</v>
      </c>
      <c r="J36" s="929"/>
      <c r="K36" s="929"/>
      <c r="L36" s="929"/>
      <c r="M36" s="328"/>
      <c r="N36" s="53"/>
      <c r="R36" s="65"/>
    </row>
    <row r="37" spans="1:41" ht="22.5" customHeight="1" thickTop="1" thickBot="1" x14ac:dyDescent="0.3">
      <c r="C37" s="951"/>
      <c r="D37" s="952"/>
      <c r="E37" s="925" t="s">
        <v>494</v>
      </c>
      <c r="F37" s="926"/>
      <c r="G37" s="927"/>
      <c r="H37" s="298"/>
      <c r="I37" s="930"/>
      <c r="J37" s="930"/>
      <c r="K37" s="930"/>
      <c r="L37" s="930"/>
      <c r="M37" s="563"/>
      <c r="N37" s="53"/>
      <c r="O37" s="272"/>
      <c r="P37" s="272"/>
    </row>
    <row r="38" spans="1:41" ht="8.25" customHeight="1" thickTop="1" thickBot="1" x14ac:dyDescent="0.25">
      <c r="C38" s="953"/>
      <c r="D38" s="952"/>
      <c r="E38" s="564"/>
      <c r="F38" s="565"/>
      <c r="G38" s="566"/>
      <c r="H38" s="329"/>
      <c r="I38" s="776"/>
      <c r="J38" s="776"/>
      <c r="K38" s="776"/>
      <c r="L38" s="776"/>
      <c r="M38" s="303"/>
      <c r="N38" s="53"/>
      <c r="Q38" s="104"/>
      <c r="R38" s="103"/>
      <c r="S38" s="103"/>
    </row>
    <row r="39" spans="1:41" ht="45.75" customHeight="1" thickTop="1" x14ac:dyDescent="0.2">
      <c r="A39" s="135" t="s">
        <v>337</v>
      </c>
      <c r="B39" s="135"/>
      <c r="C39" s="302"/>
      <c r="D39" s="298"/>
      <c r="E39" s="835" t="s">
        <v>33</v>
      </c>
      <c r="F39" s="85" t="s">
        <v>274</v>
      </c>
      <c r="G39" s="1069" t="str">
        <f>IF(I22="y","Members of Parliament Elected","Members of the Legislature Elected")</f>
        <v>Members of Parliament Elected</v>
      </c>
      <c r="H39" s="1027"/>
      <c r="I39" s="1070"/>
      <c r="J39" s="895" t="s">
        <v>72</v>
      </c>
      <c r="K39" s="895" t="s">
        <v>18</v>
      </c>
      <c r="L39" s="298"/>
      <c r="M39" s="303"/>
      <c r="N39" s="53"/>
      <c r="O39" s="864" t="s">
        <v>398</v>
      </c>
      <c r="P39" s="865"/>
      <c r="Q39" s="977" t="s">
        <v>380</v>
      </c>
      <c r="R39" s="982" t="s">
        <v>493</v>
      </c>
      <c r="S39" s="961" t="s">
        <v>388</v>
      </c>
      <c r="T39" s="987" t="s">
        <v>387</v>
      </c>
      <c r="U39" s="961" t="str">
        <f>IF(I22="y","Parliamen-tary Vote Entitlement","Legislature Vote Entitlement")</f>
        <v>Parliamen-tary Vote Entitlement</v>
      </c>
      <c r="V39" s="961" t="str">
        <f>IF(I22="y","% of  Votes in Parliament","% of Votes In Legislature")</f>
        <v>% of  Votes in Parliament</v>
      </c>
      <c r="W39" s="963" t="str">
        <f>I180</f>
        <v>Average Vote  per Member</v>
      </c>
      <c r="X39" s="989" t="s">
        <v>390</v>
      </c>
      <c r="Y39" s="990"/>
      <c r="Z39" s="727"/>
      <c r="AD39" s="680" t="s">
        <v>365</v>
      </c>
      <c r="AE39" s="682" t="s">
        <v>351</v>
      </c>
      <c r="AF39" s="943" t="s">
        <v>352</v>
      </c>
      <c r="AG39" s="943" t="s">
        <v>353</v>
      </c>
      <c r="AH39" s="943" t="s">
        <v>350</v>
      </c>
      <c r="AI39" s="943" t="s">
        <v>354</v>
      </c>
      <c r="AJ39" s="974" t="s">
        <v>355</v>
      </c>
      <c r="AK39" s="943" t="s">
        <v>357</v>
      </c>
      <c r="AL39" s="943" t="s">
        <v>356</v>
      </c>
      <c r="AM39" s="943" t="s">
        <v>359</v>
      </c>
      <c r="AN39" s="943" t="s">
        <v>362</v>
      </c>
      <c r="AO39" s="943" t="s">
        <v>360</v>
      </c>
    </row>
    <row r="40" spans="1:41" ht="18" customHeight="1" thickBot="1" x14ac:dyDescent="0.25">
      <c r="A40" s="135"/>
      <c r="B40" s="135"/>
      <c r="C40" s="302"/>
      <c r="D40" s="298"/>
      <c r="E40" s="899" t="s">
        <v>297</v>
      </c>
      <c r="F40" s="900"/>
      <c r="G40" s="900"/>
      <c r="H40" s="900"/>
      <c r="I40" s="901"/>
      <c r="J40" s="896"/>
      <c r="K40" s="896"/>
      <c r="L40" s="298"/>
      <c r="M40" s="303"/>
      <c r="N40" s="53"/>
      <c r="O40" s="866"/>
      <c r="P40" s="865"/>
      <c r="Q40" s="978"/>
      <c r="R40" s="983"/>
      <c r="S40" s="962"/>
      <c r="T40" s="988"/>
      <c r="U40" s="962"/>
      <c r="V40" s="962"/>
      <c r="W40" s="964"/>
      <c r="X40" s="727"/>
      <c r="Y40" s="727"/>
      <c r="Z40" s="727"/>
      <c r="AE40" s="683"/>
      <c r="AF40" s="944"/>
      <c r="AG40" s="944"/>
      <c r="AH40" s="944"/>
      <c r="AI40" s="944"/>
      <c r="AJ40" s="896"/>
      <c r="AK40" s="944"/>
      <c r="AL40" s="944"/>
      <c r="AM40" s="944"/>
      <c r="AN40" s="944"/>
      <c r="AO40" s="944"/>
    </row>
    <row r="41" spans="1:41" ht="25.5" customHeight="1" thickTop="1" x14ac:dyDescent="0.25">
      <c r="A41" s="58" t="str">
        <f>IF(J41*100&gt;H$27,"&gt;1%"," ")</f>
        <v>&gt;1%</v>
      </c>
      <c r="B41" s="58"/>
      <c r="C41" s="324"/>
      <c r="D41" s="325">
        <v>1</v>
      </c>
      <c r="E41" s="844" t="s">
        <v>391</v>
      </c>
      <c r="F41" s="729">
        <v>8564200</v>
      </c>
      <c r="G41" s="912">
        <v>169</v>
      </c>
      <c r="H41" s="913"/>
      <c r="I41" s="913"/>
      <c r="J41" s="290">
        <f t="shared" ref="J41:J48" si="0">IF(F41&gt;0,F41/F$57,0)</f>
        <v>0.43700083999764461</v>
      </c>
      <c r="K41" s="291">
        <f t="shared" ref="K41:K48" si="1">IF(G41&gt;0,G41/G$57,0)</f>
        <v>0.49271137026239065</v>
      </c>
      <c r="L41" s="330" t="str">
        <f>IF(K97=J$94," √ "," ")</f>
        <v xml:space="preserve"> √ </v>
      </c>
      <c r="M41" s="331"/>
      <c r="N41" s="198"/>
      <c r="O41" s="904" t="str">
        <f t="shared" ref="O41:O48" si="2">IF(E41=""," ",E41)</f>
        <v>Liberal</v>
      </c>
      <c r="P41" s="905"/>
      <c r="Q41" s="705">
        <f>G41</f>
        <v>169</v>
      </c>
      <c r="R41" s="707">
        <f>J149</f>
        <v>0</v>
      </c>
      <c r="S41" s="708">
        <f t="shared" ref="S41:S53" si="3">G181</f>
        <v>169</v>
      </c>
      <c r="T41" s="723">
        <f t="shared" ref="T41:T52" si="4">IF(F181=0,0,G75)</f>
        <v>0.44224419954042588</v>
      </c>
      <c r="U41" s="832">
        <f t="shared" ref="U41:U52" si="5">IF(F181="Excluded"," ",F181)</f>
        <v>169</v>
      </c>
      <c r="V41" s="780">
        <f t="shared" ref="V41:V52" si="6">IF(U41=" "," ",U41/U$56)</f>
        <v>0.44224419954042588</v>
      </c>
      <c r="W41" s="686">
        <f t="shared" ref="W41:W52" si="7">IF(S41=0,0,U41/S41)</f>
        <v>1</v>
      </c>
      <c r="AC41" s="1056" t="str">
        <f t="shared" ref="AC41:AC52" si="8">O41</f>
        <v>Liberal</v>
      </c>
      <c r="AD41" s="969"/>
      <c r="AE41" s="792">
        <f t="shared" ref="AE41:AE52" si="9">F41</f>
        <v>8564200</v>
      </c>
      <c r="AF41" s="639">
        <f t="shared" ref="AF41:AF53" si="10">J41</f>
        <v>0.43700083999764461</v>
      </c>
      <c r="AG41" s="640">
        <f t="shared" ref="AG41:AG53" si="11">K41</f>
        <v>0.49271137026239065</v>
      </c>
      <c r="AH41" s="641">
        <f t="shared" ref="AH41:AH53" si="12">G41</f>
        <v>169</v>
      </c>
      <c r="AI41" s="642">
        <f t="shared" ref="AI41:AI52" si="13">IF(K97=0,"Excluded",K97)</f>
        <v>1.1141160715604852</v>
      </c>
      <c r="AJ41" s="643" t="str">
        <f t="shared" ref="AJ41:AJ52" si="14">L41</f>
        <v xml:space="preserve"> √ </v>
      </c>
      <c r="AK41" s="644">
        <f t="shared" ref="AK41:AK53" si="15">J120</f>
        <v>169</v>
      </c>
      <c r="AL41" s="645">
        <f t="shared" ref="AL41:AL52" si="16">J149</f>
        <v>0</v>
      </c>
      <c r="AM41" s="646" t="e">
        <f>#REF!</f>
        <v>#REF!</v>
      </c>
      <c r="AN41" s="645" t="e">
        <f>AM41+AL41+AH41</f>
        <v>#REF!</v>
      </c>
      <c r="AO41" s="647">
        <f t="shared" ref="AO41:AO53" si="17">I181</f>
        <v>1</v>
      </c>
    </row>
    <row r="42" spans="1:41" ht="15.75" customHeight="1" x14ac:dyDescent="0.25">
      <c r="A42" s="58" t="str">
        <f>IF(J42*100&gt;H$27,"&gt;1%"," ")</f>
        <v>&gt;1%</v>
      </c>
      <c r="B42" s="58"/>
      <c r="C42" s="324"/>
      <c r="D42" s="325">
        <f>1+D41</f>
        <v>2</v>
      </c>
      <c r="E42" s="845" t="s">
        <v>392</v>
      </c>
      <c r="F42" s="731">
        <v>8086051</v>
      </c>
      <c r="G42" s="881">
        <v>144</v>
      </c>
      <c r="H42" s="882"/>
      <c r="I42" s="882"/>
      <c r="J42" s="589">
        <f t="shared" si="0"/>
        <v>0.41260258742950823</v>
      </c>
      <c r="K42" s="590">
        <f t="shared" si="1"/>
        <v>0.41982507288629739</v>
      </c>
      <c r="L42" s="330" t="str">
        <f>IF(K98=J$94," √ "," ")</f>
        <v xml:space="preserve"> </v>
      </c>
      <c r="M42" s="331"/>
      <c r="N42" s="198"/>
      <c r="O42" s="860" t="str">
        <f t="shared" si="2"/>
        <v>Conservative</v>
      </c>
      <c r="P42" s="861"/>
      <c r="Q42" s="706">
        <f t="shared" ref="Q42:Q52" si="18">G42</f>
        <v>144</v>
      </c>
      <c r="R42" s="709">
        <f>J150</f>
        <v>0</v>
      </c>
      <c r="S42" s="710">
        <f t="shared" si="3"/>
        <v>144</v>
      </c>
      <c r="T42" s="724">
        <f t="shared" si="4"/>
        <v>0.41755320426170106</v>
      </c>
      <c r="U42" s="833">
        <f t="shared" si="5"/>
        <v>159.56453831064198</v>
      </c>
      <c r="V42" s="781">
        <f t="shared" si="6"/>
        <v>0.41755320426170106</v>
      </c>
      <c r="W42" s="618">
        <f t="shared" si="7"/>
        <v>1.1080870716016804</v>
      </c>
      <c r="AC42" s="981" t="str">
        <f t="shared" si="8"/>
        <v>Conservative</v>
      </c>
      <c r="AD42" s="971"/>
      <c r="AE42" s="792">
        <f t="shared" si="9"/>
        <v>8086051</v>
      </c>
      <c r="AF42" s="648">
        <f t="shared" si="10"/>
        <v>0.41260258742950823</v>
      </c>
      <c r="AG42" s="640">
        <f t="shared" si="11"/>
        <v>0.41982507288629739</v>
      </c>
      <c r="AH42" s="649">
        <f t="shared" si="12"/>
        <v>144</v>
      </c>
      <c r="AI42" s="650">
        <f t="shared" si="13"/>
        <v>1.0054409081319668</v>
      </c>
      <c r="AJ42" s="651" t="str">
        <f t="shared" si="14"/>
        <v xml:space="preserve"> </v>
      </c>
      <c r="AK42" s="652">
        <f t="shared" si="15"/>
        <v>159.56453831064198</v>
      </c>
      <c r="AL42" s="653">
        <f t="shared" si="16"/>
        <v>0</v>
      </c>
      <c r="AM42" s="654" t="e">
        <f>#REF!</f>
        <v>#REF!</v>
      </c>
      <c r="AN42" s="653" t="e">
        <f t="shared" ref="AN42:AN52" si="19">AM42+AL42+AH42</f>
        <v>#REF!</v>
      </c>
      <c r="AO42" s="655">
        <f t="shared" si="17"/>
        <v>1.1080870716016804</v>
      </c>
    </row>
    <row r="43" spans="1:41" ht="15.75" customHeight="1" x14ac:dyDescent="0.25">
      <c r="A43" s="58" t="str">
        <f>IF(J43*100&gt;H$27,"&gt;1%"," ")</f>
        <v>&gt;1%</v>
      </c>
      <c r="B43" s="58"/>
      <c r="C43" s="324"/>
      <c r="D43" s="326">
        <f t="shared" ref="D43:D52" si="20">1+D42</f>
        <v>3</v>
      </c>
      <c r="E43" s="845" t="s">
        <v>26</v>
      </c>
      <c r="F43" s="731">
        <v>1232853</v>
      </c>
      <c r="G43" s="881">
        <v>22</v>
      </c>
      <c r="H43" s="882"/>
      <c r="I43" s="882"/>
      <c r="J43" s="289">
        <f t="shared" si="0"/>
        <v>6.2908128791202472E-2</v>
      </c>
      <c r="K43" s="292">
        <f t="shared" si="1"/>
        <v>6.4139941690962099E-2</v>
      </c>
      <c r="L43" s="330" t="str">
        <f t="shared" ref="L43:L52" si="21">IF(K99=J$94," √ "," ")</f>
        <v xml:space="preserve"> </v>
      </c>
      <c r="M43" s="331"/>
      <c r="N43" s="198"/>
      <c r="O43" s="860" t="str">
        <f t="shared" si="2"/>
        <v>Bloc Quebecois</v>
      </c>
      <c r="P43" s="861"/>
      <c r="Q43" s="706">
        <f t="shared" si="18"/>
        <v>22</v>
      </c>
      <c r="R43" s="709">
        <f t="shared" ref="R43:R52" si="22">J151</f>
        <v>0</v>
      </c>
      <c r="S43" s="710">
        <f t="shared" si="3"/>
        <v>22</v>
      </c>
      <c r="T43" s="724">
        <f t="shared" si="4"/>
        <v>6.3662932689102614E-2</v>
      </c>
      <c r="U43" s="833">
        <f t="shared" si="5"/>
        <v>24.328268489759694</v>
      </c>
      <c r="V43" s="782">
        <f t="shared" si="6"/>
        <v>6.3662932689102614E-2</v>
      </c>
      <c r="W43" s="618">
        <f t="shared" si="7"/>
        <v>1.105830385898168</v>
      </c>
      <c r="AC43" s="981" t="str">
        <f t="shared" si="8"/>
        <v>Bloc Quebecois</v>
      </c>
      <c r="AD43" s="971"/>
      <c r="AE43" s="792">
        <f t="shared" si="9"/>
        <v>1232853</v>
      </c>
      <c r="AF43" s="648">
        <f t="shared" si="10"/>
        <v>6.2908128791202472E-2</v>
      </c>
      <c r="AG43" s="640">
        <f t="shared" si="11"/>
        <v>6.4139941690962099E-2</v>
      </c>
      <c r="AH43" s="649">
        <f t="shared" si="12"/>
        <v>22</v>
      </c>
      <c r="AI43" s="650">
        <f t="shared" si="13"/>
        <v>1.0074927274272607</v>
      </c>
      <c r="AJ43" s="651" t="str">
        <f t="shared" si="14"/>
        <v xml:space="preserve"> </v>
      </c>
      <c r="AK43" s="652">
        <f t="shared" si="15"/>
        <v>24.328268489759694</v>
      </c>
      <c r="AL43" s="653">
        <f t="shared" si="16"/>
        <v>0</v>
      </c>
      <c r="AM43" s="654" t="e">
        <f>#REF!</f>
        <v>#REF!</v>
      </c>
      <c r="AN43" s="653" t="e">
        <f t="shared" si="19"/>
        <v>#REF!</v>
      </c>
      <c r="AO43" s="655">
        <f t="shared" si="17"/>
        <v>1.105830385898168</v>
      </c>
    </row>
    <row r="44" spans="1:41" ht="15.75" customHeight="1" x14ac:dyDescent="0.25">
      <c r="A44" s="58" t="str">
        <f>IF(J44*100&gt;H$27,"&gt;1%"," ")</f>
        <v>&gt;1%</v>
      </c>
      <c r="B44" s="58"/>
      <c r="C44" s="324"/>
      <c r="D44" s="326">
        <f t="shared" si="20"/>
        <v>4</v>
      </c>
      <c r="E44" s="845" t="s">
        <v>99</v>
      </c>
      <c r="F44" s="731">
        <v>1237263</v>
      </c>
      <c r="G44" s="881">
        <v>7</v>
      </c>
      <c r="H44" s="882"/>
      <c r="I44" s="882"/>
      <c r="J44" s="289">
        <f t="shared" si="0"/>
        <v>6.3133155495902218E-2</v>
      </c>
      <c r="K44" s="292">
        <f t="shared" si="1"/>
        <v>2.0408163265306121E-2</v>
      </c>
      <c r="L44" s="330" t="str">
        <f t="shared" si="21"/>
        <v xml:space="preserve"> </v>
      </c>
      <c r="M44" s="331"/>
      <c r="N44" s="198"/>
      <c r="O44" s="860" t="str">
        <f t="shared" si="2"/>
        <v>NDP</v>
      </c>
      <c r="P44" s="861"/>
      <c r="Q44" s="706">
        <f t="shared" si="18"/>
        <v>7</v>
      </c>
      <c r="R44" s="709">
        <f t="shared" si="22"/>
        <v>15</v>
      </c>
      <c r="S44" s="710">
        <f t="shared" si="3"/>
        <v>22</v>
      </c>
      <c r="T44" s="724">
        <f t="shared" si="4"/>
        <v>6.3890659379274878E-2</v>
      </c>
      <c r="U44" s="833">
        <f t="shared" si="5"/>
        <v>24.415292379907054</v>
      </c>
      <c r="V44" s="782">
        <f t="shared" si="6"/>
        <v>6.3890659379274878E-2</v>
      </c>
      <c r="W44" s="618">
        <f t="shared" si="7"/>
        <v>1.1097860172685026</v>
      </c>
      <c r="AC44" s="981" t="str">
        <f t="shared" si="8"/>
        <v>NDP</v>
      </c>
      <c r="AD44" s="971"/>
      <c r="AE44" s="792">
        <f t="shared" si="9"/>
        <v>1237263</v>
      </c>
      <c r="AF44" s="648">
        <f t="shared" si="10"/>
        <v>6.3133155495902218E-2</v>
      </c>
      <c r="AG44" s="640">
        <f t="shared" si="11"/>
        <v>2.0408163265306121E-2</v>
      </c>
      <c r="AH44" s="649">
        <f t="shared" si="12"/>
        <v>7</v>
      </c>
      <c r="AI44" s="650">
        <f t="shared" si="13"/>
        <v>0.31942326880924643</v>
      </c>
      <c r="AJ44" s="651" t="str">
        <f t="shared" si="14"/>
        <v xml:space="preserve"> </v>
      </c>
      <c r="AK44" s="652">
        <f t="shared" si="15"/>
        <v>24.415292379907054</v>
      </c>
      <c r="AL44" s="653">
        <f t="shared" si="16"/>
        <v>15</v>
      </c>
      <c r="AM44" s="654" t="e">
        <f>#REF!</f>
        <v>#REF!</v>
      </c>
      <c r="AN44" s="653" t="e">
        <f t="shared" si="19"/>
        <v>#REF!</v>
      </c>
      <c r="AO44" s="655">
        <f t="shared" si="17"/>
        <v>1.1097860172685026</v>
      </c>
    </row>
    <row r="45" spans="1:41" ht="16.5" customHeight="1" x14ac:dyDescent="0.25">
      <c r="A45" s="58" t="str">
        <f>IF(J45*100&gt;H$27,"&gt;1%"," ")</f>
        <v>&gt;1%</v>
      </c>
      <c r="B45" s="58"/>
      <c r="C45" s="324"/>
      <c r="D45" s="326">
        <f t="shared" si="20"/>
        <v>5</v>
      </c>
      <c r="E45" s="845" t="s">
        <v>393</v>
      </c>
      <c r="F45" s="731">
        <v>244952</v>
      </c>
      <c r="G45" s="881">
        <v>1</v>
      </c>
      <c r="H45" s="882"/>
      <c r="I45" s="882"/>
      <c r="J45" s="289">
        <f t="shared" si="0"/>
        <v>1.249903432417541E-2</v>
      </c>
      <c r="K45" s="292">
        <f t="shared" si="1"/>
        <v>2.9154518950437317E-3</v>
      </c>
      <c r="L45" s="330" t="str">
        <f t="shared" si="21"/>
        <v xml:space="preserve"> </v>
      </c>
      <c r="M45" s="331"/>
      <c r="N45" s="198"/>
      <c r="O45" s="860" t="str">
        <f t="shared" si="2"/>
        <v>Green</v>
      </c>
      <c r="P45" s="861"/>
      <c r="Q45" s="706">
        <f t="shared" si="18"/>
        <v>1</v>
      </c>
      <c r="R45" s="709">
        <f t="shared" si="22"/>
        <v>3</v>
      </c>
      <c r="S45" s="710">
        <f t="shared" si="3"/>
        <v>4</v>
      </c>
      <c r="T45" s="724">
        <f t="shared" si="4"/>
        <v>1.2649004129495621E-2</v>
      </c>
      <c r="U45" s="833">
        <f t="shared" si="5"/>
        <v>4.8337133649377639</v>
      </c>
      <c r="V45" s="782">
        <f t="shared" si="6"/>
        <v>1.2649004129495621E-2</v>
      </c>
      <c r="W45" s="618">
        <f t="shared" si="7"/>
        <v>1.208428341234441</v>
      </c>
      <c r="AC45" s="981" t="str">
        <f t="shared" si="8"/>
        <v>Green</v>
      </c>
      <c r="AD45" s="971"/>
      <c r="AE45" s="792">
        <f t="shared" si="9"/>
        <v>244952</v>
      </c>
      <c r="AF45" s="648">
        <f t="shared" si="10"/>
        <v>1.249903432417541E-2</v>
      </c>
      <c r="AG45" s="640">
        <f t="shared" si="11"/>
        <v>2.9154518950437317E-3</v>
      </c>
      <c r="AH45" s="649">
        <f t="shared" si="12"/>
        <v>1</v>
      </c>
      <c r="AI45" s="650">
        <f t="shared" si="13"/>
        <v>0.23048865074249805</v>
      </c>
      <c r="AJ45" s="651" t="str">
        <f t="shared" si="14"/>
        <v xml:space="preserve"> </v>
      </c>
      <c r="AK45" s="652">
        <f t="shared" si="15"/>
        <v>4.8337133649377639</v>
      </c>
      <c r="AL45" s="653">
        <f t="shared" si="16"/>
        <v>3</v>
      </c>
      <c r="AM45" s="654" t="e">
        <f>#REF!</f>
        <v>#REF!</v>
      </c>
      <c r="AN45" s="653" t="e">
        <f t="shared" si="19"/>
        <v>#REF!</v>
      </c>
      <c r="AO45" s="655">
        <f t="shared" si="17"/>
        <v>1.208428341234441</v>
      </c>
    </row>
    <row r="46" spans="1:41" ht="17.45" customHeight="1" x14ac:dyDescent="0.25">
      <c r="A46" s="58" t="str">
        <f t="shared" ref="A46:A52" si="23">IF(J46*100&gt;H$27,"&gt;1%"," ")</f>
        <v>&gt;1%</v>
      </c>
      <c r="C46" s="324"/>
      <c r="D46" s="326">
        <f t="shared" si="20"/>
        <v>6</v>
      </c>
      <c r="E46" s="845" t="s">
        <v>394</v>
      </c>
      <c r="F46" s="731">
        <v>141212</v>
      </c>
      <c r="G46" s="881">
        <v>0</v>
      </c>
      <c r="H46" s="882"/>
      <c r="I46" s="882"/>
      <c r="J46" s="289">
        <f t="shared" si="0"/>
        <v>7.2055489850479191E-3</v>
      </c>
      <c r="K46" s="292">
        <f t="shared" si="1"/>
        <v>0</v>
      </c>
      <c r="L46" s="330" t="str">
        <f t="shared" si="21"/>
        <v xml:space="preserve"> </v>
      </c>
      <c r="M46" s="331"/>
      <c r="N46" s="198"/>
      <c r="O46" s="779" t="str">
        <f t="shared" si="2"/>
        <v>Peoples Party</v>
      </c>
      <c r="P46" s="846"/>
      <c r="Q46" s="706">
        <f t="shared" si="18"/>
        <v>0</v>
      </c>
      <c r="R46" s="709">
        <f t="shared" si="22"/>
        <v>0</v>
      </c>
      <c r="S46" s="710">
        <f t="shared" si="3"/>
        <v>0</v>
      </c>
      <c r="T46" s="724">
        <f t="shared" si="4"/>
        <v>0</v>
      </c>
      <c r="U46" s="833">
        <f t="shared" si="5"/>
        <v>0</v>
      </c>
      <c r="V46" s="782">
        <f t="shared" si="6"/>
        <v>0</v>
      </c>
      <c r="W46" s="618">
        <f t="shared" si="7"/>
        <v>0</v>
      </c>
      <c r="AC46" s="981" t="str">
        <f t="shared" si="8"/>
        <v>Peoples Party</v>
      </c>
      <c r="AD46" s="971"/>
      <c r="AE46" s="792">
        <f t="shared" si="9"/>
        <v>141212</v>
      </c>
      <c r="AF46" s="648">
        <f t="shared" si="10"/>
        <v>7.2055489850479191E-3</v>
      </c>
      <c r="AG46" s="640">
        <f t="shared" si="11"/>
        <v>0</v>
      </c>
      <c r="AH46" s="649">
        <f t="shared" si="12"/>
        <v>0</v>
      </c>
      <c r="AI46" s="650" t="str">
        <f t="shared" si="13"/>
        <v>Excluded</v>
      </c>
      <c r="AJ46" s="651" t="str">
        <f t="shared" si="14"/>
        <v xml:space="preserve"> </v>
      </c>
      <c r="AK46" s="652">
        <f t="shared" si="15"/>
        <v>0</v>
      </c>
      <c r="AL46" s="653">
        <f t="shared" si="16"/>
        <v>0</v>
      </c>
      <c r="AM46" s="654" t="e">
        <f>#REF!</f>
        <v>#REF!</v>
      </c>
      <c r="AN46" s="653" t="e">
        <f t="shared" si="19"/>
        <v>#REF!</v>
      </c>
      <c r="AO46" s="655">
        <f t="shared" si="17"/>
        <v>0</v>
      </c>
    </row>
    <row r="47" spans="1:41" ht="15.75" customHeight="1" x14ac:dyDescent="0.25">
      <c r="A47" s="58" t="str">
        <f t="shared" si="23"/>
        <v>&gt;1%</v>
      </c>
      <c r="C47" s="324"/>
      <c r="D47" s="326">
        <f t="shared" si="20"/>
        <v>7</v>
      </c>
      <c r="E47" s="845" t="s">
        <v>17</v>
      </c>
      <c r="F47" s="731">
        <v>49743</v>
      </c>
      <c r="G47" s="881">
        <v>0</v>
      </c>
      <c r="H47" s="882"/>
      <c r="I47" s="882"/>
      <c r="J47" s="289">
        <f t="shared" si="0"/>
        <v>2.5382093813786271E-3</v>
      </c>
      <c r="K47" s="292">
        <f t="shared" si="1"/>
        <v>0</v>
      </c>
      <c r="L47" s="330" t="str">
        <f t="shared" si="21"/>
        <v xml:space="preserve"> </v>
      </c>
      <c r="M47" s="331"/>
      <c r="N47" s="198"/>
      <c r="O47" s="779" t="str">
        <f t="shared" si="2"/>
        <v>Other parties</v>
      </c>
      <c r="P47" s="846"/>
      <c r="Q47" s="706">
        <f t="shared" si="18"/>
        <v>0</v>
      </c>
      <c r="R47" s="709">
        <f t="shared" si="22"/>
        <v>0</v>
      </c>
      <c r="S47" s="710">
        <f t="shared" si="3"/>
        <v>0</v>
      </c>
      <c r="T47" s="724">
        <f t="shared" si="4"/>
        <v>0</v>
      </c>
      <c r="U47" s="833">
        <f t="shared" si="5"/>
        <v>0</v>
      </c>
      <c r="V47" s="782">
        <f t="shared" si="6"/>
        <v>0</v>
      </c>
      <c r="W47" s="618">
        <f t="shared" si="7"/>
        <v>0</v>
      </c>
      <c r="AC47" s="981" t="str">
        <f t="shared" si="8"/>
        <v>Other parties</v>
      </c>
      <c r="AD47" s="971"/>
      <c r="AE47" s="792">
        <f t="shared" si="9"/>
        <v>49743</v>
      </c>
      <c r="AF47" s="648">
        <f t="shared" si="10"/>
        <v>2.5382093813786271E-3</v>
      </c>
      <c r="AG47" s="640">
        <f t="shared" si="11"/>
        <v>0</v>
      </c>
      <c r="AH47" s="649">
        <f t="shared" si="12"/>
        <v>0</v>
      </c>
      <c r="AI47" s="650" t="str">
        <f t="shared" si="13"/>
        <v>Excluded</v>
      </c>
      <c r="AJ47" s="651" t="str">
        <f t="shared" si="14"/>
        <v xml:space="preserve"> </v>
      </c>
      <c r="AK47" s="652">
        <f t="shared" si="15"/>
        <v>0</v>
      </c>
      <c r="AL47" s="653">
        <f t="shared" si="16"/>
        <v>0</v>
      </c>
      <c r="AM47" s="654" t="e">
        <f>#REF!</f>
        <v>#REF!</v>
      </c>
      <c r="AN47" s="653" t="e">
        <f t="shared" si="19"/>
        <v>#REF!</v>
      </c>
      <c r="AO47" s="655">
        <f t="shared" si="17"/>
        <v>0</v>
      </c>
    </row>
    <row r="48" spans="1:41" ht="15.75" customHeight="1" x14ac:dyDescent="0.25">
      <c r="A48" s="58" t="str">
        <f t="shared" si="23"/>
        <v xml:space="preserve"> </v>
      </c>
      <c r="C48" s="324"/>
      <c r="D48" s="326">
        <f t="shared" si="20"/>
        <v>8</v>
      </c>
      <c r="E48" s="845"/>
      <c r="F48" s="731"/>
      <c r="G48" s="881"/>
      <c r="H48" s="882"/>
      <c r="I48" s="882"/>
      <c r="J48" s="289">
        <f t="shared" si="0"/>
        <v>0</v>
      </c>
      <c r="K48" s="292">
        <f t="shared" si="1"/>
        <v>0</v>
      </c>
      <c r="L48" s="330" t="str">
        <f t="shared" si="21"/>
        <v xml:space="preserve"> </v>
      </c>
      <c r="M48" s="331"/>
      <c r="N48" s="198"/>
      <c r="O48" s="860" t="str">
        <f t="shared" si="2"/>
        <v xml:space="preserve"> </v>
      </c>
      <c r="P48" s="861"/>
      <c r="Q48" s="706">
        <f t="shared" si="18"/>
        <v>0</v>
      </c>
      <c r="R48" s="709">
        <f t="shared" si="22"/>
        <v>0</v>
      </c>
      <c r="S48" s="710">
        <f t="shared" si="3"/>
        <v>0</v>
      </c>
      <c r="T48" s="724">
        <f t="shared" si="4"/>
        <v>0</v>
      </c>
      <c r="U48" s="833">
        <f t="shared" si="5"/>
        <v>0</v>
      </c>
      <c r="V48" s="782">
        <f t="shared" si="6"/>
        <v>0</v>
      </c>
      <c r="W48" s="618">
        <f t="shared" si="7"/>
        <v>0</v>
      </c>
      <c r="AC48" s="981" t="str">
        <f t="shared" si="8"/>
        <v xml:space="preserve"> </v>
      </c>
      <c r="AD48" s="971"/>
      <c r="AE48" s="792">
        <f t="shared" si="9"/>
        <v>0</v>
      </c>
      <c r="AF48" s="648">
        <f t="shared" si="10"/>
        <v>0</v>
      </c>
      <c r="AG48" s="640">
        <f t="shared" si="11"/>
        <v>0</v>
      </c>
      <c r="AH48" s="649">
        <f t="shared" si="12"/>
        <v>0</v>
      </c>
      <c r="AI48" s="650" t="str">
        <f t="shared" si="13"/>
        <v>Excluded</v>
      </c>
      <c r="AJ48" s="651" t="str">
        <f t="shared" si="14"/>
        <v xml:space="preserve"> </v>
      </c>
      <c r="AK48" s="652">
        <f t="shared" si="15"/>
        <v>0</v>
      </c>
      <c r="AL48" s="653">
        <f t="shared" si="16"/>
        <v>0</v>
      </c>
      <c r="AM48" s="654" t="e">
        <f>#REF!</f>
        <v>#REF!</v>
      </c>
      <c r="AN48" s="653" t="e">
        <f t="shared" si="19"/>
        <v>#REF!</v>
      </c>
      <c r="AO48" s="655">
        <f t="shared" si="17"/>
        <v>0</v>
      </c>
    </row>
    <row r="49" spans="1:41" ht="15.75" customHeight="1" x14ac:dyDescent="0.25">
      <c r="A49" s="58" t="str">
        <f t="shared" si="23"/>
        <v xml:space="preserve"> </v>
      </c>
      <c r="C49" s="324"/>
      <c r="D49" s="326">
        <f t="shared" si="20"/>
        <v>9</v>
      </c>
      <c r="E49" s="845"/>
      <c r="F49" s="731"/>
      <c r="G49" s="881"/>
      <c r="H49" s="882"/>
      <c r="I49" s="882"/>
      <c r="J49" s="289">
        <f t="shared" ref="J49:J52" si="24">IF(F49&gt;0,F49/F$57,0)</f>
        <v>0</v>
      </c>
      <c r="K49" s="292">
        <f t="shared" ref="K49:K52" si="25">IF(G49&gt;0,G49/G$57,0)</f>
        <v>0</v>
      </c>
      <c r="L49" s="330" t="str">
        <f t="shared" si="21"/>
        <v xml:space="preserve"> </v>
      </c>
      <c r="M49" s="331"/>
      <c r="N49" s="198"/>
      <c r="O49" s="860" t="str">
        <f t="shared" ref="O49:O52" si="26">IF(E49=""," ",E49)</f>
        <v xml:space="preserve"> </v>
      </c>
      <c r="P49" s="861"/>
      <c r="Q49" s="706">
        <f t="shared" si="18"/>
        <v>0</v>
      </c>
      <c r="R49" s="709">
        <f t="shared" si="22"/>
        <v>0</v>
      </c>
      <c r="S49" s="710">
        <f t="shared" si="3"/>
        <v>0</v>
      </c>
      <c r="T49" s="724">
        <f t="shared" si="4"/>
        <v>0</v>
      </c>
      <c r="U49" s="833">
        <f t="shared" si="5"/>
        <v>0</v>
      </c>
      <c r="V49" s="782">
        <f t="shared" si="6"/>
        <v>0</v>
      </c>
      <c r="W49" s="618">
        <f t="shared" si="7"/>
        <v>0</v>
      </c>
      <c r="AC49" s="981" t="str">
        <f t="shared" si="8"/>
        <v xml:space="preserve"> </v>
      </c>
      <c r="AD49" s="971"/>
      <c r="AE49" s="792">
        <f t="shared" si="9"/>
        <v>0</v>
      </c>
      <c r="AF49" s="648">
        <f t="shared" si="10"/>
        <v>0</v>
      </c>
      <c r="AG49" s="640">
        <f t="shared" si="11"/>
        <v>0</v>
      </c>
      <c r="AH49" s="649">
        <f t="shared" si="12"/>
        <v>0</v>
      </c>
      <c r="AI49" s="650" t="str">
        <f t="shared" si="13"/>
        <v>Excluded</v>
      </c>
      <c r="AJ49" s="651" t="str">
        <f t="shared" si="14"/>
        <v xml:space="preserve"> </v>
      </c>
      <c r="AK49" s="652">
        <f t="shared" si="15"/>
        <v>0</v>
      </c>
      <c r="AL49" s="653">
        <f t="shared" si="16"/>
        <v>0</v>
      </c>
      <c r="AM49" s="654" t="e">
        <f>#REF!</f>
        <v>#REF!</v>
      </c>
      <c r="AN49" s="653" t="e">
        <f t="shared" si="19"/>
        <v>#REF!</v>
      </c>
      <c r="AO49" s="655">
        <f t="shared" si="17"/>
        <v>0</v>
      </c>
    </row>
    <row r="50" spans="1:41" ht="15.75" customHeight="1" x14ac:dyDescent="0.25">
      <c r="A50" s="58" t="str">
        <f t="shared" si="23"/>
        <v xml:space="preserve"> </v>
      </c>
      <c r="C50" s="324"/>
      <c r="D50" s="326">
        <f t="shared" si="20"/>
        <v>10</v>
      </c>
      <c r="E50" s="845"/>
      <c r="F50" s="731"/>
      <c r="G50" s="881"/>
      <c r="H50" s="882"/>
      <c r="I50" s="882"/>
      <c r="J50" s="289">
        <f t="shared" si="24"/>
        <v>0</v>
      </c>
      <c r="K50" s="292">
        <f t="shared" si="25"/>
        <v>0</v>
      </c>
      <c r="L50" s="330" t="str">
        <f t="shared" si="21"/>
        <v xml:space="preserve"> </v>
      </c>
      <c r="M50" s="331"/>
      <c r="N50" s="198"/>
      <c r="O50" s="860" t="str">
        <f t="shared" si="26"/>
        <v xml:space="preserve"> </v>
      </c>
      <c r="P50" s="861"/>
      <c r="Q50" s="706">
        <f t="shared" si="18"/>
        <v>0</v>
      </c>
      <c r="R50" s="709">
        <f t="shared" si="22"/>
        <v>0</v>
      </c>
      <c r="S50" s="710">
        <f t="shared" si="3"/>
        <v>0</v>
      </c>
      <c r="T50" s="724">
        <f t="shared" si="4"/>
        <v>0</v>
      </c>
      <c r="U50" s="833">
        <f t="shared" si="5"/>
        <v>0</v>
      </c>
      <c r="V50" s="782">
        <f t="shared" si="6"/>
        <v>0</v>
      </c>
      <c r="W50" s="618">
        <f t="shared" si="7"/>
        <v>0</v>
      </c>
      <c r="AC50" s="981" t="str">
        <f t="shared" si="8"/>
        <v xml:space="preserve"> </v>
      </c>
      <c r="AD50" s="971"/>
      <c r="AE50" s="792">
        <f t="shared" si="9"/>
        <v>0</v>
      </c>
      <c r="AF50" s="648">
        <f t="shared" si="10"/>
        <v>0</v>
      </c>
      <c r="AG50" s="640">
        <f t="shared" si="11"/>
        <v>0</v>
      </c>
      <c r="AH50" s="649">
        <f t="shared" si="12"/>
        <v>0</v>
      </c>
      <c r="AI50" s="650" t="str">
        <f t="shared" si="13"/>
        <v>Excluded</v>
      </c>
      <c r="AJ50" s="651" t="str">
        <f t="shared" si="14"/>
        <v xml:space="preserve"> </v>
      </c>
      <c r="AK50" s="652">
        <f t="shared" si="15"/>
        <v>0</v>
      </c>
      <c r="AL50" s="653">
        <f t="shared" si="16"/>
        <v>0</v>
      </c>
      <c r="AM50" s="654" t="e">
        <f>#REF!</f>
        <v>#REF!</v>
      </c>
      <c r="AN50" s="653" t="e">
        <f t="shared" si="19"/>
        <v>#REF!</v>
      </c>
      <c r="AO50" s="655">
        <f t="shared" si="17"/>
        <v>0</v>
      </c>
    </row>
    <row r="51" spans="1:41" ht="15.75" customHeight="1" x14ac:dyDescent="0.25">
      <c r="A51" s="58" t="str">
        <f t="shared" si="23"/>
        <v xml:space="preserve"> </v>
      </c>
      <c r="C51" s="324"/>
      <c r="D51" s="326">
        <f t="shared" si="20"/>
        <v>11</v>
      </c>
      <c r="E51" s="845"/>
      <c r="F51" s="731"/>
      <c r="G51" s="881"/>
      <c r="H51" s="882"/>
      <c r="I51" s="882"/>
      <c r="J51" s="289">
        <f t="shared" si="24"/>
        <v>0</v>
      </c>
      <c r="K51" s="292">
        <f t="shared" si="25"/>
        <v>0</v>
      </c>
      <c r="L51" s="330" t="str">
        <f t="shared" si="21"/>
        <v xml:space="preserve"> </v>
      </c>
      <c r="M51" s="331"/>
      <c r="N51" s="198"/>
      <c r="O51" s="860" t="str">
        <f t="shared" si="26"/>
        <v xml:space="preserve"> </v>
      </c>
      <c r="P51" s="861"/>
      <c r="Q51" s="706">
        <f t="shared" si="18"/>
        <v>0</v>
      </c>
      <c r="R51" s="709">
        <f t="shared" si="22"/>
        <v>0</v>
      </c>
      <c r="S51" s="710">
        <f t="shared" si="3"/>
        <v>0</v>
      </c>
      <c r="T51" s="724">
        <f t="shared" si="4"/>
        <v>0</v>
      </c>
      <c r="U51" s="833">
        <f t="shared" si="5"/>
        <v>0</v>
      </c>
      <c r="V51" s="782">
        <f t="shared" si="6"/>
        <v>0</v>
      </c>
      <c r="W51" s="618">
        <f t="shared" si="7"/>
        <v>0</v>
      </c>
      <c r="AC51" s="981" t="str">
        <f t="shared" si="8"/>
        <v xml:space="preserve"> </v>
      </c>
      <c r="AD51" s="971"/>
      <c r="AE51" s="792">
        <f t="shared" si="9"/>
        <v>0</v>
      </c>
      <c r="AF51" s="648">
        <f t="shared" si="10"/>
        <v>0</v>
      </c>
      <c r="AG51" s="640">
        <f t="shared" si="11"/>
        <v>0</v>
      </c>
      <c r="AH51" s="649">
        <f t="shared" si="12"/>
        <v>0</v>
      </c>
      <c r="AI51" s="650" t="str">
        <f t="shared" si="13"/>
        <v>Excluded</v>
      </c>
      <c r="AJ51" s="651" t="str">
        <f t="shared" si="14"/>
        <v xml:space="preserve"> </v>
      </c>
      <c r="AK51" s="652">
        <f t="shared" si="15"/>
        <v>0</v>
      </c>
      <c r="AL51" s="653">
        <f t="shared" si="16"/>
        <v>0</v>
      </c>
      <c r="AM51" s="654" t="e">
        <f>#REF!</f>
        <v>#REF!</v>
      </c>
      <c r="AN51" s="653" t="e">
        <f t="shared" si="19"/>
        <v>#REF!</v>
      </c>
      <c r="AO51" s="655">
        <f t="shared" si="17"/>
        <v>0</v>
      </c>
    </row>
    <row r="52" spans="1:41" ht="16.5" customHeight="1" thickBot="1" x14ac:dyDescent="0.3">
      <c r="A52" s="58" t="str">
        <f t="shared" si="23"/>
        <v xml:space="preserve"> </v>
      </c>
      <c r="C52" s="324"/>
      <c r="D52" s="326">
        <f t="shared" si="20"/>
        <v>12</v>
      </c>
      <c r="E52" s="845"/>
      <c r="F52" s="733"/>
      <c r="G52" s="914"/>
      <c r="H52" s="915"/>
      <c r="I52" s="915"/>
      <c r="J52" s="289">
        <f t="shared" si="24"/>
        <v>0</v>
      </c>
      <c r="K52" s="292">
        <f t="shared" si="25"/>
        <v>0</v>
      </c>
      <c r="L52" s="330" t="str">
        <f t="shared" si="21"/>
        <v xml:space="preserve"> </v>
      </c>
      <c r="M52" s="331"/>
      <c r="N52" s="198"/>
      <c r="O52" s="860" t="str">
        <f t="shared" si="26"/>
        <v xml:space="preserve"> </v>
      </c>
      <c r="P52" s="861"/>
      <c r="Q52" s="761">
        <f t="shared" si="18"/>
        <v>0</v>
      </c>
      <c r="R52" s="709">
        <f t="shared" si="22"/>
        <v>0</v>
      </c>
      <c r="S52" s="711">
        <f t="shared" si="3"/>
        <v>0</v>
      </c>
      <c r="T52" s="725">
        <f t="shared" si="4"/>
        <v>0</v>
      </c>
      <c r="U52" s="834">
        <f t="shared" si="5"/>
        <v>0</v>
      </c>
      <c r="V52" s="783">
        <f t="shared" si="6"/>
        <v>0</v>
      </c>
      <c r="W52" s="762">
        <f t="shared" si="7"/>
        <v>0</v>
      </c>
      <c r="AC52" s="981" t="str">
        <f t="shared" si="8"/>
        <v xml:space="preserve"> </v>
      </c>
      <c r="AD52" s="971"/>
      <c r="AE52" s="792">
        <f t="shared" si="9"/>
        <v>0</v>
      </c>
      <c r="AF52" s="656">
        <f t="shared" si="10"/>
        <v>0</v>
      </c>
      <c r="AG52" s="640">
        <f t="shared" si="11"/>
        <v>0</v>
      </c>
      <c r="AH52" s="657">
        <f t="shared" si="12"/>
        <v>0</v>
      </c>
      <c r="AI52" s="658" t="str">
        <f t="shared" si="13"/>
        <v>Excluded</v>
      </c>
      <c r="AJ52" s="659" t="str">
        <f t="shared" si="14"/>
        <v xml:space="preserve"> </v>
      </c>
      <c r="AK52" s="660">
        <f t="shared" si="15"/>
        <v>0</v>
      </c>
      <c r="AL52" s="661">
        <f t="shared" si="16"/>
        <v>0</v>
      </c>
      <c r="AM52" s="662" t="e">
        <f>#REF!</f>
        <v>#REF!</v>
      </c>
      <c r="AN52" s="661" t="e">
        <f t="shared" si="19"/>
        <v>#REF!</v>
      </c>
      <c r="AO52" s="663">
        <f t="shared" si="17"/>
        <v>0</v>
      </c>
    </row>
    <row r="53" spans="1:41" ht="24.75" customHeight="1" thickTop="1" thickBot="1" x14ac:dyDescent="0.25">
      <c r="C53" s="302"/>
      <c r="D53" s="320"/>
      <c r="E53" s="836" t="s">
        <v>4</v>
      </c>
      <c r="F53" s="849">
        <f>SUM(F41:F52)</f>
        <v>19556274</v>
      </c>
      <c r="G53" s="922">
        <f>SUM(G41:I52)</f>
        <v>343</v>
      </c>
      <c r="H53" s="923"/>
      <c r="I53" s="924"/>
      <c r="J53" s="293">
        <f>SUM(J41:J52)</f>
        <v>0.99788750440485952</v>
      </c>
      <c r="K53" s="536">
        <f>SUM(K41:K52)</f>
        <v>0.99999999999999989</v>
      </c>
      <c r="L53" s="298"/>
      <c r="M53" s="303"/>
      <c r="N53" s="53"/>
      <c r="O53" s="862" t="s">
        <v>4</v>
      </c>
      <c r="P53" s="863"/>
      <c r="Q53" s="718">
        <f>SUM(Q41:Q52)</f>
        <v>343</v>
      </c>
      <c r="R53" s="719">
        <f>SUM(R41:R52)</f>
        <v>18</v>
      </c>
      <c r="S53" s="720">
        <f t="shared" si="3"/>
        <v>361</v>
      </c>
      <c r="T53" s="726">
        <f>SUM(T41:T52)</f>
        <v>1</v>
      </c>
      <c r="U53" s="721">
        <f>F193</f>
        <v>382.14181254524647</v>
      </c>
      <c r="V53" s="722">
        <f>SUM(V41:V52)</f>
        <v>1</v>
      </c>
      <c r="W53" s="123">
        <f>U53/S53</f>
        <v>1.0585645776876633</v>
      </c>
      <c r="AC53" s="968" t="s">
        <v>4</v>
      </c>
      <c r="AD53" s="969"/>
      <c r="AE53" s="794">
        <f>SUM(AE41:AE52)</f>
        <v>19556274</v>
      </c>
      <c r="AF53" s="664">
        <f t="shared" si="10"/>
        <v>0.99788750440485952</v>
      </c>
      <c r="AG53" s="665">
        <f t="shared" si="11"/>
        <v>0.99999999999999989</v>
      </c>
      <c r="AH53" s="666">
        <f t="shared" si="12"/>
        <v>343</v>
      </c>
      <c r="AI53" s="679">
        <f>AG53/AF53</f>
        <v>1.0021169676800394</v>
      </c>
      <c r="AJ53" s="89"/>
      <c r="AK53" s="667">
        <f t="shared" si="15"/>
        <v>382.14181254524647</v>
      </c>
      <c r="AL53" s="606">
        <f t="shared" ref="AL53:AN53" si="27">SUM(AL41:AL52)</f>
        <v>18</v>
      </c>
      <c r="AM53" s="606" t="e">
        <f t="shared" si="27"/>
        <v>#REF!</v>
      </c>
      <c r="AN53" s="606" t="e">
        <f t="shared" si="27"/>
        <v>#REF!</v>
      </c>
      <c r="AO53" s="668">
        <f t="shared" si="17"/>
        <v>1.0585645776876633</v>
      </c>
    </row>
    <row r="54" spans="1:41" ht="21.75" customHeight="1" thickTop="1" thickBot="1" x14ac:dyDescent="0.25">
      <c r="C54" s="302"/>
      <c r="D54" s="320"/>
      <c r="E54" s="838" t="s">
        <v>0</v>
      </c>
      <c r="F54" s="850"/>
      <c r="G54" s="894"/>
      <c r="H54" s="894"/>
      <c r="I54" s="894"/>
      <c r="J54" s="334"/>
      <c r="K54" s="335"/>
      <c r="L54" s="298"/>
      <c r="M54" s="303"/>
      <c r="N54" s="53"/>
      <c r="S54" s="73"/>
      <c r="W54" s="122" t="s">
        <v>183</v>
      </c>
      <c r="AC54" s="970" t="s">
        <v>361</v>
      </c>
      <c r="AD54" s="971"/>
      <c r="AE54" s="793">
        <f>F55</f>
        <v>0</v>
      </c>
      <c r="AF54" s="669">
        <f>J55</f>
        <v>0</v>
      </c>
      <c r="AG54" s="670">
        <f>K55</f>
        <v>0</v>
      </c>
      <c r="AH54" s="672">
        <f>G55</f>
        <v>0</v>
      </c>
      <c r="AI54" s="248"/>
      <c r="AJ54" s="673"/>
      <c r="AK54" s="248">
        <f>I195</f>
        <v>1.0585645776876633</v>
      </c>
      <c r="AL54" s="674" t="s">
        <v>363</v>
      </c>
      <c r="AM54" s="675" t="s">
        <v>363</v>
      </c>
      <c r="AN54" s="674">
        <f>AH54</f>
        <v>0</v>
      </c>
      <c r="AO54" s="676">
        <f>I195</f>
        <v>1.0585645776876633</v>
      </c>
    </row>
    <row r="55" spans="1:41" ht="19.5" customHeight="1" thickTop="1" thickBot="1" x14ac:dyDescent="0.25">
      <c r="C55" s="302"/>
      <c r="D55" s="320"/>
      <c r="E55" s="839" t="s">
        <v>252</v>
      </c>
      <c r="F55" s="851">
        <v>0</v>
      </c>
      <c r="G55" s="1066">
        <v>0</v>
      </c>
      <c r="H55" s="1067"/>
      <c r="I55" s="1068"/>
      <c r="J55" s="551">
        <f>F55/F$57</f>
        <v>0</v>
      </c>
      <c r="K55" s="552">
        <f>G55/G$57</f>
        <v>0</v>
      </c>
      <c r="L55" s="332"/>
      <c r="M55" s="331"/>
      <c r="N55" s="198"/>
      <c r="O55" s="622" t="s">
        <v>273</v>
      </c>
      <c r="P55" s="847"/>
      <c r="Q55" s="759">
        <f>G195</f>
        <v>0</v>
      </c>
      <c r="R55" s="760">
        <v>0</v>
      </c>
      <c r="S55" s="712">
        <f>G195</f>
        <v>0</v>
      </c>
      <c r="U55" s="619">
        <f>S55*I195</f>
        <v>0</v>
      </c>
      <c r="V55" s="620">
        <f>IF(U55="Excluded",0,U55/U$56)</f>
        <v>0</v>
      </c>
      <c r="AC55" s="972" t="s">
        <v>3</v>
      </c>
      <c r="AD55" s="973"/>
      <c r="AE55" s="795">
        <f>AE54+AE53</f>
        <v>19556274</v>
      </c>
      <c r="AF55" s="671">
        <f>AF54+AF53</f>
        <v>0.99788750440485952</v>
      </c>
      <c r="AG55" s="636">
        <f>AG54+AG53</f>
        <v>0.99999999999999989</v>
      </c>
      <c r="AH55" s="93">
        <f>AH54+AH53</f>
        <v>343</v>
      </c>
      <c r="AI55" s="638">
        <f>AG55/AF55</f>
        <v>1.0021169676800394</v>
      </c>
      <c r="AJ55" s="637"/>
      <c r="AK55" s="678">
        <f t="shared" ref="AK55:AN55" si="28">AK54+AK53</f>
        <v>383.20037712293413</v>
      </c>
      <c r="AL55" s="93">
        <f>AL53</f>
        <v>18</v>
      </c>
      <c r="AM55" s="93" t="e">
        <f>AM53</f>
        <v>#REF!</v>
      </c>
      <c r="AN55" s="93" t="e">
        <f t="shared" si="28"/>
        <v>#REF!</v>
      </c>
      <c r="AO55" s="677">
        <f>AO53</f>
        <v>1.0585645776876633</v>
      </c>
    </row>
    <row r="56" spans="1:41" ht="18" customHeight="1" thickTop="1" thickBot="1" x14ac:dyDescent="0.25">
      <c r="C56" s="302"/>
      <c r="D56" s="320"/>
      <c r="E56" s="840" t="s">
        <v>340</v>
      </c>
      <c r="F56" s="852">
        <f>36100+5300</f>
        <v>41400</v>
      </c>
      <c r="G56" s="916">
        <v>0</v>
      </c>
      <c r="H56" s="917"/>
      <c r="I56" s="918"/>
      <c r="J56" s="553">
        <f>F56/F$57</f>
        <v>2.1124955951405252E-3</v>
      </c>
      <c r="K56" s="554">
        <f>G56/G$57</f>
        <v>0</v>
      </c>
      <c r="L56" s="332"/>
      <c r="M56" s="331"/>
      <c r="N56" s="198"/>
      <c r="O56" s="38" t="s">
        <v>3</v>
      </c>
      <c r="P56" s="848"/>
      <c r="Q56" s="714">
        <f>Q55+Q53</f>
        <v>343</v>
      </c>
      <c r="R56" s="715">
        <f>R55+R53</f>
        <v>18</v>
      </c>
      <c r="S56" s="713">
        <f>G197</f>
        <v>361</v>
      </c>
      <c r="T56" s="704">
        <f>T53</f>
        <v>1</v>
      </c>
      <c r="U56" s="124">
        <f>F197</f>
        <v>382.14181254524647</v>
      </c>
      <c r="V56" s="114">
        <f>V53+V55</f>
        <v>1</v>
      </c>
      <c r="AD56" s="681" t="s">
        <v>364</v>
      </c>
    </row>
    <row r="57" spans="1:41" ht="18" customHeight="1" thickTop="1" thickBot="1" x14ac:dyDescent="0.25">
      <c r="C57" s="302"/>
      <c r="D57" s="320"/>
      <c r="E57" s="837" t="s">
        <v>3</v>
      </c>
      <c r="F57" s="853">
        <v>19597674</v>
      </c>
      <c r="G57" s="919">
        <f>G55+G53</f>
        <v>343</v>
      </c>
      <c r="H57" s="920"/>
      <c r="I57" s="921"/>
      <c r="J57" s="40">
        <f>SUM(J53:J56)</f>
        <v>1</v>
      </c>
      <c r="K57" s="41">
        <f>K55+K53</f>
        <v>0.99999999999999989</v>
      </c>
      <c r="L57" s="298"/>
      <c r="M57" s="303"/>
      <c r="N57" s="53"/>
      <c r="O57" s="716" t="str">
        <f>IF(F52/F57&gt;H27,"The total popular vote for Other Parties is greater than the representation threshold.  Please list highest-vote-count parties in this group separately to brng the total for Other Parties below the % for representation."," ")</f>
        <v xml:space="preserve"> </v>
      </c>
      <c r="P57" s="716"/>
      <c r="Q57" s="717"/>
      <c r="AD57" s="681" t="s">
        <v>358</v>
      </c>
      <c r="AG57" s="125"/>
    </row>
    <row r="58" spans="1:41" ht="18.75" customHeight="1" thickTop="1" x14ac:dyDescent="0.2">
      <c r="C58" s="302"/>
      <c r="D58" s="320"/>
      <c r="E58" s="736" t="s">
        <v>400</v>
      </c>
      <c r="F58" s="628"/>
      <c r="G58" s="628"/>
      <c r="H58" s="628"/>
      <c r="I58" s="628"/>
      <c r="J58" s="628"/>
      <c r="K58" s="737">
        <f>H27</f>
        <v>0.02</v>
      </c>
      <c r="L58" s="298"/>
      <c r="M58" s="303"/>
      <c r="N58" s="53"/>
      <c r="O58" s="716"/>
      <c r="P58" s="716"/>
      <c r="Q58" s="717"/>
      <c r="S58" s="879" t="s">
        <v>397</v>
      </c>
      <c r="T58" s="874"/>
      <c r="U58" s="874"/>
      <c r="AB58" s="125"/>
    </row>
    <row r="59" spans="1:41" ht="20.25" customHeight="1" thickBot="1" x14ac:dyDescent="0.3">
      <c r="C59" s="321"/>
      <c r="D59" s="322"/>
      <c r="E59" s="738" t="s">
        <v>401</v>
      </c>
      <c r="F59" s="364"/>
      <c r="G59" s="797"/>
      <c r="H59" s="364"/>
      <c r="I59" s="364"/>
      <c r="J59" s="364"/>
      <c r="K59" s="364"/>
      <c r="L59" s="322"/>
      <c r="M59" s="323"/>
      <c r="N59" s="55"/>
      <c r="O59" s="775"/>
      <c r="P59" s="775"/>
      <c r="Q59" s="717"/>
      <c r="R59" s="605"/>
      <c r="S59" s="874"/>
      <c r="T59" s="874"/>
      <c r="U59" s="874"/>
      <c r="AB59" s="125"/>
    </row>
    <row r="60" spans="1:41" ht="16.5" customHeight="1" thickTop="1" x14ac:dyDescent="0.25">
      <c r="C60" s="107"/>
      <c r="D60" s="54"/>
      <c r="E60" s="824" t="s">
        <v>481</v>
      </c>
      <c r="F60" s="796"/>
      <c r="I60" s="630"/>
      <c r="K60" s="629"/>
      <c r="L60" s="629"/>
      <c r="M60" s="629"/>
      <c r="N60" s="629"/>
      <c r="O60" s="716"/>
      <c r="P60" s="716"/>
      <c r="Q60" s="717"/>
      <c r="R60" s="605"/>
      <c r="T60" s="141">
        <f>U56/2+0.01</f>
        <v>191.08090627262322</v>
      </c>
      <c r="U60" s="115" t="s">
        <v>156</v>
      </c>
    </row>
    <row r="61" spans="1:41" ht="16.5" customHeight="1" x14ac:dyDescent="0.2">
      <c r="C61" s="6"/>
      <c r="D61" s="5"/>
      <c r="I61" s="629"/>
      <c r="J61" s="629"/>
      <c r="K61" s="629"/>
      <c r="L61" s="629"/>
      <c r="M61" s="629"/>
      <c r="N61" s="629"/>
      <c r="O61" s="623"/>
      <c r="P61" s="623"/>
      <c r="Q61" s="624"/>
      <c r="R61" s="605"/>
      <c r="T61" s="60">
        <f>(S56-G57)/G57</f>
        <v>5.2478134110787174E-2</v>
      </c>
      <c r="U61" s="588" t="s">
        <v>322</v>
      </c>
      <c r="Y61" s="152" t="s">
        <v>290</v>
      </c>
      <c r="Z61" s="153">
        <f>SUM(T41:T52)</f>
        <v>1</v>
      </c>
    </row>
    <row r="62" spans="1:41" ht="16.5" customHeight="1" x14ac:dyDescent="0.3">
      <c r="C62" s="6"/>
      <c r="D62" s="556" t="s">
        <v>316</v>
      </c>
      <c r="J62" s="555"/>
      <c r="K62" s="5"/>
      <c r="L62" s="5"/>
      <c r="M62" s="5"/>
      <c r="N62" s="5"/>
      <c r="O62" s="975" t="str">
        <f>IF(G52&gt;0,"ALL PARTIES THAT ELECT A CANDIDATE MUST BE LISTED SEPARATELY."," ")</f>
        <v xml:space="preserve"> </v>
      </c>
      <c r="P62" s="975"/>
      <c r="Q62" s="975"/>
      <c r="T62" s="60"/>
      <c r="U62" s="45"/>
    </row>
    <row r="63" spans="1:41" ht="16.5" customHeight="1" thickBot="1" x14ac:dyDescent="0.25">
      <c r="C63" s="6"/>
      <c r="D63" s="5"/>
      <c r="J63" s="555"/>
      <c r="K63" s="5"/>
      <c r="L63" s="5"/>
      <c r="M63" s="5"/>
      <c r="N63" s="5"/>
      <c r="O63" s="975"/>
      <c r="P63" s="975"/>
      <c r="Q63" s="975"/>
      <c r="T63" s="60"/>
      <c r="U63" s="45"/>
    </row>
    <row r="64" spans="1:41" ht="9" customHeight="1" thickTop="1" x14ac:dyDescent="0.2">
      <c r="C64" s="301"/>
      <c r="D64" s="344"/>
      <c r="E64" s="327"/>
      <c r="F64" s="327"/>
      <c r="G64" s="327"/>
      <c r="H64" s="327"/>
      <c r="I64" s="327"/>
      <c r="J64" s="345"/>
      <c r="K64" s="344"/>
      <c r="L64" s="346"/>
      <c r="O64" s="976"/>
      <c r="P64" s="976"/>
      <c r="Q64" s="976"/>
    </row>
    <row r="65" spans="3:34" ht="60.75" customHeight="1" x14ac:dyDescent="0.2">
      <c r="C65" s="302"/>
      <c r="D65" s="887" t="s">
        <v>445</v>
      </c>
      <c r="E65" s="888"/>
      <c r="F65" s="888"/>
      <c r="G65" s="888"/>
      <c r="H65" s="888"/>
      <c r="I65" s="888"/>
      <c r="J65" s="888"/>
      <c r="K65" s="888"/>
      <c r="L65" s="347"/>
      <c r="O65" s="542"/>
      <c r="P65" s="542"/>
      <c r="S65" s="5"/>
    </row>
    <row r="66" spans="3:34" ht="7.5" customHeight="1" thickBot="1" x14ac:dyDescent="0.25">
      <c r="C66" s="321"/>
      <c r="D66" s="322"/>
      <c r="E66" s="322"/>
      <c r="F66" s="322"/>
      <c r="G66" s="322"/>
      <c r="H66" s="322"/>
      <c r="I66" s="322"/>
      <c r="J66" s="322"/>
      <c r="K66" s="322"/>
      <c r="L66" s="323"/>
      <c r="O66" s="5"/>
      <c r="P66" s="5"/>
      <c r="Q66" s="5"/>
    </row>
    <row r="67" spans="3:34" ht="15" customHeight="1" thickTop="1" thickBot="1" x14ac:dyDescent="0.25">
      <c r="C67" s="108"/>
      <c r="D67" s="109"/>
      <c r="E67" s="109"/>
      <c r="F67" s="109"/>
      <c r="G67" s="109"/>
      <c r="H67" s="109"/>
      <c r="I67" s="109"/>
      <c r="J67" s="109"/>
      <c r="K67" s="109"/>
      <c r="L67" s="109"/>
      <c r="M67" s="5"/>
      <c r="N67" s="5"/>
    </row>
    <row r="68" spans="3:34" ht="11.25" customHeight="1" thickTop="1" x14ac:dyDescent="0.2">
      <c r="C68" s="301"/>
      <c r="D68" s="344"/>
      <c r="E68" s="344"/>
      <c r="F68" s="344"/>
      <c r="G68" s="344"/>
      <c r="H68" s="344"/>
      <c r="I68" s="344"/>
      <c r="J68" s="344"/>
      <c r="K68" s="344"/>
      <c r="L68" s="346"/>
      <c r="M68" s="55"/>
    </row>
    <row r="69" spans="3:34" ht="21" customHeight="1" x14ac:dyDescent="0.2">
      <c r="C69" s="302"/>
      <c r="D69" s="348" t="s">
        <v>19</v>
      </c>
      <c r="E69" s="320"/>
      <c r="F69" s="320"/>
      <c r="G69" s="320"/>
      <c r="H69" s="320"/>
      <c r="I69" s="320"/>
      <c r="J69" s="320"/>
      <c r="K69" s="320"/>
      <c r="L69" s="349"/>
      <c r="M69" s="55"/>
      <c r="Z69" s="117" t="s">
        <v>2</v>
      </c>
      <c r="AG69" s="163"/>
      <c r="AH69" s="163"/>
    </row>
    <row r="70" spans="3:34" ht="17.25" customHeight="1" x14ac:dyDescent="0.2">
      <c r="C70" s="302"/>
      <c r="D70" s="933" t="s">
        <v>416</v>
      </c>
      <c r="E70" s="934"/>
      <c r="F70" s="934"/>
      <c r="G70" s="934"/>
      <c r="H70" s="831">
        <f>H27</f>
        <v>0.02</v>
      </c>
      <c r="I70" s="314" t="s">
        <v>417</v>
      </c>
      <c r="J70" s="320"/>
      <c r="K70" s="320"/>
      <c r="L70" s="349"/>
      <c r="M70" s="55"/>
      <c r="AA70" s="163" t="s">
        <v>193</v>
      </c>
      <c r="AB70" s="163"/>
      <c r="AC70" s="163"/>
      <c r="AD70" s="163"/>
      <c r="AE70" s="163"/>
      <c r="AF70" s="163"/>
      <c r="AG70" s="163"/>
      <c r="AH70" s="163"/>
    </row>
    <row r="71" spans="3:34" ht="15.75" customHeight="1" x14ac:dyDescent="0.2">
      <c r="C71" s="302"/>
      <c r="D71" s="931" t="s">
        <v>461</v>
      </c>
      <c r="E71" s="932"/>
      <c r="F71" s="932"/>
      <c r="G71" s="932"/>
      <c r="H71" s="932"/>
      <c r="I71" s="932"/>
      <c r="J71" s="932"/>
      <c r="K71" s="932"/>
      <c r="L71" s="303"/>
      <c r="M71" s="53"/>
      <c r="Y71" s="163"/>
      <c r="AA71" s="163" t="s">
        <v>311</v>
      </c>
      <c r="AB71" s="163"/>
      <c r="AC71" s="163"/>
      <c r="AD71" s="163"/>
      <c r="AE71" s="163"/>
      <c r="AF71" s="568">
        <f>H27</f>
        <v>0.02</v>
      </c>
      <c r="AG71" s="163"/>
      <c r="AH71" s="165">
        <f>H32</f>
        <v>0.05</v>
      </c>
    </row>
    <row r="72" spans="3:34" ht="15.75" customHeight="1" x14ac:dyDescent="0.2">
      <c r="C72" s="302"/>
      <c r="D72" s="571" t="s">
        <v>418</v>
      </c>
      <c r="E72" s="298"/>
      <c r="F72" s="298"/>
      <c r="G72" s="298"/>
      <c r="H72" s="298"/>
      <c r="I72" s="298"/>
      <c r="J72" s="298"/>
      <c r="K72" s="298"/>
      <c r="L72" s="303"/>
      <c r="M72" s="53"/>
      <c r="Y72" s="163"/>
      <c r="Z72" s="166"/>
      <c r="AA72" s="164"/>
      <c r="AB72" s="166"/>
      <c r="AC72" s="965" t="s">
        <v>312</v>
      </c>
      <c r="AD72" s="163"/>
      <c r="AE72" s="163"/>
      <c r="AF72" s="163"/>
      <c r="AG72" s="163"/>
      <c r="AH72" s="163"/>
    </row>
    <row r="73" spans="3:34" ht="8.25" customHeight="1" thickBot="1" x14ac:dyDescent="0.25">
      <c r="C73" s="302"/>
      <c r="D73" s="571"/>
      <c r="E73" s="298"/>
      <c r="F73" s="298"/>
      <c r="G73" s="298"/>
      <c r="H73" s="298"/>
      <c r="I73" s="298"/>
      <c r="J73" s="298"/>
      <c r="K73" s="298"/>
      <c r="L73" s="303"/>
      <c r="M73" s="53"/>
      <c r="Y73" s="163"/>
      <c r="Z73" s="166"/>
      <c r="AA73" s="164"/>
      <c r="AB73" s="166"/>
      <c r="AC73" s="965"/>
      <c r="AD73" s="163"/>
      <c r="AE73" s="163"/>
      <c r="AF73" s="163"/>
      <c r="AG73" s="163"/>
      <c r="AH73" s="163"/>
    </row>
    <row r="74" spans="3:34" ht="51.75" customHeight="1" thickTop="1" thickBot="1" x14ac:dyDescent="0.25">
      <c r="C74" s="302"/>
      <c r="D74" s="320"/>
      <c r="E74" s="841"/>
      <c r="F74" s="82" t="s">
        <v>275</v>
      </c>
      <c r="G74" s="889" t="s">
        <v>191</v>
      </c>
      <c r="H74" s="890"/>
      <c r="I74" s="891"/>
      <c r="J74" s="353" t="s">
        <v>326</v>
      </c>
      <c r="K74" s="320"/>
      <c r="L74" s="349"/>
      <c r="M74" s="55"/>
      <c r="O74" s="1052" t="s">
        <v>446</v>
      </c>
      <c r="P74" s="1052"/>
      <c r="Q74" s="1052"/>
      <c r="Y74" s="167"/>
      <c r="Z74" s="163"/>
      <c r="AA74" s="163"/>
      <c r="AB74" s="168" t="s">
        <v>192</v>
      </c>
      <c r="AC74" s="965"/>
      <c r="AD74" s="168" t="s">
        <v>216</v>
      </c>
      <c r="AE74" s="168" t="s">
        <v>194</v>
      </c>
      <c r="AF74" s="169" t="s">
        <v>315</v>
      </c>
      <c r="AG74" s="168" t="s">
        <v>195</v>
      </c>
    </row>
    <row r="75" spans="3:34" ht="15.75" thickTop="1" x14ac:dyDescent="0.2">
      <c r="C75" s="302"/>
      <c r="D75" s="325">
        <v>1</v>
      </c>
      <c r="E75" s="839" t="str">
        <f t="shared" ref="E75:E86" si="29">E41</f>
        <v>Liberal</v>
      </c>
      <c r="F75" s="854">
        <f t="shared" ref="F75:F82" si="30">IF(AG75&gt;0,AG75,"Excluded")</f>
        <v>8564200</v>
      </c>
      <c r="G75" s="959">
        <f t="shared" ref="G75:G86" si="31">IF(F75="Excluded","Excluded",F75/F$87)</f>
        <v>0.44224419954042588</v>
      </c>
      <c r="H75" s="959"/>
      <c r="I75" s="960"/>
      <c r="J75" s="354">
        <f t="shared" ref="J75:J86" si="32">G41</f>
        <v>169</v>
      </c>
      <c r="K75" s="355" t="str">
        <f t="shared" ref="K75:K86" si="33">IF(J75=0,IF(H$32=0,"No List MNAs allowed"," ")," ")</f>
        <v xml:space="preserve"> </v>
      </c>
      <c r="L75" s="349"/>
      <c r="M75" s="55"/>
      <c r="O75" s="1052"/>
      <c r="P75" s="1052"/>
      <c r="Q75" s="1052"/>
      <c r="Y75" s="170">
        <f t="shared" ref="Y75:Y86" si="34">IF(G75="Excluded",0,G75)</f>
        <v>0.44224419954042588</v>
      </c>
      <c r="Z75" s="163"/>
      <c r="AA75" s="163" t="str">
        <f t="shared" ref="AA75:AA86" si="35">E75</f>
        <v>Liberal</v>
      </c>
      <c r="AB75" s="171">
        <f>IF(J41&lt;$H$27,0,1)</f>
        <v>1</v>
      </c>
      <c r="AC75" s="166">
        <f t="shared" ref="AC75:AC86" si="36">IF(G41&gt;0,1,0)</f>
        <v>1</v>
      </c>
      <c r="AD75" s="166">
        <f t="shared" ref="AD75:AD86" si="37">IF(AC75+AB75=0,0,AC75+AB75)</f>
        <v>2</v>
      </c>
      <c r="AE75" s="163">
        <f t="shared" ref="AE75:AE86" si="38">IF(AD75&gt;0,F41,0)</f>
        <v>8564200</v>
      </c>
      <c r="AF75" s="172">
        <f t="shared" ref="AF75:AF86" si="39">IF($H$32=0,0,1)</f>
        <v>1</v>
      </c>
      <c r="AG75" s="173">
        <f t="shared" ref="AG75:AG86" si="40">IF(AE75=0,"Excluded",AE75)</f>
        <v>8564200</v>
      </c>
    </row>
    <row r="76" spans="3:34" ht="15" x14ac:dyDescent="0.2">
      <c r="C76" s="302"/>
      <c r="D76" s="325">
        <f>1+D75</f>
        <v>2</v>
      </c>
      <c r="E76" s="842" t="str">
        <f t="shared" si="29"/>
        <v>Conservative</v>
      </c>
      <c r="F76" s="855">
        <f t="shared" si="30"/>
        <v>8086051</v>
      </c>
      <c r="G76" s="885">
        <f t="shared" si="31"/>
        <v>0.41755320426170106</v>
      </c>
      <c r="H76" s="885"/>
      <c r="I76" s="886"/>
      <c r="J76" s="354">
        <f t="shared" si="32"/>
        <v>144</v>
      </c>
      <c r="K76" s="355" t="str">
        <f t="shared" si="33"/>
        <v xml:space="preserve"> </v>
      </c>
      <c r="L76" s="349"/>
      <c r="M76" s="55"/>
      <c r="O76" s="1052"/>
      <c r="P76" s="1052"/>
      <c r="Q76" s="1052"/>
      <c r="Y76" s="170">
        <f t="shared" si="34"/>
        <v>0.41755320426170106</v>
      </c>
      <c r="Z76" s="163"/>
      <c r="AA76" s="163" t="str">
        <f t="shared" si="35"/>
        <v>Conservative</v>
      </c>
      <c r="AB76" s="171">
        <f t="shared" ref="AB76:AB86" si="41">IF(J42*1&lt;$H$27,0,1)</f>
        <v>1</v>
      </c>
      <c r="AC76" s="166">
        <f t="shared" si="36"/>
        <v>1</v>
      </c>
      <c r="AD76" s="166">
        <f t="shared" si="37"/>
        <v>2</v>
      </c>
      <c r="AE76" s="163">
        <f t="shared" si="38"/>
        <v>8086051</v>
      </c>
      <c r="AF76" s="172">
        <f t="shared" si="39"/>
        <v>1</v>
      </c>
      <c r="AG76" s="173">
        <f t="shared" si="40"/>
        <v>8086051</v>
      </c>
    </row>
    <row r="77" spans="3:34" ht="15" x14ac:dyDescent="0.2">
      <c r="C77" s="302"/>
      <c r="D77" s="326">
        <f t="shared" ref="D77:D86" si="42">1+D76</f>
        <v>3</v>
      </c>
      <c r="E77" s="842" t="str">
        <f t="shared" si="29"/>
        <v>Bloc Quebecois</v>
      </c>
      <c r="F77" s="855">
        <f t="shared" si="30"/>
        <v>1232853</v>
      </c>
      <c r="G77" s="885">
        <f t="shared" si="31"/>
        <v>6.3662932689102614E-2</v>
      </c>
      <c r="H77" s="885"/>
      <c r="I77" s="886"/>
      <c r="J77" s="354">
        <f t="shared" si="32"/>
        <v>22</v>
      </c>
      <c r="K77" s="355" t="str">
        <f t="shared" si="33"/>
        <v xml:space="preserve"> </v>
      </c>
      <c r="L77" s="349"/>
      <c r="M77" s="55"/>
      <c r="O77" s="1052"/>
      <c r="P77" s="1052"/>
      <c r="Q77" s="1052"/>
      <c r="Y77" s="170">
        <f t="shared" si="34"/>
        <v>6.3662932689102614E-2</v>
      </c>
      <c r="Z77" s="163"/>
      <c r="AA77" s="163" t="str">
        <f t="shared" si="35"/>
        <v>Bloc Quebecois</v>
      </c>
      <c r="AB77" s="171">
        <f t="shared" si="41"/>
        <v>1</v>
      </c>
      <c r="AC77" s="166">
        <f t="shared" si="36"/>
        <v>1</v>
      </c>
      <c r="AD77" s="166">
        <f t="shared" si="37"/>
        <v>2</v>
      </c>
      <c r="AE77" s="163">
        <f t="shared" si="38"/>
        <v>1232853</v>
      </c>
      <c r="AF77" s="172">
        <f t="shared" si="39"/>
        <v>1</v>
      </c>
      <c r="AG77" s="173">
        <f t="shared" si="40"/>
        <v>1232853</v>
      </c>
    </row>
    <row r="78" spans="3:34" ht="15" x14ac:dyDescent="0.2">
      <c r="C78" s="302"/>
      <c r="D78" s="326">
        <f t="shared" si="42"/>
        <v>4</v>
      </c>
      <c r="E78" s="842" t="str">
        <f t="shared" si="29"/>
        <v>NDP</v>
      </c>
      <c r="F78" s="855">
        <f t="shared" si="30"/>
        <v>1237263</v>
      </c>
      <c r="G78" s="885">
        <f t="shared" si="31"/>
        <v>6.3890659379274878E-2</v>
      </c>
      <c r="H78" s="885"/>
      <c r="I78" s="886"/>
      <c r="J78" s="354">
        <f t="shared" si="32"/>
        <v>7</v>
      </c>
      <c r="K78" s="355" t="str">
        <f t="shared" si="33"/>
        <v xml:space="preserve"> </v>
      </c>
      <c r="L78" s="349"/>
      <c r="M78" s="55"/>
      <c r="O78" s="1052"/>
      <c r="P78" s="1052"/>
      <c r="Q78" s="1052"/>
      <c r="Y78" s="170">
        <f t="shared" si="34"/>
        <v>6.3890659379274878E-2</v>
      </c>
      <c r="Z78" s="163"/>
      <c r="AA78" s="163" t="str">
        <f t="shared" si="35"/>
        <v>NDP</v>
      </c>
      <c r="AB78" s="171">
        <f t="shared" si="41"/>
        <v>1</v>
      </c>
      <c r="AC78" s="166">
        <f t="shared" si="36"/>
        <v>1</v>
      </c>
      <c r="AD78" s="166">
        <f t="shared" si="37"/>
        <v>2</v>
      </c>
      <c r="AE78" s="163">
        <f t="shared" si="38"/>
        <v>1237263</v>
      </c>
      <c r="AF78" s="172">
        <f t="shared" si="39"/>
        <v>1</v>
      </c>
      <c r="AG78" s="173">
        <f t="shared" si="40"/>
        <v>1237263</v>
      </c>
    </row>
    <row r="79" spans="3:34" ht="15.75" customHeight="1" x14ac:dyDescent="0.2">
      <c r="C79" s="302"/>
      <c r="D79" s="326">
        <f t="shared" si="42"/>
        <v>5</v>
      </c>
      <c r="E79" s="842" t="str">
        <f t="shared" si="29"/>
        <v>Green</v>
      </c>
      <c r="F79" s="855">
        <f t="shared" si="30"/>
        <v>244952</v>
      </c>
      <c r="G79" s="885">
        <f t="shared" si="31"/>
        <v>1.2649004129495621E-2</v>
      </c>
      <c r="H79" s="885"/>
      <c r="I79" s="886"/>
      <c r="J79" s="354">
        <f t="shared" si="32"/>
        <v>1</v>
      </c>
      <c r="K79" s="355" t="str">
        <f t="shared" si="33"/>
        <v xml:space="preserve"> </v>
      </c>
      <c r="L79" s="349"/>
      <c r="M79" s="55"/>
      <c r="O79" s="1052"/>
      <c r="P79" s="1052"/>
      <c r="Q79" s="1052"/>
      <c r="Y79" s="170">
        <f t="shared" si="34"/>
        <v>1.2649004129495621E-2</v>
      </c>
      <c r="Z79" s="163"/>
      <c r="AA79" s="163" t="str">
        <f t="shared" si="35"/>
        <v>Green</v>
      </c>
      <c r="AB79" s="171">
        <f t="shared" si="41"/>
        <v>0</v>
      </c>
      <c r="AC79" s="166">
        <f t="shared" si="36"/>
        <v>1</v>
      </c>
      <c r="AD79" s="166">
        <f t="shared" si="37"/>
        <v>1</v>
      </c>
      <c r="AE79" s="163">
        <f t="shared" si="38"/>
        <v>244952</v>
      </c>
      <c r="AF79" s="172">
        <f t="shared" si="39"/>
        <v>1</v>
      </c>
      <c r="AG79" s="173">
        <f t="shared" si="40"/>
        <v>244952</v>
      </c>
    </row>
    <row r="80" spans="3:34" ht="15" x14ac:dyDescent="0.2">
      <c r="C80" s="302"/>
      <c r="D80" s="326">
        <f t="shared" si="42"/>
        <v>6</v>
      </c>
      <c r="E80" s="842" t="str">
        <f t="shared" si="29"/>
        <v>Peoples Party</v>
      </c>
      <c r="F80" s="855" t="str">
        <f t="shared" si="30"/>
        <v>Excluded</v>
      </c>
      <c r="G80" s="885" t="str">
        <f t="shared" si="31"/>
        <v>Excluded</v>
      </c>
      <c r="H80" s="885"/>
      <c r="I80" s="886"/>
      <c r="J80" s="354">
        <f t="shared" si="32"/>
        <v>0</v>
      </c>
      <c r="K80" s="355" t="str">
        <f t="shared" si="33"/>
        <v xml:space="preserve"> </v>
      </c>
      <c r="L80" s="349"/>
      <c r="M80" s="55"/>
      <c r="O80" s="976"/>
      <c r="P80" s="976"/>
      <c r="Q80" s="976"/>
      <c r="Y80" s="170">
        <f t="shared" si="34"/>
        <v>0</v>
      </c>
      <c r="Z80" s="163"/>
      <c r="AA80" s="163" t="str">
        <f t="shared" si="35"/>
        <v>Peoples Party</v>
      </c>
      <c r="AB80" s="171">
        <f t="shared" si="41"/>
        <v>0</v>
      </c>
      <c r="AC80" s="166">
        <f t="shared" si="36"/>
        <v>0</v>
      </c>
      <c r="AD80" s="166">
        <f t="shared" si="37"/>
        <v>0</v>
      </c>
      <c r="AE80" s="163">
        <f t="shared" si="38"/>
        <v>0</v>
      </c>
      <c r="AF80" s="172">
        <f t="shared" si="39"/>
        <v>1</v>
      </c>
      <c r="AG80" s="173" t="str">
        <f t="shared" si="40"/>
        <v>Excluded</v>
      </c>
    </row>
    <row r="81" spans="3:37" ht="15" x14ac:dyDescent="0.2">
      <c r="C81" s="302"/>
      <c r="D81" s="326">
        <f t="shared" si="42"/>
        <v>7</v>
      </c>
      <c r="E81" s="842" t="str">
        <f t="shared" si="29"/>
        <v>Other parties</v>
      </c>
      <c r="F81" s="855" t="str">
        <f t="shared" si="30"/>
        <v>Excluded</v>
      </c>
      <c r="G81" s="885" t="str">
        <f t="shared" si="31"/>
        <v>Excluded</v>
      </c>
      <c r="H81" s="885"/>
      <c r="I81" s="886"/>
      <c r="J81" s="354">
        <f t="shared" si="32"/>
        <v>0</v>
      </c>
      <c r="K81" s="355" t="str">
        <f t="shared" si="33"/>
        <v xml:space="preserve"> </v>
      </c>
      <c r="L81" s="349"/>
      <c r="M81" s="55"/>
      <c r="O81" s="5"/>
      <c r="P81" s="5"/>
      <c r="Y81" s="170">
        <f t="shared" si="34"/>
        <v>0</v>
      </c>
      <c r="Z81" s="163"/>
      <c r="AA81" s="163" t="str">
        <f t="shared" si="35"/>
        <v>Other parties</v>
      </c>
      <c r="AB81" s="171">
        <f t="shared" si="41"/>
        <v>0</v>
      </c>
      <c r="AC81" s="166">
        <f t="shared" si="36"/>
        <v>0</v>
      </c>
      <c r="AD81" s="166">
        <f t="shared" si="37"/>
        <v>0</v>
      </c>
      <c r="AE81" s="163">
        <f t="shared" si="38"/>
        <v>0</v>
      </c>
      <c r="AF81" s="172">
        <f t="shared" si="39"/>
        <v>1</v>
      </c>
      <c r="AG81" s="173" t="str">
        <f t="shared" si="40"/>
        <v>Excluded</v>
      </c>
    </row>
    <row r="82" spans="3:37" ht="15" x14ac:dyDescent="0.2">
      <c r="C82" s="302"/>
      <c r="D82" s="326">
        <f t="shared" si="42"/>
        <v>8</v>
      </c>
      <c r="E82" s="842">
        <f t="shared" si="29"/>
        <v>0</v>
      </c>
      <c r="F82" s="855" t="str">
        <f t="shared" si="30"/>
        <v>Excluded</v>
      </c>
      <c r="G82" s="885" t="str">
        <f t="shared" si="31"/>
        <v>Excluded</v>
      </c>
      <c r="H82" s="885"/>
      <c r="I82" s="886"/>
      <c r="J82" s="354">
        <f t="shared" si="32"/>
        <v>0</v>
      </c>
      <c r="K82" s="355" t="str">
        <f t="shared" si="33"/>
        <v xml:space="preserve"> </v>
      </c>
      <c r="L82" s="349"/>
      <c r="M82" s="55"/>
      <c r="O82" s="5"/>
      <c r="P82" s="5"/>
      <c r="Y82" s="170">
        <f t="shared" si="34"/>
        <v>0</v>
      </c>
      <c r="Z82" s="163"/>
      <c r="AA82" s="163">
        <f t="shared" si="35"/>
        <v>0</v>
      </c>
      <c r="AB82" s="171">
        <f t="shared" si="41"/>
        <v>0</v>
      </c>
      <c r="AC82" s="166">
        <f t="shared" si="36"/>
        <v>0</v>
      </c>
      <c r="AD82" s="166">
        <f t="shared" si="37"/>
        <v>0</v>
      </c>
      <c r="AE82" s="163">
        <f t="shared" si="38"/>
        <v>0</v>
      </c>
      <c r="AF82" s="172">
        <f t="shared" si="39"/>
        <v>1</v>
      </c>
      <c r="AG82" s="173" t="str">
        <f t="shared" si="40"/>
        <v>Excluded</v>
      </c>
    </row>
    <row r="83" spans="3:37" ht="15" x14ac:dyDescent="0.2">
      <c r="C83" s="302"/>
      <c r="D83" s="326">
        <f t="shared" si="42"/>
        <v>9</v>
      </c>
      <c r="E83" s="842">
        <f t="shared" si="29"/>
        <v>0</v>
      </c>
      <c r="F83" s="855" t="str">
        <f>IF(D33&gt;0,AG83,"Excluded")</f>
        <v>Excluded</v>
      </c>
      <c r="G83" s="885" t="str">
        <f t="shared" si="31"/>
        <v>Excluded</v>
      </c>
      <c r="H83" s="885"/>
      <c r="I83" s="886"/>
      <c r="J83" s="354">
        <f t="shared" si="32"/>
        <v>0</v>
      </c>
      <c r="K83" s="355" t="str">
        <f t="shared" si="33"/>
        <v xml:space="preserve"> </v>
      </c>
      <c r="L83" s="349"/>
      <c r="M83" s="55"/>
      <c r="O83" s="5"/>
      <c r="P83" s="5"/>
      <c r="Y83" s="170">
        <f t="shared" si="34"/>
        <v>0</v>
      </c>
      <c r="Z83" s="163"/>
      <c r="AA83" s="163">
        <f t="shared" si="35"/>
        <v>0</v>
      </c>
      <c r="AB83" s="171">
        <f t="shared" si="41"/>
        <v>0</v>
      </c>
      <c r="AC83" s="166">
        <f t="shared" si="36"/>
        <v>0</v>
      </c>
      <c r="AD83" s="166">
        <f t="shared" si="37"/>
        <v>0</v>
      </c>
      <c r="AE83" s="163">
        <f t="shared" si="38"/>
        <v>0</v>
      </c>
      <c r="AF83" s="172">
        <f t="shared" si="39"/>
        <v>1</v>
      </c>
      <c r="AG83" s="173" t="str">
        <f t="shared" si="40"/>
        <v>Excluded</v>
      </c>
    </row>
    <row r="84" spans="3:37" ht="15" x14ac:dyDescent="0.2">
      <c r="C84" s="302"/>
      <c r="D84" s="326">
        <f t="shared" si="42"/>
        <v>10</v>
      </c>
      <c r="E84" s="842">
        <f t="shared" si="29"/>
        <v>0</v>
      </c>
      <c r="F84" s="855" t="str">
        <f>IF(AG84&gt;0,AG84,"Excluded")</f>
        <v>Excluded</v>
      </c>
      <c r="G84" s="885" t="str">
        <f t="shared" ref="G84:G85" si="43">IF(F84="Excluded","Excluded",F84/F$87)</f>
        <v>Excluded</v>
      </c>
      <c r="H84" s="885"/>
      <c r="I84" s="886"/>
      <c r="J84" s="354">
        <f t="shared" si="32"/>
        <v>0</v>
      </c>
      <c r="K84" s="355" t="str">
        <f t="shared" si="33"/>
        <v xml:space="preserve"> </v>
      </c>
      <c r="L84" s="349"/>
      <c r="M84" s="55"/>
      <c r="O84" s="5"/>
      <c r="P84" s="5"/>
      <c r="Y84" s="170">
        <f t="shared" si="34"/>
        <v>0</v>
      </c>
      <c r="Z84" s="163"/>
      <c r="AA84" s="163">
        <f t="shared" si="35"/>
        <v>0</v>
      </c>
      <c r="AB84" s="171">
        <f t="shared" si="41"/>
        <v>0</v>
      </c>
      <c r="AC84" s="166">
        <f t="shared" si="36"/>
        <v>0</v>
      </c>
      <c r="AD84" s="166">
        <f t="shared" si="37"/>
        <v>0</v>
      </c>
      <c r="AE84" s="163">
        <f t="shared" si="38"/>
        <v>0</v>
      </c>
      <c r="AF84" s="172">
        <f t="shared" si="39"/>
        <v>1</v>
      </c>
      <c r="AG84" s="173" t="str">
        <f t="shared" si="40"/>
        <v>Excluded</v>
      </c>
    </row>
    <row r="85" spans="3:37" ht="15" x14ac:dyDescent="0.2">
      <c r="C85" s="302"/>
      <c r="D85" s="326">
        <f t="shared" si="42"/>
        <v>11</v>
      </c>
      <c r="E85" s="842">
        <f t="shared" si="29"/>
        <v>0</v>
      </c>
      <c r="F85" s="855" t="str">
        <f>IF(AG85&gt;0,AG85,"Excluded")</f>
        <v>Excluded</v>
      </c>
      <c r="G85" s="885" t="str">
        <f t="shared" si="43"/>
        <v>Excluded</v>
      </c>
      <c r="H85" s="885"/>
      <c r="I85" s="886"/>
      <c r="J85" s="354">
        <f t="shared" si="32"/>
        <v>0</v>
      </c>
      <c r="K85" s="355" t="str">
        <f t="shared" si="33"/>
        <v xml:space="preserve"> </v>
      </c>
      <c r="L85" s="349"/>
      <c r="M85" s="55"/>
      <c r="O85" s="5"/>
      <c r="P85" s="5"/>
      <c r="Y85" s="170">
        <f t="shared" si="34"/>
        <v>0</v>
      </c>
      <c r="Z85" s="163"/>
      <c r="AA85" s="163">
        <f t="shared" si="35"/>
        <v>0</v>
      </c>
      <c r="AB85" s="171">
        <f t="shared" si="41"/>
        <v>0</v>
      </c>
      <c r="AC85" s="166">
        <f t="shared" si="36"/>
        <v>0</v>
      </c>
      <c r="AD85" s="166">
        <f t="shared" si="37"/>
        <v>0</v>
      </c>
      <c r="AE85" s="163">
        <f t="shared" si="38"/>
        <v>0</v>
      </c>
      <c r="AF85" s="172">
        <f t="shared" si="39"/>
        <v>1</v>
      </c>
      <c r="AG85" s="173" t="str">
        <f t="shared" si="40"/>
        <v>Excluded</v>
      </c>
    </row>
    <row r="86" spans="3:37" ht="15.75" thickBot="1" x14ac:dyDescent="0.25">
      <c r="C86" s="302"/>
      <c r="D86" s="326">
        <f t="shared" si="42"/>
        <v>12</v>
      </c>
      <c r="E86" s="842">
        <f t="shared" si="29"/>
        <v>0</v>
      </c>
      <c r="F86" s="856" t="str">
        <f>IF(AG86&gt;0,AG86,"Excluded")</f>
        <v>Excluded</v>
      </c>
      <c r="G86" s="1064" t="str">
        <f t="shared" si="31"/>
        <v>Excluded</v>
      </c>
      <c r="H86" s="1064"/>
      <c r="I86" s="1065"/>
      <c r="J86" s="354">
        <f t="shared" si="32"/>
        <v>0</v>
      </c>
      <c r="K86" s="355" t="str">
        <f t="shared" si="33"/>
        <v xml:space="preserve"> </v>
      </c>
      <c r="L86" s="349"/>
      <c r="M86" s="55"/>
      <c r="O86" s="5"/>
      <c r="P86" s="5"/>
      <c r="Y86" s="170">
        <f t="shared" si="34"/>
        <v>0</v>
      </c>
      <c r="Z86" s="163"/>
      <c r="AA86" s="163">
        <f t="shared" si="35"/>
        <v>0</v>
      </c>
      <c r="AB86" s="171">
        <f t="shared" si="41"/>
        <v>0</v>
      </c>
      <c r="AC86" s="166">
        <f t="shared" si="36"/>
        <v>0</v>
      </c>
      <c r="AD86" s="166">
        <f t="shared" si="37"/>
        <v>0</v>
      </c>
      <c r="AE86" s="163">
        <f t="shared" si="38"/>
        <v>0</v>
      </c>
      <c r="AF86" s="172">
        <f t="shared" si="39"/>
        <v>1</v>
      </c>
      <c r="AG86" s="173" t="str">
        <f t="shared" si="40"/>
        <v>Excluded</v>
      </c>
    </row>
    <row r="87" spans="3:37" ht="18.75" customHeight="1" thickTop="1" thickBot="1" x14ac:dyDescent="0.25">
      <c r="C87" s="302"/>
      <c r="D87" s="320"/>
      <c r="E87" s="843" t="s">
        <v>10</v>
      </c>
      <c r="F87" s="857">
        <f>SUM(F75:F86)</f>
        <v>19365319</v>
      </c>
      <c r="G87" s="1051">
        <f>SUM(G75:I86)</f>
        <v>1</v>
      </c>
      <c r="H87" s="1051"/>
      <c r="I87" s="1051"/>
      <c r="J87" s="354">
        <f>SUM(J75:J86)</f>
        <v>343</v>
      </c>
      <c r="K87" s="320"/>
      <c r="L87" s="349"/>
      <c r="M87" s="55"/>
      <c r="O87" s="5"/>
      <c r="P87" s="5"/>
      <c r="Q87" s="5"/>
      <c r="S87" s="5"/>
      <c r="T87" s="5"/>
      <c r="V87" s="167"/>
      <c r="W87" s="163"/>
      <c r="X87" s="163"/>
      <c r="Y87" s="163"/>
      <c r="Z87" s="163"/>
      <c r="AA87" s="163"/>
      <c r="AB87" s="163"/>
      <c r="AC87" s="163"/>
      <c r="AD87" s="163"/>
      <c r="AE87" s="163"/>
      <c r="AF87" s="163"/>
      <c r="AG87" s="163"/>
    </row>
    <row r="88" spans="3:37" ht="18.75" customHeight="1" thickTop="1" thickBot="1" x14ac:dyDescent="0.25">
      <c r="C88" s="318"/>
      <c r="D88" s="356"/>
      <c r="E88" s="357"/>
      <c r="F88" s="356"/>
      <c r="G88" s="356"/>
      <c r="H88" s="356"/>
      <c r="I88" s="356"/>
      <c r="J88" s="356"/>
      <c r="K88" s="356"/>
      <c r="L88" s="358"/>
      <c r="M88" s="55"/>
      <c r="O88" s="5"/>
      <c r="P88" s="5"/>
      <c r="Q88" s="5"/>
      <c r="R88" s="5"/>
      <c r="S88" s="5"/>
      <c r="T88" s="5"/>
    </row>
    <row r="89" spans="3:37" ht="14.25" customHeight="1" thickBot="1" x14ac:dyDescent="0.25">
      <c r="C89" s="110"/>
      <c r="D89" s="111"/>
      <c r="E89" s="112"/>
      <c r="F89" s="111"/>
      <c r="G89" s="111"/>
      <c r="H89" s="111"/>
      <c r="I89" s="111"/>
      <c r="J89" s="111"/>
      <c r="K89" s="111"/>
      <c r="L89" s="111"/>
      <c r="M89" s="5"/>
      <c r="N89" s="5"/>
      <c r="O89" s="5"/>
      <c r="P89" s="5"/>
      <c r="Q89" s="5"/>
      <c r="R89" s="5"/>
      <c r="S89" s="5"/>
      <c r="T89" s="5"/>
    </row>
    <row r="90" spans="3:37" ht="11.25" customHeight="1" thickTop="1" x14ac:dyDescent="0.2">
      <c r="C90" s="301"/>
      <c r="D90" s="344"/>
      <c r="E90" s="327"/>
      <c r="F90" s="344"/>
      <c r="G90" s="344"/>
      <c r="H90" s="344"/>
      <c r="I90" s="344"/>
      <c r="J90" s="344"/>
      <c r="K90" s="344"/>
      <c r="L90" s="344"/>
      <c r="M90" s="344"/>
      <c r="N90" s="346"/>
      <c r="O90" s="5"/>
      <c r="P90" s="5"/>
      <c r="Q90" s="5"/>
      <c r="R90" s="5"/>
      <c r="S90" s="5"/>
      <c r="T90" s="5"/>
    </row>
    <row r="91" spans="3:37" ht="16.5" customHeight="1" x14ac:dyDescent="0.25">
      <c r="C91" s="302"/>
      <c r="D91" s="359" t="s">
        <v>20</v>
      </c>
      <c r="E91" s="298"/>
      <c r="F91" s="320"/>
      <c r="G91" s="320"/>
      <c r="H91" s="320"/>
      <c r="I91" s="320"/>
      <c r="J91" s="320"/>
      <c r="K91" s="320"/>
      <c r="L91" s="320"/>
      <c r="M91" s="320"/>
      <c r="N91" s="349"/>
      <c r="O91" s="5"/>
      <c r="P91" s="5"/>
      <c r="Q91" s="5"/>
      <c r="R91" s="5"/>
      <c r="S91" s="5"/>
      <c r="T91" s="5"/>
    </row>
    <row r="92" spans="3:37" ht="65.25" customHeight="1" x14ac:dyDescent="0.3">
      <c r="C92" s="302"/>
      <c r="D92" s="887" t="s">
        <v>341</v>
      </c>
      <c r="E92" s="887"/>
      <c r="F92" s="887"/>
      <c r="G92" s="887"/>
      <c r="H92" s="887"/>
      <c r="I92" s="887"/>
      <c r="J92" s="887"/>
      <c r="K92" s="887"/>
      <c r="L92" s="887"/>
      <c r="M92" s="887"/>
      <c r="N92" s="352"/>
      <c r="O92" s="543"/>
      <c r="P92" s="543"/>
      <c r="Q92" s="12"/>
      <c r="R92" s="12"/>
      <c r="S92" s="5"/>
      <c r="T92" s="7"/>
    </row>
    <row r="93" spans="3:37" ht="15.75" x14ac:dyDescent="0.25">
      <c r="C93" s="302"/>
      <c r="D93" s="309"/>
      <c r="E93" s="309"/>
      <c r="F93" s="309"/>
      <c r="G93" s="360" t="s">
        <v>14</v>
      </c>
      <c r="H93" s="361" t="str">
        <f>AD108</f>
        <v>Liberal</v>
      </c>
      <c r="I93" s="360"/>
      <c r="J93" s="298"/>
      <c r="K93" s="298"/>
      <c r="L93" s="309"/>
      <c r="M93" s="309"/>
      <c r="N93" s="349"/>
      <c r="O93" s="5"/>
      <c r="P93" s="5"/>
      <c r="Q93" s="5"/>
      <c r="R93" s="5"/>
      <c r="S93" s="5"/>
    </row>
    <row r="94" spans="3:37" ht="17.45" customHeight="1" x14ac:dyDescent="0.25">
      <c r="C94" s="302"/>
      <c r="D94" s="309"/>
      <c r="E94" s="309"/>
      <c r="F94" s="309"/>
      <c r="G94" s="309"/>
      <c r="H94" s="298"/>
      <c r="I94" s="360" t="s">
        <v>298</v>
      </c>
      <c r="J94" s="577">
        <f>AC108</f>
        <v>1.1141160715604852</v>
      </c>
      <c r="K94" s="298"/>
      <c r="L94" s="309"/>
      <c r="M94" s="309"/>
      <c r="N94" s="349"/>
      <c r="O94" s="5"/>
      <c r="P94" s="5"/>
      <c r="Q94" s="5"/>
      <c r="R94" s="5"/>
      <c r="S94" s="5"/>
      <c r="V94" s="11"/>
    </row>
    <row r="95" spans="3:37" ht="15.75" customHeight="1" thickBot="1" x14ac:dyDescent="0.25">
      <c r="C95" s="302"/>
      <c r="D95" s="309"/>
      <c r="E95" s="309"/>
      <c r="F95" s="309"/>
      <c r="G95" s="309"/>
      <c r="H95" s="309"/>
      <c r="I95" s="360"/>
      <c r="J95" s="362"/>
      <c r="K95" s="309"/>
      <c r="L95" s="309"/>
      <c r="M95" s="309"/>
      <c r="N95" s="349"/>
      <c r="O95" s="5"/>
      <c r="P95" s="5"/>
      <c r="Q95" s="5"/>
      <c r="Z95" s="5"/>
      <c r="AB95" s="2" t="s">
        <v>2</v>
      </c>
    </row>
    <row r="96" spans="3:37" ht="45.75" customHeight="1" thickTop="1" thickBot="1" x14ac:dyDescent="0.25">
      <c r="C96" s="302"/>
      <c r="D96" s="320"/>
      <c r="E96" s="298"/>
      <c r="F96" s="85" t="s">
        <v>11</v>
      </c>
      <c r="G96" s="889" t="s">
        <v>327</v>
      </c>
      <c r="H96" s="890"/>
      <c r="I96" s="891"/>
      <c r="J96" s="144" t="s">
        <v>222</v>
      </c>
      <c r="K96" s="82" t="s">
        <v>211</v>
      </c>
      <c r="L96" s="298"/>
      <c r="M96" s="298"/>
      <c r="N96" s="303"/>
      <c r="Y96" s="634" t="s">
        <v>307</v>
      </c>
      <c r="Z96" s="582" t="s">
        <v>305</v>
      </c>
      <c r="AA96" s="582" t="s">
        <v>304</v>
      </c>
      <c r="AB96" s="582" t="s">
        <v>303</v>
      </c>
      <c r="AC96" s="583"/>
      <c r="AD96" s="582" t="s">
        <v>306</v>
      </c>
      <c r="AE96" s="582"/>
      <c r="AK96" s="277"/>
    </row>
    <row r="97" spans="3:37" ht="15.75" thickTop="1" x14ac:dyDescent="0.2">
      <c r="C97" s="302"/>
      <c r="D97" s="325">
        <v>1</v>
      </c>
      <c r="E97" s="236" t="str">
        <f t="shared" ref="E97:E108" si="44">E41</f>
        <v>Liberal</v>
      </c>
      <c r="F97" s="203">
        <f t="shared" ref="F97:F108" si="45">IF(F75="Excluded","Excluded",G41)</f>
        <v>169</v>
      </c>
      <c r="G97" s="947">
        <f>IF(J97="Excluded"," ",F97/F$109)</f>
        <v>0.49271137026239065</v>
      </c>
      <c r="H97" s="948"/>
      <c r="I97" s="948"/>
      <c r="J97" s="204">
        <f t="shared" ref="J97:J108" si="46">G75</f>
        <v>0.44224419954042588</v>
      </c>
      <c r="K97" s="205">
        <f t="shared" ref="K97:K108" si="47">AB97</f>
        <v>1.1141160715604852</v>
      </c>
      <c r="L97" s="298"/>
      <c r="M97" s="298"/>
      <c r="N97" s="303"/>
      <c r="X97" s="277" t="str">
        <f t="shared" ref="X97:X108" si="48">E97</f>
        <v>Liberal</v>
      </c>
      <c r="Y97" s="635">
        <f t="shared" ref="Y97:Y108" si="49">G41</f>
        <v>169</v>
      </c>
      <c r="Z97" s="580">
        <f>J97</f>
        <v>0.44224419954042588</v>
      </c>
      <c r="AA97" s="578">
        <f>G41</f>
        <v>169</v>
      </c>
      <c r="AB97" s="584">
        <f>IF(F97="Excluded",0,IF(F97=0,0,G97/J97))</f>
        <v>1.1141160715604852</v>
      </c>
      <c r="AC97" s="585">
        <f>AB97</f>
        <v>1.1141160715604852</v>
      </c>
      <c r="AD97" s="277" t="str">
        <f>E97</f>
        <v>Liberal</v>
      </c>
      <c r="AE97" s="277"/>
      <c r="AK97" s="278"/>
    </row>
    <row r="98" spans="3:37" ht="15" x14ac:dyDescent="0.2">
      <c r="C98" s="302"/>
      <c r="D98" s="325">
        <f>1+D97</f>
        <v>2</v>
      </c>
      <c r="E98" s="842" t="str">
        <f t="shared" si="44"/>
        <v>Conservative</v>
      </c>
      <c r="F98" s="203">
        <f t="shared" si="45"/>
        <v>144</v>
      </c>
      <c r="G98" s="883">
        <f t="shared" ref="G98:G108" si="50">IF(J98="Excluded","Excluded",F98/F$109)</f>
        <v>0.41982507288629739</v>
      </c>
      <c r="H98" s="884"/>
      <c r="I98" s="884"/>
      <c r="J98" s="206">
        <f t="shared" si="46"/>
        <v>0.41755320426170106</v>
      </c>
      <c r="K98" s="207">
        <f t="shared" si="47"/>
        <v>1.0054409081319668</v>
      </c>
      <c r="L98" s="298"/>
      <c r="M98" s="298"/>
      <c r="N98" s="303"/>
      <c r="X98" s="625" t="str">
        <f t="shared" si="48"/>
        <v>Conservative</v>
      </c>
      <c r="Y98" s="635">
        <f t="shared" si="49"/>
        <v>144</v>
      </c>
      <c r="Z98" s="581">
        <f t="shared" ref="Z98:Z108" si="51">IF(AC98=K98,J98,Z97)</f>
        <v>0.44224419954042588</v>
      </c>
      <c r="AA98" s="579">
        <f t="shared" ref="AA98:AA108" si="52">IF(AC98=AB98,F98,AA97)</f>
        <v>169</v>
      </c>
      <c r="AB98" s="584">
        <f t="shared" ref="AB98:AB108" si="53">IF(F98="Excluded",0,IF(F98=0,0,G98/J98))</f>
        <v>1.0054409081319668</v>
      </c>
      <c r="AC98" s="586">
        <f>IF(AB98&gt;AC97,AB98,AC97)</f>
        <v>1.1141160715604852</v>
      </c>
      <c r="AD98" s="277" t="str">
        <f t="shared" ref="AD98:AD108" si="54">IF(AB98&gt;AC97,E98,AD97)</f>
        <v>Liberal</v>
      </c>
      <c r="AE98" s="277"/>
      <c r="AK98" s="278"/>
    </row>
    <row r="99" spans="3:37" ht="15" x14ac:dyDescent="0.2">
      <c r="C99" s="302"/>
      <c r="D99" s="326">
        <f t="shared" ref="D99:D108" si="55">1+D98</f>
        <v>3</v>
      </c>
      <c r="E99" s="201" t="str">
        <f t="shared" si="44"/>
        <v>Bloc Quebecois</v>
      </c>
      <c r="F99" s="203">
        <f t="shared" si="45"/>
        <v>22</v>
      </c>
      <c r="G99" s="883">
        <f t="shared" si="50"/>
        <v>6.4139941690962099E-2</v>
      </c>
      <c r="H99" s="884"/>
      <c r="I99" s="884"/>
      <c r="J99" s="206">
        <f t="shared" si="46"/>
        <v>6.3662932689102614E-2</v>
      </c>
      <c r="K99" s="207">
        <f t="shared" si="47"/>
        <v>1.0074927274272607</v>
      </c>
      <c r="L99" s="298"/>
      <c r="M99" s="298"/>
      <c r="N99" s="303"/>
      <c r="X99" s="625" t="str">
        <f t="shared" si="48"/>
        <v>Bloc Quebecois</v>
      </c>
      <c r="Y99" s="635">
        <f t="shared" si="49"/>
        <v>22</v>
      </c>
      <c r="Z99" s="581">
        <f t="shared" si="51"/>
        <v>0.44224419954042588</v>
      </c>
      <c r="AA99" s="579">
        <f t="shared" si="52"/>
        <v>169</v>
      </c>
      <c r="AB99" s="584">
        <f t="shared" si="53"/>
        <v>1.0074927274272607</v>
      </c>
      <c r="AC99" s="586">
        <f t="shared" ref="AC99:AC108" si="56">IF(AB99&gt;AC98,AB99,AC98)</f>
        <v>1.1141160715604852</v>
      </c>
      <c r="AD99" s="277" t="str">
        <f t="shared" si="54"/>
        <v>Liberal</v>
      </c>
      <c r="AE99" s="277"/>
      <c r="AK99" s="278"/>
    </row>
    <row r="100" spans="3:37" ht="15" x14ac:dyDescent="0.2">
      <c r="C100" s="302"/>
      <c r="D100" s="326">
        <f t="shared" si="55"/>
        <v>4</v>
      </c>
      <c r="E100" s="201" t="str">
        <f t="shared" si="44"/>
        <v>NDP</v>
      </c>
      <c r="F100" s="203">
        <f t="shared" si="45"/>
        <v>7</v>
      </c>
      <c r="G100" s="883">
        <f t="shared" si="50"/>
        <v>2.0408163265306121E-2</v>
      </c>
      <c r="H100" s="884"/>
      <c r="I100" s="884"/>
      <c r="J100" s="206">
        <f t="shared" si="46"/>
        <v>6.3890659379274878E-2</v>
      </c>
      <c r="K100" s="207">
        <f t="shared" si="47"/>
        <v>0.31942326880924643</v>
      </c>
      <c r="L100" s="298"/>
      <c r="M100" s="298"/>
      <c r="N100" s="303"/>
      <c r="X100" s="625" t="str">
        <f t="shared" si="48"/>
        <v>NDP</v>
      </c>
      <c r="Y100" s="635">
        <f t="shared" si="49"/>
        <v>7</v>
      </c>
      <c r="Z100" s="581">
        <f t="shared" si="51"/>
        <v>0.44224419954042588</v>
      </c>
      <c r="AA100" s="579">
        <f t="shared" si="52"/>
        <v>169</v>
      </c>
      <c r="AB100" s="584">
        <f t="shared" si="53"/>
        <v>0.31942326880924643</v>
      </c>
      <c r="AC100" s="586">
        <f t="shared" si="56"/>
        <v>1.1141160715604852</v>
      </c>
      <c r="AD100" s="277" t="str">
        <f t="shared" si="54"/>
        <v>Liberal</v>
      </c>
      <c r="AE100" s="277"/>
      <c r="AK100" s="278"/>
    </row>
    <row r="101" spans="3:37" ht="15" customHeight="1" x14ac:dyDescent="0.2">
      <c r="C101" s="302"/>
      <c r="D101" s="326">
        <f t="shared" si="55"/>
        <v>5</v>
      </c>
      <c r="E101" s="201" t="str">
        <f t="shared" si="44"/>
        <v>Green</v>
      </c>
      <c r="F101" s="203">
        <f t="shared" si="45"/>
        <v>1</v>
      </c>
      <c r="G101" s="883">
        <f t="shared" si="50"/>
        <v>2.9154518950437317E-3</v>
      </c>
      <c r="H101" s="884"/>
      <c r="I101" s="884"/>
      <c r="J101" s="206">
        <f t="shared" si="46"/>
        <v>1.2649004129495621E-2</v>
      </c>
      <c r="K101" s="207">
        <f t="shared" si="47"/>
        <v>0.23048865074249805</v>
      </c>
      <c r="L101" s="298"/>
      <c r="M101" s="298"/>
      <c r="N101" s="303"/>
      <c r="X101" s="625" t="str">
        <f t="shared" si="48"/>
        <v>Green</v>
      </c>
      <c r="Y101" s="635">
        <f t="shared" si="49"/>
        <v>1</v>
      </c>
      <c r="Z101" s="581">
        <f t="shared" si="51"/>
        <v>0.44224419954042588</v>
      </c>
      <c r="AA101" s="579">
        <f t="shared" si="52"/>
        <v>169</v>
      </c>
      <c r="AB101" s="584">
        <f t="shared" si="53"/>
        <v>0.23048865074249805</v>
      </c>
      <c r="AC101" s="586">
        <f t="shared" si="56"/>
        <v>1.1141160715604852</v>
      </c>
      <c r="AD101" s="277" t="str">
        <f t="shared" si="54"/>
        <v>Liberal</v>
      </c>
      <c r="AE101" s="277"/>
      <c r="AK101" s="278"/>
    </row>
    <row r="102" spans="3:37" ht="15" x14ac:dyDescent="0.2">
      <c r="C102" s="302"/>
      <c r="D102" s="326">
        <f t="shared" si="55"/>
        <v>6</v>
      </c>
      <c r="E102" s="201" t="str">
        <f t="shared" si="44"/>
        <v>Peoples Party</v>
      </c>
      <c r="F102" s="203" t="str">
        <f t="shared" si="45"/>
        <v>Excluded</v>
      </c>
      <c r="G102" s="883" t="str">
        <f t="shared" si="50"/>
        <v>Excluded</v>
      </c>
      <c r="H102" s="884"/>
      <c r="I102" s="884"/>
      <c r="J102" s="206" t="str">
        <f t="shared" si="46"/>
        <v>Excluded</v>
      </c>
      <c r="K102" s="207">
        <f t="shared" si="47"/>
        <v>0</v>
      </c>
      <c r="L102" s="298"/>
      <c r="M102" s="298"/>
      <c r="N102" s="303"/>
      <c r="X102" s="625" t="str">
        <f t="shared" si="48"/>
        <v>Peoples Party</v>
      </c>
      <c r="Y102" s="635">
        <f t="shared" si="49"/>
        <v>0</v>
      </c>
      <c r="Z102" s="581">
        <f t="shared" si="51"/>
        <v>0.44224419954042588</v>
      </c>
      <c r="AA102" s="579">
        <f t="shared" si="52"/>
        <v>169</v>
      </c>
      <c r="AB102" s="584">
        <f t="shared" si="53"/>
        <v>0</v>
      </c>
      <c r="AC102" s="586">
        <f t="shared" si="56"/>
        <v>1.1141160715604852</v>
      </c>
      <c r="AD102" s="277" t="str">
        <f t="shared" si="54"/>
        <v>Liberal</v>
      </c>
      <c r="AE102" s="277"/>
      <c r="AK102" s="278"/>
    </row>
    <row r="103" spans="3:37" ht="15" x14ac:dyDescent="0.2">
      <c r="C103" s="302"/>
      <c r="D103" s="326">
        <f t="shared" si="55"/>
        <v>7</v>
      </c>
      <c r="E103" s="201" t="str">
        <f t="shared" si="44"/>
        <v>Other parties</v>
      </c>
      <c r="F103" s="203" t="str">
        <f t="shared" si="45"/>
        <v>Excluded</v>
      </c>
      <c r="G103" s="883" t="str">
        <f t="shared" si="50"/>
        <v>Excluded</v>
      </c>
      <c r="H103" s="884"/>
      <c r="I103" s="884"/>
      <c r="J103" s="206" t="str">
        <f t="shared" si="46"/>
        <v>Excluded</v>
      </c>
      <c r="K103" s="207">
        <f t="shared" si="47"/>
        <v>0</v>
      </c>
      <c r="L103" s="298"/>
      <c r="M103" s="298"/>
      <c r="N103" s="303"/>
      <c r="X103" s="625" t="str">
        <f t="shared" si="48"/>
        <v>Other parties</v>
      </c>
      <c r="Y103" s="635">
        <f t="shared" si="49"/>
        <v>0</v>
      </c>
      <c r="Z103" s="581">
        <f t="shared" si="51"/>
        <v>0.44224419954042588</v>
      </c>
      <c r="AA103" s="579">
        <f t="shared" si="52"/>
        <v>169</v>
      </c>
      <c r="AB103" s="584">
        <f t="shared" si="53"/>
        <v>0</v>
      </c>
      <c r="AC103" s="586">
        <f t="shared" si="56"/>
        <v>1.1141160715604852</v>
      </c>
      <c r="AD103" s="277" t="str">
        <f t="shared" si="54"/>
        <v>Liberal</v>
      </c>
      <c r="AE103" s="277"/>
      <c r="AK103" s="278"/>
    </row>
    <row r="104" spans="3:37" ht="15" x14ac:dyDescent="0.2">
      <c r="C104" s="302"/>
      <c r="D104" s="326">
        <f t="shared" si="55"/>
        <v>8</v>
      </c>
      <c r="E104" s="201">
        <f t="shared" si="44"/>
        <v>0</v>
      </c>
      <c r="F104" s="203" t="str">
        <f t="shared" si="45"/>
        <v>Excluded</v>
      </c>
      <c r="G104" s="883" t="str">
        <f t="shared" si="50"/>
        <v>Excluded</v>
      </c>
      <c r="H104" s="884"/>
      <c r="I104" s="884"/>
      <c r="J104" s="206" t="str">
        <f t="shared" si="46"/>
        <v>Excluded</v>
      </c>
      <c r="K104" s="207">
        <f t="shared" si="47"/>
        <v>0</v>
      </c>
      <c r="L104" s="298"/>
      <c r="M104" s="298"/>
      <c r="N104" s="303"/>
      <c r="X104" s="625">
        <f t="shared" si="48"/>
        <v>0</v>
      </c>
      <c r="Y104" s="635">
        <f t="shared" si="49"/>
        <v>0</v>
      </c>
      <c r="Z104" s="581">
        <f t="shared" si="51"/>
        <v>0.44224419954042588</v>
      </c>
      <c r="AA104" s="579">
        <f t="shared" si="52"/>
        <v>169</v>
      </c>
      <c r="AB104" s="584">
        <f t="shared" si="53"/>
        <v>0</v>
      </c>
      <c r="AC104" s="586">
        <f t="shared" si="56"/>
        <v>1.1141160715604852</v>
      </c>
      <c r="AD104" s="277" t="str">
        <f t="shared" si="54"/>
        <v>Liberal</v>
      </c>
      <c r="AE104" s="277"/>
      <c r="AK104" s="278"/>
    </row>
    <row r="105" spans="3:37" ht="15" x14ac:dyDescent="0.2">
      <c r="C105" s="302"/>
      <c r="D105" s="326">
        <f t="shared" si="55"/>
        <v>9</v>
      </c>
      <c r="E105" s="201">
        <f t="shared" si="44"/>
        <v>0</v>
      </c>
      <c r="F105" s="203" t="str">
        <f t="shared" si="45"/>
        <v>Excluded</v>
      </c>
      <c r="G105" s="883" t="str">
        <f t="shared" si="50"/>
        <v>Excluded</v>
      </c>
      <c r="H105" s="884"/>
      <c r="I105" s="884"/>
      <c r="J105" s="206" t="str">
        <f t="shared" si="46"/>
        <v>Excluded</v>
      </c>
      <c r="K105" s="207">
        <f t="shared" si="47"/>
        <v>0</v>
      </c>
      <c r="L105" s="298"/>
      <c r="M105" s="298"/>
      <c r="N105" s="303"/>
      <c r="X105" s="625">
        <f t="shared" si="48"/>
        <v>0</v>
      </c>
      <c r="Y105" s="635">
        <f t="shared" si="49"/>
        <v>0</v>
      </c>
      <c r="Z105" s="581">
        <f t="shared" si="51"/>
        <v>0.44224419954042588</v>
      </c>
      <c r="AA105" s="579">
        <f t="shared" si="52"/>
        <v>169</v>
      </c>
      <c r="AB105" s="584">
        <f t="shared" si="53"/>
        <v>0</v>
      </c>
      <c r="AC105" s="586">
        <f t="shared" si="56"/>
        <v>1.1141160715604852</v>
      </c>
      <c r="AD105" s="277" t="str">
        <f t="shared" si="54"/>
        <v>Liberal</v>
      </c>
      <c r="AE105" s="277"/>
      <c r="AK105" s="278"/>
    </row>
    <row r="106" spans="3:37" ht="15" x14ac:dyDescent="0.2">
      <c r="C106" s="302"/>
      <c r="D106" s="326">
        <f t="shared" si="55"/>
        <v>10</v>
      </c>
      <c r="E106" s="201">
        <f t="shared" si="44"/>
        <v>0</v>
      </c>
      <c r="F106" s="203" t="str">
        <f t="shared" si="45"/>
        <v>Excluded</v>
      </c>
      <c r="G106" s="883" t="str">
        <f t="shared" si="50"/>
        <v>Excluded</v>
      </c>
      <c r="H106" s="884"/>
      <c r="I106" s="884"/>
      <c r="J106" s="206" t="str">
        <f t="shared" si="46"/>
        <v>Excluded</v>
      </c>
      <c r="K106" s="207">
        <f t="shared" si="47"/>
        <v>0</v>
      </c>
      <c r="L106" s="298"/>
      <c r="M106" s="298"/>
      <c r="N106" s="303"/>
      <c r="X106" s="625">
        <f t="shared" si="48"/>
        <v>0</v>
      </c>
      <c r="Y106" s="635">
        <f t="shared" si="49"/>
        <v>0</v>
      </c>
      <c r="Z106" s="581">
        <f t="shared" si="51"/>
        <v>0.44224419954042588</v>
      </c>
      <c r="AA106" s="579">
        <f t="shared" si="52"/>
        <v>169</v>
      </c>
      <c r="AB106" s="584">
        <f t="shared" si="53"/>
        <v>0</v>
      </c>
      <c r="AC106" s="586">
        <f t="shared" si="56"/>
        <v>1.1141160715604852</v>
      </c>
      <c r="AD106" s="277" t="str">
        <f t="shared" si="54"/>
        <v>Liberal</v>
      </c>
      <c r="AE106" s="277"/>
      <c r="AK106" s="278"/>
    </row>
    <row r="107" spans="3:37" ht="15" x14ac:dyDescent="0.2">
      <c r="C107" s="302"/>
      <c r="D107" s="326">
        <f t="shared" si="55"/>
        <v>11</v>
      </c>
      <c r="E107" s="201">
        <f t="shared" si="44"/>
        <v>0</v>
      </c>
      <c r="F107" s="203" t="str">
        <f t="shared" si="45"/>
        <v>Excluded</v>
      </c>
      <c r="G107" s="883" t="str">
        <f t="shared" si="50"/>
        <v>Excluded</v>
      </c>
      <c r="H107" s="884"/>
      <c r="I107" s="884"/>
      <c r="J107" s="206" t="str">
        <f t="shared" si="46"/>
        <v>Excluded</v>
      </c>
      <c r="K107" s="207">
        <f t="shared" si="47"/>
        <v>0</v>
      </c>
      <c r="L107" s="298"/>
      <c r="M107" s="298"/>
      <c r="N107" s="303"/>
      <c r="X107" s="625">
        <f t="shared" si="48"/>
        <v>0</v>
      </c>
      <c r="Y107" s="635">
        <f t="shared" si="49"/>
        <v>0</v>
      </c>
      <c r="Z107" s="581">
        <f t="shared" si="51"/>
        <v>0.44224419954042588</v>
      </c>
      <c r="AA107" s="579">
        <f t="shared" si="52"/>
        <v>169</v>
      </c>
      <c r="AB107" s="584">
        <f t="shared" si="53"/>
        <v>0</v>
      </c>
      <c r="AC107" s="586">
        <f t="shared" si="56"/>
        <v>1.1141160715604852</v>
      </c>
      <c r="AD107" s="277" t="str">
        <f t="shared" si="54"/>
        <v>Liberal</v>
      </c>
      <c r="AE107" s="277"/>
      <c r="AK107" s="278"/>
    </row>
    <row r="108" spans="3:37" ht="15.75" thickBot="1" x14ac:dyDescent="0.25">
      <c r="C108" s="302"/>
      <c r="D108" s="326">
        <f t="shared" si="55"/>
        <v>12</v>
      </c>
      <c r="E108" s="202">
        <f t="shared" si="44"/>
        <v>0</v>
      </c>
      <c r="F108" s="203" t="str">
        <f t="shared" si="45"/>
        <v>Excluded</v>
      </c>
      <c r="G108" s="1047" t="str">
        <f t="shared" si="50"/>
        <v>Excluded</v>
      </c>
      <c r="H108" s="1048"/>
      <c r="I108" s="1048"/>
      <c r="J108" s="208" t="str">
        <f t="shared" si="46"/>
        <v>Excluded</v>
      </c>
      <c r="K108" s="209">
        <f t="shared" si="47"/>
        <v>0</v>
      </c>
      <c r="L108" s="298"/>
      <c r="M108" s="298"/>
      <c r="N108" s="303"/>
      <c r="X108" s="625">
        <f t="shared" si="48"/>
        <v>0</v>
      </c>
      <c r="Y108" s="635">
        <f t="shared" si="49"/>
        <v>0</v>
      </c>
      <c r="Z108" s="581">
        <f t="shared" si="51"/>
        <v>0.44224419954042588</v>
      </c>
      <c r="AA108" s="579">
        <f t="shared" si="52"/>
        <v>169</v>
      </c>
      <c r="AB108" s="584">
        <f t="shared" si="53"/>
        <v>0</v>
      </c>
      <c r="AC108" s="586">
        <f t="shared" si="56"/>
        <v>1.1141160715604852</v>
      </c>
      <c r="AD108" s="277" t="str">
        <f t="shared" si="54"/>
        <v>Liberal</v>
      </c>
      <c r="AE108" s="277"/>
      <c r="AK108" s="278"/>
    </row>
    <row r="109" spans="3:37" ht="29.25" customHeight="1" thickTop="1" thickBot="1" x14ac:dyDescent="0.25">
      <c r="C109" s="302"/>
      <c r="D109" s="320"/>
      <c r="E109" s="17" t="s">
        <v>4</v>
      </c>
      <c r="F109" s="142">
        <f>SUM(F97:F108)</f>
        <v>343</v>
      </c>
      <c r="G109" s="935">
        <f>F109/F$109</f>
        <v>1</v>
      </c>
      <c r="H109" s="936"/>
      <c r="I109" s="937"/>
      <c r="J109" s="143">
        <f>SUM(J97:J108)</f>
        <v>1</v>
      </c>
      <c r="K109" s="298"/>
      <c r="L109" s="298"/>
      <c r="M109" s="298"/>
      <c r="N109" s="303"/>
      <c r="AC109" s="279"/>
      <c r="AG109" s="277"/>
      <c r="AH109" s="277"/>
      <c r="AI109" s="277"/>
      <c r="AJ109" s="279"/>
      <c r="AK109" s="278"/>
    </row>
    <row r="110" spans="3:37" ht="18" customHeight="1" thickTop="1" thickBot="1" x14ac:dyDescent="0.25">
      <c r="C110" s="321"/>
      <c r="D110" s="322"/>
      <c r="E110" s="322"/>
      <c r="F110" s="322"/>
      <c r="G110" s="364"/>
      <c r="H110" s="364"/>
      <c r="I110" s="364"/>
      <c r="J110" s="364"/>
      <c r="K110" s="363"/>
      <c r="L110" s="322"/>
      <c r="M110" s="322"/>
      <c r="N110" s="323"/>
      <c r="O110" s="5"/>
      <c r="P110" s="5"/>
      <c r="Q110" s="5"/>
      <c r="R110" s="5"/>
      <c r="S110" s="5"/>
      <c r="T110" s="5"/>
    </row>
    <row r="111" spans="3:37" ht="15.75" customHeight="1" thickTop="1" thickBot="1" x14ac:dyDescent="0.25">
      <c r="C111" s="107"/>
      <c r="D111" s="56"/>
      <c r="E111" s="52"/>
      <c r="F111" s="52"/>
      <c r="G111" s="52"/>
      <c r="H111" s="52"/>
      <c r="I111" s="52"/>
      <c r="J111" s="57"/>
      <c r="K111" s="57"/>
      <c r="L111" s="57"/>
      <c r="M111" s="57"/>
      <c r="N111" s="57"/>
      <c r="O111" s="50"/>
      <c r="P111" s="50"/>
      <c r="Q111" s="50"/>
      <c r="R111" s="13"/>
    </row>
    <row r="112" spans="3:37" ht="8.25" customHeight="1" thickTop="1" x14ac:dyDescent="0.2">
      <c r="C112" s="301"/>
      <c r="D112" s="365"/>
      <c r="E112" s="327"/>
      <c r="F112" s="327"/>
      <c r="G112" s="327"/>
      <c r="H112" s="327"/>
      <c r="I112" s="327"/>
      <c r="J112" s="366"/>
      <c r="K112" s="366"/>
      <c r="L112" s="366"/>
      <c r="M112" s="366"/>
      <c r="N112" s="367"/>
      <c r="O112" s="50"/>
      <c r="P112" s="50"/>
      <c r="Q112" s="50"/>
      <c r="R112" s="13"/>
    </row>
    <row r="113" spans="3:37" ht="19.5" customHeight="1" x14ac:dyDescent="0.2">
      <c r="C113" s="302"/>
      <c r="D113" s="348" t="s">
        <v>21</v>
      </c>
      <c r="E113" s="298"/>
      <c r="F113" s="298"/>
      <c r="G113" s="298"/>
      <c r="H113" s="298"/>
      <c r="I113" s="298"/>
      <c r="J113" s="368"/>
      <c r="K113" s="368"/>
      <c r="L113" s="368"/>
      <c r="M113" s="368"/>
      <c r="N113" s="369"/>
      <c r="O113" s="50"/>
      <c r="P113" s="50"/>
      <c r="Q113" s="50"/>
      <c r="R113" s="13"/>
    </row>
    <row r="114" spans="3:37" s="2" customFormat="1" ht="51" customHeight="1" x14ac:dyDescent="0.2">
      <c r="C114" s="302"/>
      <c r="D114" s="1046" t="s">
        <v>319</v>
      </c>
      <c r="E114" s="1046"/>
      <c r="F114" s="1046"/>
      <c r="G114" s="1046"/>
      <c r="H114" s="1046"/>
      <c r="I114" s="1046"/>
      <c r="J114" s="1046"/>
      <c r="K114" s="1046"/>
      <c r="L114" s="1046"/>
      <c r="M114" s="370"/>
      <c r="N114" s="371"/>
      <c r="O114" s="544"/>
      <c r="P114" s="544"/>
      <c r="Q114" s="11"/>
      <c r="R114" s="11"/>
    </row>
    <row r="115" spans="3:37" ht="15.75" x14ac:dyDescent="0.25">
      <c r="C115" s="302"/>
      <c r="D115" s="372"/>
      <c r="E115" s="373" t="str">
        <f>H93</f>
        <v>Liberal</v>
      </c>
      <c r="F115" s="825">
        <f>AA108</f>
        <v>169</v>
      </c>
      <c r="G115" s="309" t="s">
        <v>317</v>
      </c>
      <c r="H115" s="309"/>
      <c r="I115" s="374"/>
      <c r="J115" s="298"/>
      <c r="K115" s="320"/>
      <c r="L115" s="320"/>
      <c r="M115" s="320"/>
      <c r="N115" s="349"/>
      <c r="O115" s="5"/>
      <c r="P115" s="5"/>
      <c r="Q115" s="5"/>
      <c r="R115" s="5"/>
    </row>
    <row r="116" spans="3:37" ht="15" x14ac:dyDescent="0.2">
      <c r="C116" s="302"/>
      <c r="D116" s="372"/>
      <c r="E116" s="360" t="s">
        <v>16</v>
      </c>
      <c r="F116" s="378">
        <f>Z108</f>
        <v>0.44224419954042588</v>
      </c>
      <c r="G116" s="309" t="s">
        <v>429</v>
      </c>
      <c r="H116" s="309"/>
      <c r="I116" s="375"/>
      <c r="J116" s="298"/>
      <c r="K116" s="320"/>
      <c r="L116" s="320"/>
      <c r="M116" s="320"/>
      <c r="N116" s="349"/>
      <c r="O116" s="5"/>
      <c r="P116" s="5"/>
      <c r="Q116" s="5"/>
      <c r="R116" s="5"/>
    </row>
    <row r="117" spans="3:37" ht="15.75" x14ac:dyDescent="0.25">
      <c r="C117" s="302"/>
      <c r="D117" s="372"/>
      <c r="E117" s="376" t="s">
        <v>5</v>
      </c>
      <c r="F117" s="379">
        <f>F115/F116</f>
        <v>382.14181254524647</v>
      </c>
      <c r="G117" s="361" t="s">
        <v>419</v>
      </c>
      <c r="H117" s="309"/>
      <c r="I117" s="377"/>
      <c r="J117" s="298"/>
      <c r="K117" s="320"/>
      <c r="L117" s="320"/>
      <c r="M117" s="320"/>
      <c r="N117" s="349"/>
      <c r="O117" s="5"/>
      <c r="P117" s="5"/>
      <c r="Q117" s="5"/>
      <c r="R117" s="5"/>
      <c r="S117" s="5"/>
      <c r="T117" s="5"/>
    </row>
    <row r="118" spans="3:37" ht="54.75" customHeight="1" thickBot="1" x14ac:dyDescent="0.35">
      <c r="C118" s="302"/>
      <c r="D118" s="887" t="s">
        <v>328</v>
      </c>
      <c r="E118" s="887"/>
      <c r="F118" s="887"/>
      <c r="G118" s="887"/>
      <c r="H118" s="887"/>
      <c r="I118" s="887"/>
      <c r="J118" s="887"/>
      <c r="K118" s="887"/>
      <c r="L118" s="887"/>
      <c r="M118" s="351"/>
      <c r="N118" s="352"/>
      <c r="O118" s="543"/>
      <c r="P118" s="543"/>
      <c r="Q118" s="12"/>
      <c r="R118" s="12"/>
      <c r="S118" s="5"/>
      <c r="T118" s="7"/>
      <c r="AK118" s="616"/>
    </row>
    <row r="119" spans="3:37" ht="48.75" customHeight="1" thickTop="1" thickBot="1" x14ac:dyDescent="0.25">
      <c r="C119" s="380"/>
      <c r="D119" s="298"/>
      <c r="E119" s="298"/>
      <c r="F119" s="82" t="s">
        <v>9</v>
      </c>
      <c r="G119" s="298"/>
      <c r="H119" s="298"/>
      <c r="I119" s="298"/>
      <c r="J119" s="82" t="str">
        <f>IF(I22="y","Parliamentary Vote Entitlement","Legislature Vote Entitlement")</f>
        <v>Parliamentary Vote Entitlement</v>
      </c>
      <c r="K119" s="298"/>
      <c r="L119" s="298"/>
      <c r="M119" s="298"/>
      <c r="N119" s="303"/>
    </row>
    <row r="120" spans="3:37" ht="18" customHeight="1" thickTop="1" x14ac:dyDescent="0.2">
      <c r="C120" s="380"/>
      <c r="D120" s="325">
        <v>1</v>
      </c>
      <c r="E120" s="200" t="str">
        <f t="shared" ref="E120:E131" si="57">E97</f>
        <v>Liberal</v>
      </c>
      <c r="F120" s="609">
        <f>IF(J97="Excluded",0,J97)</f>
        <v>0.44224419954042588</v>
      </c>
      <c r="G120" s="210" t="s">
        <v>6</v>
      </c>
      <c r="H120" s="211">
        <f t="shared" ref="H120:H132" si="58">F$117</f>
        <v>382.14181254524647</v>
      </c>
      <c r="I120" s="212" t="s">
        <v>7</v>
      </c>
      <c r="J120" s="213">
        <f t="shared" ref="J120:J127" si="59">IF(F120="Excluded","Excluded",F120*F$117)</f>
        <v>169</v>
      </c>
      <c r="K120" s="298"/>
      <c r="L120" s="298"/>
      <c r="M120" s="298"/>
      <c r="N120" s="303"/>
    </row>
    <row r="121" spans="3:37" ht="15" x14ac:dyDescent="0.2">
      <c r="C121" s="380"/>
      <c r="D121" s="325">
        <f>1+D120</f>
        <v>2</v>
      </c>
      <c r="E121" s="201" t="str">
        <f t="shared" si="57"/>
        <v>Conservative</v>
      </c>
      <c r="F121" s="610">
        <f t="shared" ref="F121:F131" si="60">IF(J98="Excluded",0,J98)</f>
        <v>0.41755320426170106</v>
      </c>
      <c r="G121" s="214" t="s">
        <v>6</v>
      </c>
      <c r="H121" s="215">
        <f t="shared" si="58"/>
        <v>382.14181254524647</v>
      </c>
      <c r="I121" s="216" t="s">
        <v>7</v>
      </c>
      <c r="J121" s="217">
        <f t="shared" si="59"/>
        <v>159.56453831064198</v>
      </c>
      <c r="K121" s="298"/>
      <c r="L121" s="298"/>
      <c r="M121" s="298"/>
      <c r="N121" s="303"/>
    </row>
    <row r="122" spans="3:37" ht="15" customHeight="1" x14ac:dyDescent="0.2">
      <c r="C122" s="380"/>
      <c r="D122" s="326">
        <f t="shared" ref="D122:D131" si="61">1+D121</f>
        <v>3</v>
      </c>
      <c r="E122" s="201" t="str">
        <f t="shared" si="57"/>
        <v>Bloc Quebecois</v>
      </c>
      <c r="F122" s="610">
        <f t="shared" si="60"/>
        <v>6.3662932689102614E-2</v>
      </c>
      <c r="G122" s="214" t="s">
        <v>6</v>
      </c>
      <c r="H122" s="215">
        <f t="shared" si="58"/>
        <v>382.14181254524647</v>
      </c>
      <c r="I122" s="216" t="s">
        <v>7</v>
      </c>
      <c r="J122" s="217">
        <f t="shared" si="59"/>
        <v>24.328268489759694</v>
      </c>
      <c r="K122" s="298"/>
      <c r="L122" s="298"/>
      <c r="M122" s="298"/>
      <c r="N122" s="303"/>
    </row>
    <row r="123" spans="3:37" ht="15" customHeight="1" x14ac:dyDescent="0.2">
      <c r="C123" s="380"/>
      <c r="D123" s="326">
        <f t="shared" si="61"/>
        <v>4</v>
      </c>
      <c r="E123" s="201" t="str">
        <f t="shared" si="57"/>
        <v>NDP</v>
      </c>
      <c r="F123" s="610">
        <f t="shared" si="60"/>
        <v>6.3890659379274878E-2</v>
      </c>
      <c r="G123" s="214" t="s">
        <v>6</v>
      </c>
      <c r="H123" s="215">
        <f t="shared" si="58"/>
        <v>382.14181254524647</v>
      </c>
      <c r="I123" s="216" t="s">
        <v>7</v>
      </c>
      <c r="J123" s="217">
        <f t="shared" si="59"/>
        <v>24.415292379907054</v>
      </c>
      <c r="K123" s="298"/>
      <c r="L123" s="298"/>
      <c r="M123" s="298"/>
      <c r="N123" s="303"/>
    </row>
    <row r="124" spans="3:37" ht="15" customHeight="1" x14ac:dyDescent="0.2">
      <c r="C124" s="380"/>
      <c r="D124" s="326">
        <f t="shared" si="61"/>
        <v>5</v>
      </c>
      <c r="E124" s="201" t="str">
        <f t="shared" si="57"/>
        <v>Green</v>
      </c>
      <c r="F124" s="610">
        <f t="shared" si="60"/>
        <v>1.2649004129495621E-2</v>
      </c>
      <c r="G124" s="214" t="s">
        <v>6</v>
      </c>
      <c r="H124" s="215">
        <f>F$117</f>
        <v>382.14181254524647</v>
      </c>
      <c r="I124" s="216" t="s">
        <v>7</v>
      </c>
      <c r="J124" s="217">
        <f t="shared" si="59"/>
        <v>4.8337133649377639</v>
      </c>
      <c r="K124" s="298"/>
      <c r="L124" s="298"/>
      <c r="M124" s="298"/>
      <c r="N124" s="303"/>
    </row>
    <row r="125" spans="3:37" ht="15" x14ac:dyDescent="0.2">
      <c r="C125" s="380"/>
      <c r="D125" s="326">
        <f t="shared" si="61"/>
        <v>6</v>
      </c>
      <c r="E125" s="201" t="str">
        <f t="shared" si="57"/>
        <v>Peoples Party</v>
      </c>
      <c r="F125" s="610">
        <f t="shared" si="60"/>
        <v>0</v>
      </c>
      <c r="G125" s="214" t="s">
        <v>6</v>
      </c>
      <c r="H125" s="215">
        <f>F$117</f>
        <v>382.14181254524647</v>
      </c>
      <c r="I125" s="216" t="s">
        <v>7</v>
      </c>
      <c r="J125" s="217">
        <f t="shared" si="59"/>
        <v>0</v>
      </c>
      <c r="K125" s="298"/>
      <c r="L125" s="298"/>
      <c r="M125" s="298"/>
      <c r="N125" s="303"/>
    </row>
    <row r="126" spans="3:37" ht="15" x14ac:dyDescent="0.2">
      <c r="C126" s="380"/>
      <c r="D126" s="326">
        <f t="shared" si="61"/>
        <v>7</v>
      </c>
      <c r="E126" s="201" t="str">
        <f t="shared" si="57"/>
        <v>Other parties</v>
      </c>
      <c r="F126" s="610">
        <f t="shared" si="60"/>
        <v>0</v>
      </c>
      <c r="G126" s="214" t="s">
        <v>6</v>
      </c>
      <c r="H126" s="215">
        <f>F$117</f>
        <v>382.14181254524647</v>
      </c>
      <c r="I126" s="216" t="s">
        <v>7</v>
      </c>
      <c r="J126" s="217">
        <f t="shared" si="59"/>
        <v>0</v>
      </c>
      <c r="K126" s="298"/>
      <c r="L126" s="298"/>
      <c r="M126" s="298"/>
      <c r="N126" s="303"/>
    </row>
    <row r="127" spans="3:37" ht="15" x14ac:dyDescent="0.2">
      <c r="C127" s="380"/>
      <c r="D127" s="326">
        <f t="shared" si="61"/>
        <v>8</v>
      </c>
      <c r="E127" s="201">
        <f t="shared" si="57"/>
        <v>0</v>
      </c>
      <c r="F127" s="610">
        <f t="shared" si="60"/>
        <v>0</v>
      </c>
      <c r="G127" s="214" t="s">
        <v>6</v>
      </c>
      <c r="H127" s="215">
        <f>F$117</f>
        <v>382.14181254524647</v>
      </c>
      <c r="I127" s="216" t="s">
        <v>7</v>
      </c>
      <c r="J127" s="217">
        <f t="shared" si="59"/>
        <v>0</v>
      </c>
      <c r="K127" s="298"/>
      <c r="L127" s="298"/>
      <c r="M127" s="298"/>
      <c r="N127" s="303"/>
    </row>
    <row r="128" spans="3:37" ht="15" x14ac:dyDescent="0.2">
      <c r="C128" s="380"/>
      <c r="D128" s="326">
        <f t="shared" si="61"/>
        <v>9</v>
      </c>
      <c r="E128" s="201">
        <f t="shared" si="57"/>
        <v>0</v>
      </c>
      <c r="F128" s="610">
        <f t="shared" si="60"/>
        <v>0</v>
      </c>
      <c r="G128" s="214" t="s">
        <v>6</v>
      </c>
      <c r="H128" s="215">
        <f>F$117</f>
        <v>382.14181254524647</v>
      </c>
      <c r="I128" s="216" t="s">
        <v>7</v>
      </c>
      <c r="J128" s="217">
        <f>IF(F128="Excluded","Excluded",F128*F$117)</f>
        <v>0</v>
      </c>
      <c r="K128" s="298"/>
      <c r="L128" s="298"/>
      <c r="M128" s="298"/>
      <c r="N128" s="303"/>
    </row>
    <row r="129" spans="3:39" ht="15" x14ac:dyDescent="0.2">
      <c r="C129" s="380"/>
      <c r="D129" s="326">
        <f t="shared" si="61"/>
        <v>10</v>
      </c>
      <c r="E129" s="201">
        <f t="shared" si="57"/>
        <v>0</v>
      </c>
      <c r="F129" s="610">
        <f t="shared" si="60"/>
        <v>0</v>
      </c>
      <c r="G129" s="214" t="s">
        <v>6</v>
      </c>
      <c r="H129" s="215">
        <f t="shared" ref="H129:H130" si="62">F$117</f>
        <v>382.14181254524647</v>
      </c>
      <c r="I129" s="216" t="s">
        <v>7</v>
      </c>
      <c r="J129" s="217">
        <f t="shared" ref="J129:J130" si="63">IF(F129="Excluded","Excluded",F129*F$117)</f>
        <v>0</v>
      </c>
      <c r="K129" s="298"/>
      <c r="L129" s="298"/>
      <c r="M129" s="298"/>
      <c r="N129" s="303"/>
    </row>
    <row r="130" spans="3:39" ht="15" x14ac:dyDescent="0.2">
      <c r="C130" s="380"/>
      <c r="D130" s="326">
        <f t="shared" si="61"/>
        <v>11</v>
      </c>
      <c r="E130" s="201">
        <f t="shared" si="57"/>
        <v>0</v>
      </c>
      <c r="F130" s="610">
        <f t="shared" si="60"/>
        <v>0</v>
      </c>
      <c r="G130" s="214" t="s">
        <v>6</v>
      </c>
      <c r="H130" s="215">
        <f t="shared" si="62"/>
        <v>382.14181254524647</v>
      </c>
      <c r="I130" s="216" t="s">
        <v>7</v>
      </c>
      <c r="J130" s="217">
        <f t="shared" si="63"/>
        <v>0</v>
      </c>
      <c r="K130" s="298"/>
      <c r="L130" s="298"/>
      <c r="M130" s="298"/>
      <c r="N130" s="303"/>
    </row>
    <row r="131" spans="3:39" ht="15.75" thickBot="1" x14ac:dyDescent="0.25">
      <c r="C131" s="380"/>
      <c r="D131" s="326">
        <f t="shared" si="61"/>
        <v>12</v>
      </c>
      <c r="E131" s="202">
        <f t="shared" si="57"/>
        <v>0</v>
      </c>
      <c r="F131" s="611">
        <f t="shared" si="60"/>
        <v>0</v>
      </c>
      <c r="G131" s="218" t="s">
        <v>6</v>
      </c>
      <c r="H131" s="219">
        <f t="shared" si="58"/>
        <v>382.14181254524647</v>
      </c>
      <c r="I131" s="220" t="s">
        <v>7</v>
      </c>
      <c r="J131" s="221">
        <f>IF(F131="Excluded","Excluded",F131*F$117)</f>
        <v>0</v>
      </c>
      <c r="K131" s="298"/>
      <c r="L131" s="298"/>
      <c r="M131" s="298"/>
      <c r="N131" s="303"/>
    </row>
    <row r="132" spans="3:39" ht="27.75" customHeight="1" thickTop="1" thickBot="1" x14ac:dyDescent="0.25">
      <c r="C132" s="380"/>
      <c r="D132" s="298"/>
      <c r="E132" s="17" t="s">
        <v>4</v>
      </c>
      <c r="F132" s="612">
        <f>SUM(F120:F131)</f>
        <v>1</v>
      </c>
      <c r="G132" s="23" t="s">
        <v>6</v>
      </c>
      <c r="H132" s="287">
        <f t="shared" si="58"/>
        <v>382.14181254524647</v>
      </c>
      <c r="I132" s="18" t="s">
        <v>7</v>
      </c>
      <c r="J132" s="138">
        <f>SUM(J120:J131)</f>
        <v>382.14181254524647</v>
      </c>
      <c r="K132" s="381"/>
      <c r="L132" s="382"/>
      <c r="M132" s="298"/>
      <c r="N132" s="303"/>
    </row>
    <row r="133" spans="3:39" ht="27.75" customHeight="1" thickTop="1" x14ac:dyDescent="0.2">
      <c r="C133" s="938" t="s">
        <v>462</v>
      </c>
      <c r="D133" s="939"/>
      <c r="E133" s="939"/>
      <c r="F133" s="939"/>
      <c r="G133" s="939"/>
      <c r="H133" s="939"/>
      <c r="I133" s="939"/>
      <c r="J133" s="939"/>
      <c r="K133" s="939"/>
      <c r="L133" s="939"/>
      <c r="M133" s="939"/>
      <c r="N133" s="303"/>
    </row>
    <row r="134" spans="3:39" ht="15.75" customHeight="1" thickBot="1" x14ac:dyDescent="0.25">
      <c r="C134" s="940"/>
      <c r="D134" s="941"/>
      <c r="E134" s="941"/>
      <c r="F134" s="941"/>
      <c r="G134" s="941"/>
      <c r="H134" s="941"/>
      <c r="I134" s="941"/>
      <c r="J134" s="941"/>
      <c r="K134" s="941"/>
      <c r="L134" s="941"/>
      <c r="M134" s="941"/>
      <c r="N134" s="383"/>
    </row>
    <row r="135" spans="3:39" ht="9.75" customHeight="1" thickTop="1" x14ac:dyDescent="0.2">
      <c r="C135" s="107"/>
      <c r="D135" s="557"/>
      <c r="E135" s="54"/>
      <c r="F135" s="54"/>
      <c r="G135" s="54"/>
      <c r="H135" s="54"/>
      <c r="I135" s="54"/>
      <c r="J135" s="54"/>
      <c r="K135" s="54"/>
      <c r="L135" s="54"/>
      <c r="M135" s="54"/>
      <c r="N135" s="54"/>
      <c r="O135" s="5"/>
      <c r="P135" s="5"/>
      <c r="Q135" s="5"/>
      <c r="R135" s="5"/>
      <c r="S135" s="5"/>
      <c r="T135" s="5"/>
    </row>
    <row r="136" spans="3:39" ht="21" customHeight="1" x14ac:dyDescent="0.2">
      <c r="C136" s="6"/>
      <c r="E136" s="966" t="s">
        <v>372</v>
      </c>
      <c r="F136" s="967"/>
      <c r="G136" s="967"/>
      <c r="H136" s="967"/>
      <c r="I136" s="967"/>
      <c r="J136" s="967"/>
      <c r="K136" s="967"/>
      <c r="L136" s="50"/>
      <c r="M136" s="5"/>
      <c r="N136" s="5"/>
      <c r="O136" s="5"/>
      <c r="P136" s="5"/>
      <c r="Q136" s="5"/>
      <c r="R136" s="5"/>
      <c r="S136" s="5"/>
      <c r="T136" s="5"/>
    </row>
    <row r="137" spans="3:39" ht="21" customHeight="1" x14ac:dyDescent="0.2">
      <c r="C137" s="6"/>
      <c r="D137" s="50"/>
      <c r="E137" s="967"/>
      <c r="F137" s="967"/>
      <c r="G137" s="967"/>
      <c r="H137" s="967"/>
      <c r="I137" s="967"/>
      <c r="J137" s="967"/>
      <c r="K137" s="967"/>
      <c r="L137" s="50"/>
      <c r="M137" s="5"/>
      <c r="N137" s="5"/>
      <c r="O137" s="5"/>
      <c r="P137" s="5"/>
      <c r="Q137" s="5"/>
      <c r="R137" s="5"/>
      <c r="S137" s="5"/>
      <c r="T137" s="5"/>
    </row>
    <row r="138" spans="3:39" ht="12" customHeight="1" thickBot="1" x14ac:dyDescent="0.25">
      <c r="C138" s="6"/>
      <c r="D138" s="558"/>
      <c r="E138" s="5"/>
      <c r="F138" s="5"/>
      <c r="G138" s="5"/>
      <c r="H138" s="5"/>
      <c r="I138" s="5"/>
      <c r="J138" s="5"/>
      <c r="K138" s="5"/>
      <c r="L138" s="5"/>
      <c r="M138" s="5"/>
      <c r="N138" s="5"/>
      <c r="O138" s="5"/>
      <c r="P138" s="5"/>
      <c r="Q138" s="5"/>
      <c r="R138" s="5"/>
      <c r="S138" s="5"/>
      <c r="T138" s="5"/>
    </row>
    <row r="139" spans="3:39" ht="13.5" customHeight="1" thickTop="1" x14ac:dyDescent="0.2">
      <c r="C139" s="301"/>
      <c r="D139" s="384"/>
      <c r="E139" s="344"/>
      <c r="F139" s="344"/>
      <c r="G139" s="344"/>
      <c r="H139" s="344"/>
      <c r="I139" s="344"/>
      <c r="J139" s="344"/>
      <c r="K139" s="344"/>
      <c r="L139" s="344"/>
      <c r="M139" s="344"/>
      <c r="N139" s="346"/>
      <c r="O139" s="5"/>
      <c r="P139" s="5"/>
      <c r="Q139" s="5"/>
      <c r="R139" s="5"/>
      <c r="S139" s="5"/>
      <c r="T139" s="5"/>
    </row>
    <row r="140" spans="3:39" ht="19.5" customHeight="1" x14ac:dyDescent="0.2">
      <c r="C140" s="302"/>
      <c r="D140" s="348" t="s">
        <v>22</v>
      </c>
      <c r="E140" s="298"/>
      <c r="F140" s="368"/>
      <c r="G140" s="368"/>
      <c r="H140" s="368"/>
      <c r="I140" s="368"/>
      <c r="J140" s="368"/>
      <c r="K140" s="368"/>
      <c r="L140" s="320"/>
      <c r="M140" s="320"/>
      <c r="N140" s="349"/>
      <c r="O140" s="5"/>
      <c r="P140" s="5"/>
      <c r="Q140" s="5"/>
      <c r="R140" s="5"/>
      <c r="S140" s="5"/>
      <c r="T140" s="5"/>
      <c r="AM140" s="117"/>
    </row>
    <row r="141" spans="3:39" ht="15" x14ac:dyDescent="0.2">
      <c r="C141" s="302"/>
      <c r="D141" s="887" t="s">
        <v>375</v>
      </c>
      <c r="E141" s="887"/>
      <c r="F141" s="887"/>
      <c r="G141" s="887"/>
      <c r="H141" s="887"/>
      <c r="I141" s="887"/>
      <c r="J141" s="887"/>
      <c r="K141" s="887"/>
      <c r="L141" s="887"/>
      <c r="M141" s="307"/>
      <c r="N141" s="308"/>
      <c r="O141" s="12"/>
      <c r="P141" s="12"/>
      <c r="Q141" s="5"/>
      <c r="R141" s="5"/>
      <c r="S141" s="5"/>
      <c r="T141" s="5"/>
    </row>
    <row r="142" spans="3:39" ht="16.5" customHeight="1" x14ac:dyDescent="0.2">
      <c r="C142" s="302"/>
      <c r="D142" s="887"/>
      <c r="E142" s="887"/>
      <c r="F142" s="887"/>
      <c r="G142" s="887"/>
      <c r="H142" s="887"/>
      <c r="I142" s="887"/>
      <c r="J142" s="887"/>
      <c r="K142" s="887"/>
      <c r="L142" s="887"/>
      <c r="M142" s="307"/>
      <c r="N142" s="308"/>
      <c r="O142" s="12"/>
      <c r="P142" s="12"/>
      <c r="Q142" s="5"/>
      <c r="R142" s="5"/>
      <c r="S142" s="5"/>
      <c r="T142" s="5"/>
      <c r="V142" s="104"/>
      <c r="W142" s="104"/>
      <c r="X142" s="104"/>
      <c r="Y142" s="104"/>
      <c r="Z142" s="163"/>
    </row>
    <row r="143" spans="3:39" ht="15.75" x14ac:dyDescent="0.25">
      <c r="C143" s="302"/>
      <c r="D143" s="887"/>
      <c r="E143" s="887"/>
      <c r="F143" s="887"/>
      <c r="G143" s="887"/>
      <c r="H143" s="887"/>
      <c r="I143" s="887"/>
      <c r="J143" s="887"/>
      <c r="K143" s="887"/>
      <c r="L143" s="887"/>
      <c r="M143" s="307"/>
      <c r="N143" s="308"/>
      <c r="O143" s="12"/>
      <c r="P143" s="12"/>
      <c r="Q143" s="5"/>
      <c r="V143" s="174"/>
      <c r="Z143" s="280" t="s">
        <v>2</v>
      </c>
      <c r="AA143" s="175"/>
      <c r="AB143" s="176"/>
      <c r="AC143" s="163"/>
      <c r="AD143" s="163"/>
      <c r="AE143" s="163"/>
      <c r="AF143" s="163"/>
      <c r="AG143" s="165">
        <f>H30</f>
        <v>0.05</v>
      </c>
      <c r="AH143" s="163"/>
      <c r="AI143" s="163"/>
      <c r="AJ143" s="616"/>
      <c r="AK143" s="616"/>
      <c r="AL143" s="163"/>
    </row>
    <row r="144" spans="3:39" ht="18.75" customHeight="1" x14ac:dyDescent="0.3">
      <c r="C144" s="302"/>
      <c r="D144" s="385"/>
      <c r="E144" s="385"/>
      <c r="F144" s="385"/>
      <c r="G144" s="385"/>
      <c r="H144" s="385"/>
      <c r="I144" s="385"/>
      <c r="J144" s="385"/>
      <c r="K144" s="385"/>
      <c r="L144" s="307"/>
      <c r="M144" s="307"/>
      <c r="N144" s="308"/>
      <c r="O144" s="12"/>
      <c r="P144" s="12"/>
      <c r="Q144" s="5"/>
      <c r="V144" s="174"/>
      <c r="Z144" s="163"/>
      <c r="AA144" s="163"/>
      <c r="AB144" s="163"/>
      <c r="AC144" s="163"/>
      <c r="AD144" s="177">
        <f>J132/F109</f>
        <v>1.1141160715604854</v>
      </c>
      <c r="AE144" s="177"/>
      <c r="AF144" s="174" t="s">
        <v>186</v>
      </c>
      <c r="AG144" s="174"/>
      <c r="AH144" s="174"/>
      <c r="AI144" s="174"/>
      <c r="AJ144" s="616" t="s">
        <v>313</v>
      </c>
      <c r="AK144" s="616"/>
      <c r="AL144" s="163"/>
    </row>
    <row r="145" spans="3:39" ht="17.25" customHeight="1" x14ac:dyDescent="0.25">
      <c r="C145" s="302"/>
      <c r="D145" s="386"/>
      <c r="E145" s="360" t="s">
        <v>488</v>
      </c>
      <c r="F145" s="387">
        <f>D33</f>
        <v>18</v>
      </c>
      <c r="G145" s="388" t="s">
        <v>214</v>
      </c>
      <c r="H145" s="309"/>
      <c r="I145" s="309"/>
      <c r="J145" s="309"/>
      <c r="K145" s="298"/>
      <c r="L145" s="320"/>
      <c r="M145" s="320"/>
      <c r="N145" s="349"/>
      <c r="O145" s="5"/>
      <c r="P145" s="5"/>
      <c r="S145" s="5"/>
      <c r="V145" s="163"/>
      <c r="Z145" s="178" t="s">
        <v>196</v>
      </c>
      <c r="AA145" s="163"/>
      <c r="AB145" s="163"/>
      <c r="AC145" s="163"/>
      <c r="AD145" s="163"/>
      <c r="AE145" s="163"/>
      <c r="AF145" s="179" t="s">
        <v>197</v>
      </c>
      <c r="AG145" s="598">
        <f>H30</f>
        <v>0.05</v>
      </c>
      <c r="AH145" s="180" t="s">
        <v>184</v>
      </c>
      <c r="AI145" s="174"/>
      <c r="AJ145" s="163"/>
      <c r="AK145" s="615">
        <f>ROUNDUP(F145,0)</f>
        <v>18</v>
      </c>
      <c r="AL145" s="163"/>
    </row>
    <row r="146" spans="3:39" ht="15.75" customHeight="1" x14ac:dyDescent="0.2">
      <c r="C146" s="302"/>
      <c r="D146" s="298"/>
      <c r="E146" s="360" t="s">
        <v>215</v>
      </c>
      <c r="F146" s="389">
        <f>H30</f>
        <v>0.05</v>
      </c>
      <c r="G146" s="388" t="s">
        <v>382</v>
      </c>
      <c r="H146" s="309"/>
      <c r="I146" s="309"/>
      <c r="J146" s="309"/>
      <c r="K146" s="298"/>
      <c r="L146" s="320"/>
      <c r="M146" s="320"/>
      <c r="N146" s="349"/>
      <c r="O146" s="5"/>
      <c r="P146" s="5"/>
      <c r="AA146" s="945" t="s">
        <v>185</v>
      </c>
      <c r="AB146" s="945" t="s">
        <v>314</v>
      </c>
      <c r="AC146" s="945" t="s">
        <v>285</v>
      </c>
      <c r="AD146" s="945" t="s">
        <v>278</v>
      </c>
      <c r="AE146" s="984" t="s">
        <v>380</v>
      </c>
      <c r="AF146" s="945" t="s">
        <v>277</v>
      </c>
      <c r="AG146" s="1053" t="s">
        <v>279</v>
      </c>
      <c r="AH146" s="1053" t="s">
        <v>286</v>
      </c>
      <c r="AI146" s="945" t="s">
        <v>287</v>
      </c>
      <c r="AJ146" s="945" t="s">
        <v>280</v>
      </c>
      <c r="AK146" s="599"/>
      <c r="AL146" s="945" t="s">
        <v>289</v>
      </c>
      <c r="AM146" s="945" t="s">
        <v>288</v>
      </c>
    </row>
    <row r="147" spans="3:39" ht="12.75" customHeight="1" thickBot="1" x14ac:dyDescent="0.25">
      <c r="C147" s="302"/>
      <c r="D147" s="325"/>
      <c r="E147" s="298"/>
      <c r="F147" s="320"/>
      <c r="G147" s="320"/>
      <c r="H147" s="320"/>
      <c r="I147" s="320"/>
      <c r="J147" s="320"/>
      <c r="K147" s="320"/>
      <c r="L147" s="320"/>
      <c r="M147" s="320"/>
      <c r="N147" s="349"/>
      <c r="O147" s="5"/>
      <c r="P147" s="5"/>
      <c r="V147" s="163"/>
      <c r="AA147" s="980"/>
      <c r="AB147" s="980"/>
      <c r="AC147" s="980"/>
      <c r="AD147" s="980"/>
      <c r="AE147" s="985"/>
      <c r="AF147" s="980"/>
      <c r="AG147" s="1054"/>
      <c r="AH147" s="1054"/>
      <c r="AI147" s="980"/>
      <c r="AJ147" s="946"/>
      <c r="AK147" s="162"/>
      <c r="AL147" s="946"/>
      <c r="AM147" s="946"/>
    </row>
    <row r="148" spans="3:39" ht="47.25" customHeight="1" thickTop="1" thickBot="1" x14ac:dyDescent="0.25">
      <c r="C148" s="302"/>
      <c r="D148" s="325"/>
      <c r="E148" s="320"/>
      <c r="F148" s="83" t="str">
        <f t="shared" ref="F148:F160" si="64">F119</f>
        <v xml:space="preserve"> % of Popular  Vote for Eligible Parties</v>
      </c>
      <c r="G148" s="1049" t="s">
        <v>330</v>
      </c>
      <c r="H148" s="1050"/>
      <c r="I148" s="1050"/>
      <c r="J148" s="83" t="s">
        <v>8</v>
      </c>
      <c r="K148" s="82" t="s">
        <v>329</v>
      </c>
      <c r="L148" s="298"/>
      <c r="M148" s="298"/>
      <c r="N148" s="395"/>
      <c r="O148" s="545"/>
      <c r="P148" s="545"/>
      <c r="AA148" s="980"/>
      <c r="AB148" s="980"/>
      <c r="AC148" s="980"/>
      <c r="AD148" s="980"/>
      <c r="AE148" s="986"/>
      <c r="AF148" s="980"/>
      <c r="AG148" s="1054"/>
      <c r="AH148" s="1054"/>
      <c r="AI148" s="980"/>
      <c r="AJ148" s="946"/>
      <c r="AK148" s="600"/>
      <c r="AL148" s="946"/>
      <c r="AM148" s="946"/>
    </row>
    <row r="149" spans="3:39" ht="15.75" thickTop="1" x14ac:dyDescent="0.2">
      <c r="C149" s="302"/>
      <c r="D149" s="325">
        <v>1</v>
      </c>
      <c r="E149" s="222" t="str">
        <f t="shared" ref="E149:E160" si="65">E120</f>
        <v>Liberal</v>
      </c>
      <c r="F149" s="223">
        <f t="shared" si="64"/>
        <v>0.44224419954042588</v>
      </c>
      <c r="G149" s="1043">
        <f t="shared" ref="G149:G160" si="66">G41</f>
        <v>169</v>
      </c>
      <c r="H149" s="1044"/>
      <c r="I149" s="1045"/>
      <c r="J149" s="224">
        <f t="shared" ref="J149:J160" si="67">AM149</f>
        <v>0</v>
      </c>
      <c r="K149" s="225">
        <f>IF(G149+J149=0,"",G149+J149)</f>
        <v>169</v>
      </c>
      <c r="L149" s="298"/>
      <c r="M149" s="298"/>
      <c r="N149" s="369"/>
      <c r="O149" s="50"/>
      <c r="P149" s="50"/>
      <c r="Z149" s="181" t="str">
        <f t="shared" ref="Z149:Z160" si="68">E149</f>
        <v>Liberal</v>
      </c>
      <c r="AA149" s="274">
        <f t="shared" ref="AA149:AA155" si="69">IF(F120="Excluded"," ",J120)</f>
        <v>169</v>
      </c>
      <c r="AB149" s="271" t="str">
        <f t="shared" ref="AB149:AB160" si="70">IF(F97="Excluded","Not applic.",IF(G149/G$161&gt;AG$145,+"Not applic.",G149))</f>
        <v>Not applic.</v>
      </c>
      <c r="AC149" s="166" t="str">
        <f t="shared" ref="AC149:AC160" si="71">IF(AB149="Not applic.","no",IF(G149/G$161&lt;$AG$145,"yes","no"))</f>
        <v>no</v>
      </c>
      <c r="AD149" s="274">
        <f t="shared" ref="AD149:AD160" si="72">IF(AC149="no",0,J120/J$132*F$109)</f>
        <v>0</v>
      </c>
      <c r="AE149" s="275">
        <f t="shared" ref="AE149:AE160" si="73">G41</f>
        <v>169</v>
      </c>
      <c r="AF149" s="275">
        <f t="shared" ref="AF149:AF160" si="74">IF(AD149=0,0,G149)</f>
        <v>0</v>
      </c>
      <c r="AG149" s="274">
        <f t="shared" ref="AG149:AG150" si="75">IF(AD149&lt;AF149,0,AD149-AF149)</f>
        <v>0</v>
      </c>
      <c r="AH149" s="276">
        <f>IF(AB149=0,0,0)</f>
        <v>0</v>
      </c>
      <c r="AI149" s="274">
        <f>AG149-AH149</f>
        <v>0</v>
      </c>
      <c r="AJ149" s="191">
        <f t="shared" ref="AJ149:AJ160" si="76">IF(AG149=0,0,AG149/AG$161*AJ$161)</f>
        <v>0</v>
      </c>
      <c r="AK149" s="288">
        <f>IF(AJ149&lt;0,0,AJ149)</f>
        <v>0</v>
      </c>
      <c r="AL149" s="191">
        <f>ROUND(AK149,0)</f>
        <v>0</v>
      </c>
      <c r="AM149" s="191">
        <f t="shared" ref="AM149:AM160" si="77">IF($AG$145=0,0,AL149+AH149)</f>
        <v>0</v>
      </c>
    </row>
    <row r="150" spans="3:39" ht="15" x14ac:dyDescent="0.2">
      <c r="C150" s="302"/>
      <c r="D150" s="325">
        <f>1+D149</f>
        <v>2</v>
      </c>
      <c r="E150" s="226" t="str">
        <f t="shared" si="65"/>
        <v>Conservative</v>
      </c>
      <c r="F150" s="227">
        <f t="shared" si="64"/>
        <v>0.41755320426170106</v>
      </c>
      <c r="G150" s="909">
        <f t="shared" si="66"/>
        <v>144</v>
      </c>
      <c r="H150" s="910"/>
      <c r="I150" s="911"/>
      <c r="J150" s="224">
        <f t="shared" si="67"/>
        <v>0</v>
      </c>
      <c r="K150" s="225">
        <f t="shared" ref="K150:K160" si="78">G150+J150</f>
        <v>144</v>
      </c>
      <c r="L150" s="298"/>
      <c r="M150" s="298"/>
      <c r="N150" s="369"/>
      <c r="O150" s="50"/>
      <c r="P150" s="50"/>
      <c r="Z150" s="181" t="str">
        <f t="shared" si="68"/>
        <v>Conservative</v>
      </c>
      <c r="AA150" s="274">
        <f t="shared" si="69"/>
        <v>159.56453831064198</v>
      </c>
      <c r="AB150" s="271" t="str">
        <f t="shared" si="70"/>
        <v>Not applic.</v>
      </c>
      <c r="AC150" s="166" t="str">
        <f t="shared" si="71"/>
        <v>no</v>
      </c>
      <c r="AD150" s="274">
        <f t="shared" si="72"/>
        <v>0</v>
      </c>
      <c r="AE150" s="275">
        <f t="shared" si="73"/>
        <v>144</v>
      </c>
      <c r="AF150" s="275">
        <f t="shared" si="74"/>
        <v>0</v>
      </c>
      <c r="AG150" s="274">
        <f t="shared" si="75"/>
        <v>0</v>
      </c>
      <c r="AH150" s="276">
        <f t="shared" ref="AH150:AH160" si="79">IF(AB150=0,1,0)</f>
        <v>0</v>
      </c>
      <c r="AI150" s="274">
        <f t="shared" ref="AI150:AI160" si="80">AG150-AH150</f>
        <v>0</v>
      </c>
      <c r="AJ150" s="191">
        <f t="shared" si="76"/>
        <v>0</v>
      </c>
      <c r="AK150" s="288">
        <f t="shared" ref="AK150:AK160" si="81">IF(AJ150&lt;0,0,AJ150)</f>
        <v>0</v>
      </c>
      <c r="AL150" s="191">
        <f t="shared" ref="AL150:AL160" si="82">ROUND(AK150,0)</f>
        <v>0</v>
      </c>
      <c r="AM150" s="191">
        <f t="shared" si="77"/>
        <v>0</v>
      </c>
    </row>
    <row r="151" spans="3:39" ht="15" x14ac:dyDescent="0.2">
      <c r="C151" s="302"/>
      <c r="D151" s="326">
        <f t="shared" ref="D151:D160" si="83">1+D150</f>
        <v>3</v>
      </c>
      <c r="E151" s="226" t="str">
        <f t="shared" si="65"/>
        <v>Bloc Quebecois</v>
      </c>
      <c r="F151" s="227">
        <f t="shared" si="64"/>
        <v>6.3662932689102614E-2</v>
      </c>
      <c r="G151" s="909">
        <f t="shared" si="66"/>
        <v>22</v>
      </c>
      <c r="H151" s="910"/>
      <c r="I151" s="911"/>
      <c r="J151" s="224">
        <f t="shared" si="67"/>
        <v>0</v>
      </c>
      <c r="K151" s="225">
        <f t="shared" si="78"/>
        <v>22</v>
      </c>
      <c r="L151" s="298"/>
      <c r="M151" s="298"/>
      <c r="N151" s="369"/>
      <c r="O151" s="50"/>
      <c r="P151" s="50"/>
      <c r="Z151" s="181" t="str">
        <f t="shared" si="68"/>
        <v>Bloc Quebecois</v>
      </c>
      <c r="AA151" s="274">
        <f t="shared" si="69"/>
        <v>24.328268489759694</v>
      </c>
      <c r="AB151" s="271" t="str">
        <f t="shared" si="70"/>
        <v>Not applic.</v>
      </c>
      <c r="AC151" s="166" t="str">
        <f t="shared" si="71"/>
        <v>no</v>
      </c>
      <c r="AD151" s="274">
        <f t="shared" si="72"/>
        <v>0</v>
      </c>
      <c r="AE151" s="275">
        <f t="shared" si="73"/>
        <v>22</v>
      </c>
      <c r="AF151" s="275">
        <f t="shared" si="74"/>
        <v>0</v>
      </c>
      <c r="AG151" s="274">
        <f>IF(AD151&lt;AF151,0,AD151-AF151)</f>
        <v>0</v>
      </c>
      <c r="AH151" s="276">
        <f t="shared" si="79"/>
        <v>0</v>
      </c>
      <c r="AI151" s="274">
        <f t="shared" si="80"/>
        <v>0</v>
      </c>
      <c r="AJ151" s="191">
        <f t="shared" si="76"/>
        <v>0</v>
      </c>
      <c r="AK151" s="288">
        <f t="shared" si="81"/>
        <v>0</v>
      </c>
      <c r="AL151" s="191">
        <f t="shared" si="82"/>
        <v>0</v>
      </c>
      <c r="AM151" s="191">
        <f t="shared" si="77"/>
        <v>0</v>
      </c>
    </row>
    <row r="152" spans="3:39" ht="15" x14ac:dyDescent="0.2">
      <c r="C152" s="302"/>
      <c r="D152" s="326">
        <f t="shared" si="83"/>
        <v>4</v>
      </c>
      <c r="E152" s="226" t="str">
        <f t="shared" si="65"/>
        <v>NDP</v>
      </c>
      <c r="F152" s="227">
        <f t="shared" si="64"/>
        <v>6.3890659379274878E-2</v>
      </c>
      <c r="G152" s="909">
        <f t="shared" si="66"/>
        <v>7</v>
      </c>
      <c r="H152" s="910"/>
      <c r="I152" s="911"/>
      <c r="J152" s="224">
        <f t="shared" si="67"/>
        <v>15</v>
      </c>
      <c r="K152" s="225">
        <f t="shared" si="78"/>
        <v>22</v>
      </c>
      <c r="L152" s="298"/>
      <c r="M152" s="298"/>
      <c r="N152" s="369"/>
      <c r="O152" s="50"/>
      <c r="P152" s="50"/>
      <c r="Z152" s="181" t="str">
        <f t="shared" si="68"/>
        <v>NDP</v>
      </c>
      <c r="AA152" s="274">
        <f t="shared" si="69"/>
        <v>24.415292379907054</v>
      </c>
      <c r="AB152" s="271">
        <f t="shared" si="70"/>
        <v>7</v>
      </c>
      <c r="AC152" s="166" t="str">
        <f t="shared" si="71"/>
        <v>yes</v>
      </c>
      <c r="AD152" s="274">
        <f t="shared" si="72"/>
        <v>21.914496167091283</v>
      </c>
      <c r="AE152" s="275">
        <f t="shared" si="73"/>
        <v>7</v>
      </c>
      <c r="AF152" s="275">
        <f t="shared" si="74"/>
        <v>7</v>
      </c>
      <c r="AG152" s="274">
        <f t="shared" ref="AG152:AG160" si="84">IF(AD152&lt;AF152,0,AD152-AF152)</f>
        <v>14.914496167091283</v>
      </c>
      <c r="AH152" s="276">
        <f t="shared" si="79"/>
        <v>0</v>
      </c>
      <c r="AI152" s="274">
        <f t="shared" si="80"/>
        <v>14.914496167091283</v>
      </c>
      <c r="AJ152" s="191">
        <f t="shared" si="76"/>
        <v>14.707686014695719</v>
      </c>
      <c r="AK152" s="288">
        <f t="shared" si="81"/>
        <v>14.707686014695719</v>
      </c>
      <c r="AL152" s="191">
        <f t="shared" si="82"/>
        <v>15</v>
      </c>
      <c r="AM152" s="191">
        <f t="shared" si="77"/>
        <v>15</v>
      </c>
    </row>
    <row r="153" spans="3:39" ht="15" customHeight="1" x14ac:dyDescent="0.2">
      <c r="C153" s="302"/>
      <c r="D153" s="326">
        <f t="shared" si="83"/>
        <v>5</v>
      </c>
      <c r="E153" s="226" t="str">
        <f t="shared" si="65"/>
        <v>Green</v>
      </c>
      <c r="F153" s="227">
        <f t="shared" si="64"/>
        <v>1.2649004129495621E-2</v>
      </c>
      <c r="G153" s="909">
        <f t="shared" si="66"/>
        <v>1</v>
      </c>
      <c r="H153" s="910"/>
      <c r="I153" s="911"/>
      <c r="J153" s="224">
        <f t="shared" si="67"/>
        <v>3</v>
      </c>
      <c r="K153" s="225">
        <f t="shared" si="78"/>
        <v>4</v>
      </c>
      <c r="L153" s="298"/>
      <c r="M153" s="298"/>
      <c r="N153" s="369"/>
      <c r="O153" s="50"/>
      <c r="P153" s="50"/>
      <c r="Z153" s="181" t="str">
        <f t="shared" si="68"/>
        <v>Green</v>
      </c>
      <c r="AA153" s="274">
        <f t="shared" si="69"/>
        <v>4.8337133649377639</v>
      </c>
      <c r="AB153" s="271">
        <f t="shared" si="70"/>
        <v>1</v>
      </c>
      <c r="AC153" s="166" t="str">
        <f t="shared" si="71"/>
        <v>yes</v>
      </c>
      <c r="AD153" s="274">
        <f t="shared" si="72"/>
        <v>4.3386084164169976</v>
      </c>
      <c r="AE153" s="275">
        <f t="shared" si="73"/>
        <v>1</v>
      </c>
      <c r="AF153" s="275">
        <f t="shared" si="74"/>
        <v>1</v>
      </c>
      <c r="AG153" s="274">
        <f t="shared" si="84"/>
        <v>3.3386084164169976</v>
      </c>
      <c r="AH153" s="276">
        <v>0</v>
      </c>
      <c r="AI153" s="274">
        <f t="shared" si="80"/>
        <v>3.3386084164169976</v>
      </c>
      <c r="AJ153" s="191">
        <f t="shared" si="76"/>
        <v>3.2923139853042791</v>
      </c>
      <c r="AK153" s="288">
        <f t="shared" si="81"/>
        <v>3.2923139853042791</v>
      </c>
      <c r="AL153" s="191">
        <f t="shared" si="82"/>
        <v>3</v>
      </c>
      <c r="AM153" s="191">
        <f t="shared" si="77"/>
        <v>3</v>
      </c>
    </row>
    <row r="154" spans="3:39" ht="15" x14ac:dyDescent="0.2">
      <c r="C154" s="302"/>
      <c r="D154" s="326">
        <f t="shared" si="83"/>
        <v>6</v>
      </c>
      <c r="E154" s="226" t="str">
        <f t="shared" si="65"/>
        <v>Peoples Party</v>
      </c>
      <c r="F154" s="227">
        <f t="shared" si="64"/>
        <v>0</v>
      </c>
      <c r="G154" s="909">
        <f t="shared" si="66"/>
        <v>0</v>
      </c>
      <c r="H154" s="910"/>
      <c r="I154" s="911"/>
      <c r="J154" s="224">
        <f t="shared" si="67"/>
        <v>0</v>
      </c>
      <c r="K154" s="225">
        <f t="shared" si="78"/>
        <v>0</v>
      </c>
      <c r="L154" s="298"/>
      <c r="M154" s="298"/>
      <c r="N154" s="369"/>
      <c r="O154" s="50"/>
      <c r="P154" s="50"/>
      <c r="Z154" s="181" t="str">
        <f t="shared" si="68"/>
        <v>Peoples Party</v>
      </c>
      <c r="AA154" s="274">
        <f t="shared" si="69"/>
        <v>0</v>
      </c>
      <c r="AB154" s="271" t="str">
        <f t="shared" si="70"/>
        <v>Not applic.</v>
      </c>
      <c r="AC154" s="166" t="str">
        <f t="shared" si="71"/>
        <v>no</v>
      </c>
      <c r="AD154" s="274">
        <f t="shared" si="72"/>
        <v>0</v>
      </c>
      <c r="AE154" s="275">
        <f t="shared" si="73"/>
        <v>0</v>
      </c>
      <c r="AF154" s="275">
        <f t="shared" si="74"/>
        <v>0</v>
      </c>
      <c r="AG154" s="274">
        <f t="shared" si="84"/>
        <v>0</v>
      </c>
      <c r="AH154" s="276">
        <f t="shared" si="79"/>
        <v>0</v>
      </c>
      <c r="AI154" s="274">
        <f t="shared" si="80"/>
        <v>0</v>
      </c>
      <c r="AJ154" s="191">
        <f t="shared" si="76"/>
        <v>0</v>
      </c>
      <c r="AK154" s="288">
        <f t="shared" si="81"/>
        <v>0</v>
      </c>
      <c r="AL154" s="191">
        <f t="shared" si="82"/>
        <v>0</v>
      </c>
      <c r="AM154" s="191">
        <f t="shared" si="77"/>
        <v>0</v>
      </c>
    </row>
    <row r="155" spans="3:39" ht="15" x14ac:dyDescent="0.2">
      <c r="C155" s="302"/>
      <c r="D155" s="326">
        <f t="shared" si="83"/>
        <v>7</v>
      </c>
      <c r="E155" s="226" t="str">
        <f t="shared" si="65"/>
        <v>Other parties</v>
      </c>
      <c r="F155" s="227">
        <f t="shared" si="64"/>
        <v>0</v>
      </c>
      <c r="G155" s="909">
        <f t="shared" si="66"/>
        <v>0</v>
      </c>
      <c r="H155" s="910"/>
      <c r="I155" s="911"/>
      <c r="J155" s="224">
        <f t="shared" si="67"/>
        <v>0</v>
      </c>
      <c r="K155" s="225">
        <f t="shared" si="78"/>
        <v>0</v>
      </c>
      <c r="L155" s="298"/>
      <c r="M155" s="298"/>
      <c r="N155" s="369"/>
      <c r="O155" s="50"/>
      <c r="P155" s="50"/>
      <c r="Z155" s="181" t="str">
        <f t="shared" si="68"/>
        <v>Other parties</v>
      </c>
      <c r="AA155" s="274">
        <f t="shared" si="69"/>
        <v>0</v>
      </c>
      <c r="AB155" s="271" t="str">
        <f t="shared" si="70"/>
        <v>Not applic.</v>
      </c>
      <c r="AC155" s="166" t="str">
        <f t="shared" si="71"/>
        <v>no</v>
      </c>
      <c r="AD155" s="274">
        <f t="shared" si="72"/>
        <v>0</v>
      </c>
      <c r="AE155" s="275">
        <f t="shared" si="73"/>
        <v>0</v>
      </c>
      <c r="AF155" s="275">
        <f t="shared" si="74"/>
        <v>0</v>
      </c>
      <c r="AG155" s="274">
        <f t="shared" si="84"/>
        <v>0</v>
      </c>
      <c r="AH155" s="276">
        <f t="shared" si="79"/>
        <v>0</v>
      </c>
      <c r="AI155" s="274">
        <f t="shared" si="80"/>
        <v>0</v>
      </c>
      <c r="AJ155" s="191">
        <f t="shared" si="76"/>
        <v>0</v>
      </c>
      <c r="AK155" s="288">
        <f t="shared" si="81"/>
        <v>0</v>
      </c>
      <c r="AL155" s="191">
        <f t="shared" si="82"/>
        <v>0</v>
      </c>
      <c r="AM155" s="191">
        <f t="shared" si="77"/>
        <v>0</v>
      </c>
    </row>
    <row r="156" spans="3:39" ht="15" x14ac:dyDescent="0.2">
      <c r="C156" s="302"/>
      <c r="D156" s="326">
        <f t="shared" si="83"/>
        <v>8</v>
      </c>
      <c r="E156" s="226">
        <f t="shared" si="65"/>
        <v>0</v>
      </c>
      <c r="F156" s="227">
        <f t="shared" si="64"/>
        <v>0</v>
      </c>
      <c r="G156" s="909">
        <f t="shared" si="66"/>
        <v>0</v>
      </c>
      <c r="H156" s="910"/>
      <c r="I156" s="911"/>
      <c r="J156" s="224">
        <f t="shared" si="67"/>
        <v>0</v>
      </c>
      <c r="K156" s="225">
        <f t="shared" si="78"/>
        <v>0</v>
      </c>
      <c r="L156" s="298"/>
      <c r="M156" s="298"/>
      <c r="N156" s="369"/>
      <c r="O156" s="50"/>
      <c r="P156" s="50"/>
      <c r="Z156" s="181">
        <f t="shared" si="68"/>
        <v>0</v>
      </c>
      <c r="AA156" s="274">
        <f>IF(F127="Excluded","Excluded",J127)</f>
        <v>0</v>
      </c>
      <c r="AB156" s="271" t="str">
        <f t="shared" si="70"/>
        <v>Not applic.</v>
      </c>
      <c r="AC156" s="166" t="str">
        <f t="shared" si="71"/>
        <v>no</v>
      </c>
      <c r="AD156" s="274">
        <f t="shared" si="72"/>
        <v>0</v>
      </c>
      <c r="AE156" s="275">
        <f t="shared" si="73"/>
        <v>0</v>
      </c>
      <c r="AF156" s="275">
        <f t="shared" si="74"/>
        <v>0</v>
      </c>
      <c r="AG156" s="274">
        <f t="shared" si="84"/>
        <v>0</v>
      </c>
      <c r="AH156" s="276">
        <f t="shared" si="79"/>
        <v>0</v>
      </c>
      <c r="AI156" s="274">
        <f t="shared" si="80"/>
        <v>0</v>
      </c>
      <c r="AJ156" s="191">
        <f t="shared" si="76"/>
        <v>0</v>
      </c>
      <c r="AK156" s="288">
        <f t="shared" si="81"/>
        <v>0</v>
      </c>
      <c r="AL156" s="191">
        <f t="shared" si="82"/>
        <v>0</v>
      </c>
      <c r="AM156" s="191">
        <f t="shared" si="77"/>
        <v>0</v>
      </c>
    </row>
    <row r="157" spans="3:39" ht="15" x14ac:dyDescent="0.2">
      <c r="C157" s="302"/>
      <c r="D157" s="326">
        <f t="shared" si="83"/>
        <v>9</v>
      </c>
      <c r="E157" s="226">
        <f t="shared" si="65"/>
        <v>0</v>
      </c>
      <c r="F157" s="227">
        <f t="shared" si="64"/>
        <v>0</v>
      </c>
      <c r="G157" s="909">
        <f t="shared" si="66"/>
        <v>0</v>
      </c>
      <c r="H157" s="910"/>
      <c r="I157" s="911"/>
      <c r="J157" s="224">
        <f t="shared" si="67"/>
        <v>0</v>
      </c>
      <c r="K157" s="225">
        <f t="shared" si="78"/>
        <v>0</v>
      </c>
      <c r="L157" s="298"/>
      <c r="M157" s="298"/>
      <c r="N157" s="369"/>
      <c r="O157" s="50"/>
      <c r="P157" s="50"/>
      <c r="Z157" s="181">
        <f t="shared" si="68"/>
        <v>0</v>
      </c>
      <c r="AA157" s="274">
        <f>IF(F128="Excluded","Excluded",J128)</f>
        <v>0</v>
      </c>
      <c r="AB157" s="271" t="str">
        <f t="shared" si="70"/>
        <v>Not applic.</v>
      </c>
      <c r="AC157" s="166" t="str">
        <f t="shared" si="71"/>
        <v>no</v>
      </c>
      <c r="AD157" s="274">
        <f t="shared" si="72"/>
        <v>0</v>
      </c>
      <c r="AE157" s="275">
        <f t="shared" si="73"/>
        <v>0</v>
      </c>
      <c r="AF157" s="275">
        <f t="shared" si="74"/>
        <v>0</v>
      </c>
      <c r="AG157" s="274">
        <f t="shared" si="84"/>
        <v>0</v>
      </c>
      <c r="AH157" s="276">
        <f t="shared" si="79"/>
        <v>0</v>
      </c>
      <c r="AI157" s="274">
        <f t="shared" si="80"/>
        <v>0</v>
      </c>
      <c r="AJ157" s="191">
        <f t="shared" si="76"/>
        <v>0</v>
      </c>
      <c r="AK157" s="288">
        <f t="shared" si="81"/>
        <v>0</v>
      </c>
      <c r="AL157" s="191">
        <f t="shared" si="82"/>
        <v>0</v>
      </c>
      <c r="AM157" s="191">
        <f t="shared" si="77"/>
        <v>0</v>
      </c>
    </row>
    <row r="158" spans="3:39" ht="15" x14ac:dyDescent="0.2">
      <c r="C158" s="302"/>
      <c r="D158" s="326">
        <f t="shared" si="83"/>
        <v>10</v>
      </c>
      <c r="E158" s="226">
        <f t="shared" si="65"/>
        <v>0</v>
      </c>
      <c r="F158" s="227">
        <f t="shared" si="64"/>
        <v>0</v>
      </c>
      <c r="G158" s="909">
        <f t="shared" si="66"/>
        <v>0</v>
      </c>
      <c r="H158" s="910"/>
      <c r="I158" s="911"/>
      <c r="J158" s="224">
        <f t="shared" si="67"/>
        <v>0</v>
      </c>
      <c r="K158" s="225">
        <f t="shared" si="78"/>
        <v>0</v>
      </c>
      <c r="L158" s="298"/>
      <c r="M158" s="298"/>
      <c r="N158" s="369"/>
      <c r="O158" s="50"/>
      <c r="P158" s="50"/>
      <c r="Z158" s="181">
        <f t="shared" si="68"/>
        <v>0</v>
      </c>
      <c r="AA158" s="274">
        <f>IF(F129="Excluded","Excluded",J129)</f>
        <v>0</v>
      </c>
      <c r="AB158" s="271" t="str">
        <f t="shared" si="70"/>
        <v>Not applic.</v>
      </c>
      <c r="AC158" s="166" t="str">
        <f t="shared" si="71"/>
        <v>no</v>
      </c>
      <c r="AD158" s="274">
        <f t="shared" si="72"/>
        <v>0</v>
      </c>
      <c r="AE158" s="275">
        <f t="shared" si="73"/>
        <v>0</v>
      </c>
      <c r="AF158" s="275">
        <f t="shared" si="74"/>
        <v>0</v>
      </c>
      <c r="AG158" s="274">
        <f t="shared" si="84"/>
        <v>0</v>
      </c>
      <c r="AH158" s="276">
        <f t="shared" si="79"/>
        <v>0</v>
      </c>
      <c r="AI158" s="274">
        <f t="shared" si="80"/>
        <v>0</v>
      </c>
      <c r="AJ158" s="191">
        <f t="shared" si="76"/>
        <v>0</v>
      </c>
      <c r="AK158" s="288">
        <f t="shared" si="81"/>
        <v>0</v>
      </c>
      <c r="AL158" s="191">
        <f t="shared" si="82"/>
        <v>0</v>
      </c>
      <c r="AM158" s="191">
        <f t="shared" si="77"/>
        <v>0</v>
      </c>
    </row>
    <row r="159" spans="3:39" ht="15" x14ac:dyDescent="0.2">
      <c r="C159" s="302"/>
      <c r="D159" s="326">
        <f t="shared" si="83"/>
        <v>11</v>
      </c>
      <c r="E159" s="226">
        <f t="shared" si="65"/>
        <v>0</v>
      </c>
      <c r="F159" s="227">
        <f t="shared" si="64"/>
        <v>0</v>
      </c>
      <c r="G159" s="909">
        <f t="shared" si="66"/>
        <v>0</v>
      </c>
      <c r="H159" s="910"/>
      <c r="I159" s="911"/>
      <c r="J159" s="224">
        <f t="shared" si="67"/>
        <v>0</v>
      </c>
      <c r="K159" s="225">
        <f t="shared" si="78"/>
        <v>0</v>
      </c>
      <c r="L159" s="298"/>
      <c r="M159" s="298"/>
      <c r="N159" s="369"/>
      <c r="O159" s="50"/>
      <c r="P159" s="50"/>
      <c r="Z159" s="181">
        <f t="shared" si="68"/>
        <v>0</v>
      </c>
      <c r="AA159" s="274">
        <f>IF(F130="Excluded","Excluded",J130)</f>
        <v>0</v>
      </c>
      <c r="AB159" s="271" t="str">
        <f t="shared" si="70"/>
        <v>Not applic.</v>
      </c>
      <c r="AC159" s="166" t="str">
        <f t="shared" si="71"/>
        <v>no</v>
      </c>
      <c r="AD159" s="274">
        <f t="shared" si="72"/>
        <v>0</v>
      </c>
      <c r="AE159" s="275">
        <f t="shared" si="73"/>
        <v>0</v>
      </c>
      <c r="AF159" s="275">
        <f t="shared" si="74"/>
        <v>0</v>
      </c>
      <c r="AG159" s="274">
        <f t="shared" si="84"/>
        <v>0</v>
      </c>
      <c r="AH159" s="276">
        <f t="shared" si="79"/>
        <v>0</v>
      </c>
      <c r="AI159" s="274">
        <f t="shared" si="80"/>
        <v>0</v>
      </c>
      <c r="AJ159" s="191">
        <f t="shared" si="76"/>
        <v>0</v>
      </c>
      <c r="AK159" s="288">
        <f t="shared" si="81"/>
        <v>0</v>
      </c>
      <c r="AL159" s="191">
        <f t="shared" si="82"/>
        <v>0</v>
      </c>
      <c r="AM159" s="191">
        <f t="shared" si="77"/>
        <v>0</v>
      </c>
    </row>
    <row r="160" spans="3:39" ht="15.75" thickBot="1" x14ac:dyDescent="0.25">
      <c r="C160" s="302"/>
      <c r="D160" s="326">
        <f t="shared" si="83"/>
        <v>12</v>
      </c>
      <c r="E160" s="228">
        <f t="shared" si="65"/>
        <v>0</v>
      </c>
      <c r="F160" s="229">
        <f t="shared" si="64"/>
        <v>0</v>
      </c>
      <c r="G160" s="1008">
        <f t="shared" si="66"/>
        <v>0</v>
      </c>
      <c r="H160" s="1009"/>
      <c r="I160" s="1010"/>
      <c r="J160" s="224">
        <f t="shared" si="67"/>
        <v>0</v>
      </c>
      <c r="K160" s="225">
        <f t="shared" si="78"/>
        <v>0</v>
      </c>
      <c r="L160" s="298"/>
      <c r="M160" s="298"/>
      <c r="N160" s="369"/>
      <c r="O160" s="50"/>
      <c r="P160" s="50"/>
      <c r="Z160" s="181">
        <f t="shared" si="68"/>
        <v>0</v>
      </c>
      <c r="AA160" s="274">
        <f>IF(F131="Excluded","Excluded",J131)</f>
        <v>0</v>
      </c>
      <c r="AB160" s="271" t="str">
        <f t="shared" si="70"/>
        <v>Not applic.</v>
      </c>
      <c r="AC160" s="166" t="str">
        <f t="shared" si="71"/>
        <v>no</v>
      </c>
      <c r="AD160" s="274">
        <f t="shared" si="72"/>
        <v>0</v>
      </c>
      <c r="AE160" s="275">
        <f t="shared" si="73"/>
        <v>0</v>
      </c>
      <c r="AF160" s="275">
        <f t="shared" si="74"/>
        <v>0</v>
      </c>
      <c r="AG160" s="274">
        <f t="shared" si="84"/>
        <v>0</v>
      </c>
      <c r="AH160" s="276">
        <f t="shared" si="79"/>
        <v>0</v>
      </c>
      <c r="AI160" s="274">
        <f t="shared" si="80"/>
        <v>0</v>
      </c>
      <c r="AJ160" s="191">
        <f t="shared" si="76"/>
        <v>0</v>
      </c>
      <c r="AK160" s="288">
        <f t="shared" si="81"/>
        <v>0</v>
      </c>
      <c r="AL160" s="191">
        <f t="shared" si="82"/>
        <v>0</v>
      </c>
      <c r="AM160" s="191">
        <f t="shared" si="77"/>
        <v>0</v>
      </c>
    </row>
    <row r="161" spans="3:49" ht="25.5" customHeight="1" thickTop="1" thickBot="1" x14ac:dyDescent="0.25">
      <c r="C161" s="302"/>
      <c r="D161" s="325"/>
      <c r="E161" s="17" t="s">
        <v>4</v>
      </c>
      <c r="F161" s="84">
        <f>SUM(F149:F160)</f>
        <v>1</v>
      </c>
      <c r="G161" s="1055">
        <f>SUM(G149:G160)</f>
        <v>343</v>
      </c>
      <c r="H161" s="1055"/>
      <c r="I161" s="1055"/>
      <c r="J161" s="33">
        <f>SUM(J149:J160)</f>
        <v>18</v>
      </c>
      <c r="K161" s="127">
        <f>SUM(K149:K160)</f>
        <v>361</v>
      </c>
      <c r="L161" s="298"/>
      <c r="M161" s="298"/>
      <c r="N161" s="394"/>
      <c r="O161" s="151"/>
      <c r="P161" s="151"/>
      <c r="Z161" s="163"/>
      <c r="AA161" s="614">
        <f t="shared" ref="AA161" si="85">SUM(AA149:AA160)</f>
        <v>382.14181254524647</v>
      </c>
      <c r="AB161" s="192">
        <f t="shared" ref="AB161" si="86">SUM(AB149:AB160)</f>
        <v>8</v>
      </c>
      <c r="AC161" s="163"/>
      <c r="AD161" s="698">
        <f t="shared" ref="AD161" si="87">SUM(AD149:AD160)</f>
        <v>26.253104583508282</v>
      </c>
      <c r="AE161" s="699">
        <f>SUM(AE149:AE160)</f>
        <v>343</v>
      </c>
      <c r="AF161" s="275">
        <f>SUM(AF149:AF160)</f>
        <v>8</v>
      </c>
      <c r="AG161" s="614">
        <f>SUM(AG149:AG160)</f>
        <v>18.253104583508282</v>
      </c>
      <c r="AH161" s="614">
        <f>SUM(AH149:AH160)</f>
        <v>0</v>
      </c>
      <c r="AI161" s="614">
        <f>SUM(AI149:AI160)</f>
        <v>18.253104583508282</v>
      </c>
      <c r="AJ161" s="182">
        <f>AK145-AH161</f>
        <v>18</v>
      </c>
      <c r="AK161" s="803">
        <f>SUM(AK149:AK160)</f>
        <v>18</v>
      </c>
      <c r="AL161" s="182">
        <f>SUM(AL149:AL160)</f>
        <v>18</v>
      </c>
      <c r="AM161" s="182">
        <f t="shared" ref="AM161" si="88">AL161+AH161</f>
        <v>18</v>
      </c>
    </row>
    <row r="162" spans="3:49" ht="15" customHeight="1" thickTop="1" thickBot="1" x14ac:dyDescent="0.25">
      <c r="C162" s="302"/>
      <c r="D162" s="325"/>
      <c r="E162" s="390"/>
      <c r="F162" s="391"/>
      <c r="G162" s="392"/>
      <c r="H162" s="392"/>
      <c r="I162" s="392"/>
      <c r="J162" s="632" t="s">
        <v>155</v>
      </c>
      <c r="K162" s="393"/>
      <c r="L162" s="298"/>
      <c r="M162" s="298"/>
      <c r="N162" s="394"/>
      <c r="O162" s="151"/>
      <c r="P162" s="151"/>
      <c r="AJ162" s="804" t="s">
        <v>459</v>
      </c>
      <c r="AK162" s="117"/>
      <c r="AL162" s="117"/>
      <c r="AM162" s="117"/>
    </row>
    <row r="163" spans="3:49" ht="8.25" customHeight="1" x14ac:dyDescent="0.2">
      <c r="C163" s="302"/>
      <c r="D163" s="325"/>
      <c r="E163" s="390"/>
      <c r="F163" s="391"/>
      <c r="G163" s="392"/>
      <c r="H163" s="392"/>
      <c r="I163" s="392"/>
      <c r="J163" s="337"/>
      <c r="K163" s="393"/>
      <c r="L163" s="298"/>
      <c r="M163" s="298"/>
      <c r="N163" s="394"/>
      <c r="O163" s="151"/>
      <c r="P163" s="151"/>
      <c r="T163" s="125"/>
      <c r="U163" s="125"/>
      <c r="V163" s="184"/>
      <c r="W163" s="183"/>
      <c r="X163" s="183"/>
      <c r="Y163" s="177"/>
      <c r="Z163" s="185"/>
      <c r="AB163" s="183"/>
      <c r="AC163" s="183"/>
      <c r="AD163" s="183"/>
      <c r="AE163" s="183"/>
      <c r="AF163" s="186"/>
      <c r="AG163" s="183"/>
      <c r="AH163" s="163"/>
      <c r="AI163" s="163"/>
      <c r="AJ163" s="163"/>
      <c r="AL163" s="117"/>
      <c r="AM163" s="117"/>
    </row>
    <row r="164" spans="3:49" ht="16.5" customHeight="1" x14ac:dyDescent="0.2">
      <c r="C164" s="302"/>
      <c r="D164" s="942" t="s">
        <v>489</v>
      </c>
      <c r="E164" s="942"/>
      <c r="F164" s="942"/>
      <c r="G164" s="942"/>
      <c r="H164" s="942"/>
      <c r="I164" s="942"/>
      <c r="J164" s="942"/>
      <c r="K164" s="942"/>
      <c r="L164" s="942"/>
      <c r="M164" s="942"/>
      <c r="N164" s="394"/>
      <c r="O164" s="151"/>
      <c r="P164" s="151"/>
      <c r="T164" s="125"/>
      <c r="U164" s="125"/>
      <c r="V164" s="184"/>
      <c r="W164" s="183"/>
      <c r="X164" s="183"/>
      <c r="Y164" s="177"/>
      <c r="Z164" s="185"/>
      <c r="AB164" s="183"/>
      <c r="AC164" s="183"/>
      <c r="AD164" s="183"/>
      <c r="AE164" s="183"/>
      <c r="AF164" s="186"/>
      <c r="AG164" s="183"/>
      <c r="AH164" s="163"/>
      <c r="AI164" s="163"/>
      <c r="AJ164" s="163"/>
      <c r="AL164" s="117"/>
      <c r="AM164" s="117"/>
    </row>
    <row r="165" spans="3:49" ht="27.75" customHeight="1" x14ac:dyDescent="0.2">
      <c r="C165" s="302"/>
      <c r="D165" s="942"/>
      <c r="E165" s="942"/>
      <c r="F165" s="942"/>
      <c r="G165" s="942"/>
      <c r="H165" s="942"/>
      <c r="I165" s="942"/>
      <c r="J165" s="942"/>
      <c r="K165" s="942"/>
      <c r="L165" s="942"/>
      <c r="M165" s="942"/>
      <c r="N165" s="394"/>
      <c r="O165" s="151"/>
      <c r="P165" s="151"/>
      <c r="T165" s="125"/>
      <c r="U165" s="125"/>
      <c r="V165" s="184"/>
      <c r="W165" s="183"/>
      <c r="X165" s="183"/>
      <c r="Y165" s="177"/>
      <c r="Z165" s="185"/>
      <c r="AB165" s="183"/>
      <c r="AC165" s="183"/>
      <c r="AD165" s="183"/>
      <c r="AE165" s="183"/>
      <c r="AF165" s="186"/>
      <c r="AG165" s="183"/>
      <c r="AH165" s="163"/>
      <c r="AI165" s="163"/>
      <c r="AJ165" s="163"/>
      <c r="AL165" s="117"/>
      <c r="AM165" s="117"/>
    </row>
    <row r="166" spans="3:49" ht="16.5" customHeight="1" x14ac:dyDescent="0.2">
      <c r="C166" s="302"/>
      <c r="D166" s="942"/>
      <c r="E166" s="942"/>
      <c r="F166" s="942"/>
      <c r="G166" s="942"/>
      <c r="H166" s="942"/>
      <c r="I166" s="942"/>
      <c r="J166" s="942"/>
      <c r="K166" s="942"/>
      <c r="L166" s="942"/>
      <c r="M166" s="942"/>
      <c r="N166" s="394"/>
      <c r="O166" s="151"/>
      <c r="P166" s="151"/>
      <c r="T166" s="125"/>
      <c r="U166" s="125"/>
      <c r="V166" s="184"/>
      <c r="W166" s="183"/>
      <c r="X166" s="183"/>
      <c r="Y166" s="177"/>
      <c r="Z166" s="185"/>
      <c r="AB166" s="183"/>
      <c r="AC166" s="183"/>
      <c r="AD166" s="183"/>
      <c r="AE166" s="183"/>
      <c r="AF166" s="186"/>
      <c r="AG166" s="183"/>
      <c r="AH166" s="163"/>
      <c r="AI166" s="163"/>
      <c r="AJ166" s="163"/>
      <c r="AL166" s="117"/>
      <c r="AM166" s="117"/>
    </row>
    <row r="167" spans="3:49" ht="16.5" customHeight="1" x14ac:dyDescent="0.2">
      <c r="C167" s="302"/>
      <c r="D167" s="942"/>
      <c r="E167" s="942"/>
      <c r="F167" s="942"/>
      <c r="G167" s="942"/>
      <c r="H167" s="942"/>
      <c r="I167" s="942"/>
      <c r="J167" s="942"/>
      <c r="K167" s="942"/>
      <c r="L167" s="942"/>
      <c r="M167" s="942"/>
      <c r="N167" s="394"/>
      <c r="O167" s="151"/>
      <c r="P167" s="151"/>
      <c r="T167" s="125"/>
      <c r="U167" s="125"/>
      <c r="V167" s="184"/>
      <c r="W167" s="183"/>
      <c r="X167" s="183"/>
      <c r="Y167" s="177"/>
      <c r="Z167" s="185"/>
      <c r="AB167" s="183"/>
      <c r="AC167" s="183"/>
      <c r="AD167" s="183"/>
      <c r="AE167" s="183"/>
      <c r="AF167" s="186"/>
      <c r="AG167" s="183"/>
      <c r="AH167" s="163"/>
      <c r="AI167" s="163"/>
      <c r="AJ167" s="163"/>
      <c r="AL167" s="117"/>
      <c r="AM167" s="117"/>
    </row>
    <row r="168" spans="3:49" ht="16.5" customHeight="1" x14ac:dyDescent="0.2">
      <c r="C168" s="302"/>
      <c r="D168" s="942"/>
      <c r="E168" s="942"/>
      <c r="F168" s="942"/>
      <c r="G168" s="942"/>
      <c r="H168" s="942"/>
      <c r="I168" s="942"/>
      <c r="J168" s="942"/>
      <c r="K168" s="942"/>
      <c r="L168" s="942"/>
      <c r="M168" s="942"/>
      <c r="N168" s="394"/>
      <c r="O168" s="151"/>
      <c r="P168" s="151"/>
      <c r="T168" s="125"/>
      <c r="U168" s="125"/>
      <c r="V168" s="184"/>
      <c r="W168" s="183"/>
      <c r="X168" s="183"/>
      <c r="Y168" s="177"/>
      <c r="Z168" s="185"/>
      <c r="AB168" s="183"/>
      <c r="AC168" s="183"/>
      <c r="AD168" s="183"/>
      <c r="AE168" s="183"/>
      <c r="AF168" s="186"/>
      <c r="AG168" s="183"/>
      <c r="AH168" s="163"/>
      <c r="AI168" s="163"/>
      <c r="AJ168" s="163"/>
      <c r="AL168" s="117"/>
      <c r="AM168" s="117"/>
    </row>
    <row r="169" spans="3:49" ht="5.25" customHeight="1" thickBot="1" x14ac:dyDescent="0.25">
      <c r="C169" s="318"/>
      <c r="D169" s="548" t="s">
        <v>1</v>
      </c>
      <c r="E169" s="356"/>
      <c r="F169" s="356"/>
      <c r="G169" s="356"/>
      <c r="H169" s="356"/>
      <c r="I169" s="356"/>
      <c r="J169" s="298"/>
      <c r="K169" s="298"/>
      <c r="L169" s="356"/>
      <c r="M169" s="298"/>
      <c r="N169" s="358"/>
      <c r="O169" s="5"/>
      <c r="P169" s="5"/>
      <c r="V169" s="163"/>
      <c r="W169" s="163"/>
      <c r="X169" s="163"/>
      <c r="Y169" s="163"/>
      <c r="AI169" s="163"/>
    </row>
    <row r="170" spans="3:49" ht="12" customHeight="1" x14ac:dyDescent="0.2">
      <c r="C170" s="110"/>
      <c r="D170" s="113"/>
      <c r="E170" s="111"/>
      <c r="F170" s="111"/>
      <c r="G170" s="111"/>
      <c r="H170" s="111"/>
      <c r="I170" s="111"/>
      <c r="J170" s="111"/>
      <c r="K170" s="111"/>
      <c r="L170" s="111"/>
      <c r="M170" s="111"/>
      <c r="N170" s="111"/>
      <c r="O170" s="5"/>
      <c r="P170" s="5"/>
      <c r="Q170" s="979"/>
      <c r="R170" s="979"/>
      <c r="S170" s="979"/>
      <c r="T170" s="979"/>
      <c r="U170" s="979"/>
      <c r="V170" s="976"/>
      <c r="W170" s="163"/>
      <c r="X170" s="163"/>
      <c r="Y170" s="163"/>
      <c r="Z170" s="181"/>
      <c r="AI170" s="163"/>
    </row>
    <row r="171" spans="3:49" ht="12" customHeight="1" thickBot="1" x14ac:dyDescent="0.25">
      <c r="C171" s="6"/>
      <c r="D171" s="558"/>
      <c r="E171" s="5"/>
      <c r="F171" s="5"/>
      <c r="G171" s="5"/>
      <c r="H171" s="5"/>
      <c r="I171" s="5"/>
      <c r="J171" s="5"/>
      <c r="K171" s="5"/>
      <c r="L171" s="5"/>
      <c r="M171" s="5"/>
      <c r="N171" s="5"/>
      <c r="O171" s="5"/>
      <c r="P171" s="5"/>
      <c r="AW171" s="604"/>
    </row>
    <row r="172" spans="3:49" ht="15" customHeight="1" thickTop="1" x14ac:dyDescent="0.2">
      <c r="C172" s="301"/>
      <c r="D172" s="384"/>
      <c r="E172" s="344"/>
      <c r="F172" s="344"/>
      <c r="G172" s="344"/>
      <c r="H172" s="344"/>
      <c r="I172" s="344"/>
      <c r="J172" s="344"/>
      <c r="K172" s="344"/>
      <c r="L172" s="344"/>
      <c r="M172" s="344"/>
      <c r="N172" s="346"/>
      <c r="O172" s="5"/>
      <c r="P172" s="5"/>
      <c r="Q172" s="117"/>
    </row>
    <row r="173" spans="3:49" ht="18.75" customHeight="1" x14ac:dyDescent="0.2">
      <c r="C173" s="302"/>
      <c r="D173" s="348" t="s">
        <v>320</v>
      </c>
      <c r="E173" s="320"/>
      <c r="F173" s="320"/>
      <c r="G173" s="320"/>
      <c r="H173" s="320"/>
      <c r="I173" s="320"/>
      <c r="J173" s="320"/>
      <c r="K173" s="320"/>
      <c r="L173" s="320"/>
      <c r="M173" s="320"/>
      <c r="N173" s="349"/>
      <c r="O173" s="5"/>
      <c r="P173" s="5"/>
      <c r="Q173" s="117"/>
      <c r="AD173" s="280"/>
    </row>
    <row r="174" spans="3:49" ht="24.75" customHeight="1" x14ac:dyDescent="0.2">
      <c r="C174" s="302"/>
      <c r="D174" s="887" t="s">
        <v>420</v>
      </c>
      <c r="E174" s="887"/>
      <c r="F174" s="887"/>
      <c r="G174" s="887"/>
      <c r="H174" s="887"/>
      <c r="I174" s="887"/>
      <c r="J174" s="887"/>
      <c r="K174" s="887"/>
      <c r="L174" s="887"/>
      <c r="M174" s="887"/>
      <c r="N174" s="303"/>
      <c r="AD174" s="280"/>
    </row>
    <row r="175" spans="3:49" ht="23.25" customHeight="1" x14ac:dyDescent="0.2">
      <c r="C175" s="302"/>
      <c r="D175" s="887"/>
      <c r="E175" s="887"/>
      <c r="F175" s="887"/>
      <c r="G175" s="887"/>
      <c r="H175" s="887"/>
      <c r="I175" s="887"/>
      <c r="J175" s="887"/>
      <c r="K175" s="887"/>
      <c r="L175" s="887"/>
      <c r="M175" s="887"/>
      <c r="N175" s="303"/>
      <c r="AD175" s="280"/>
    </row>
    <row r="176" spans="3:49" ht="22.5" customHeight="1" x14ac:dyDescent="0.2">
      <c r="C176" s="380"/>
      <c r="D176" s="887" t="s">
        <v>323</v>
      </c>
      <c r="E176" s="887"/>
      <c r="F176" s="887"/>
      <c r="G176" s="887"/>
      <c r="H176" s="887"/>
      <c r="I176" s="887"/>
      <c r="J176" s="887"/>
      <c r="K176" s="887"/>
      <c r="L176" s="887"/>
      <c r="M176" s="887"/>
      <c r="N176" s="308"/>
      <c r="O176" s="12"/>
      <c r="P176" s="12"/>
      <c r="AD176" s="280"/>
    </row>
    <row r="177" spans="3:31" ht="15" customHeight="1" x14ac:dyDescent="0.2">
      <c r="C177" s="380"/>
      <c r="D177" s="887"/>
      <c r="E177" s="887"/>
      <c r="F177" s="887"/>
      <c r="G177" s="887"/>
      <c r="H177" s="887"/>
      <c r="I177" s="887"/>
      <c r="J177" s="887"/>
      <c r="K177" s="887"/>
      <c r="L177" s="887"/>
      <c r="M177" s="887"/>
      <c r="N177" s="308"/>
      <c r="O177" s="12"/>
      <c r="P177" s="12"/>
      <c r="AD177" s="280"/>
    </row>
    <row r="178" spans="3:31" ht="15" customHeight="1" x14ac:dyDescent="0.3">
      <c r="C178" s="380"/>
      <c r="D178" s="298"/>
      <c r="E178" s="396"/>
      <c r="F178" s="298"/>
      <c r="G178" s="360" t="s">
        <v>324</v>
      </c>
      <c r="H178" s="587">
        <f>F193/G193</f>
        <v>1.0585645776876633</v>
      </c>
      <c r="I178" s="309" t="s">
        <v>82</v>
      </c>
      <c r="J178" s="454"/>
      <c r="K178" s="385"/>
      <c r="L178" s="385"/>
      <c r="M178" s="385"/>
      <c r="N178" s="397"/>
      <c r="O178" s="51"/>
      <c r="P178" s="51"/>
    </row>
    <row r="179" spans="3:31" ht="17.25" customHeight="1" thickBot="1" x14ac:dyDescent="0.35">
      <c r="C179" s="380"/>
      <c r="D179" s="351"/>
      <c r="E179" s="396"/>
      <c r="F179" s="385"/>
      <c r="G179" s="385"/>
      <c r="H179" s="398"/>
      <c r="I179" s="385"/>
      <c r="J179" s="385"/>
      <c r="K179" s="385"/>
      <c r="L179" s="385"/>
      <c r="M179" s="385"/>
      <c r="N179" s="397"/>
      <c r="O179" s="51"/>
      <c r="P179" s="51"/>
    </row>
    <row r="180" spans="3:31" ht="48" customHeight="1" thickTop="1" thickBot="1" x14ac:dyDescent="0.25">
      <c r="C180" s="380"/>
      <c r="D180" s="298"/>
      <c r="E180" s="399"/>
      <c r="F180" s="194" t="str">
        <f>J119</f>
        <v>Parliamentary Vote Entitlement</v>
      </c>
      <c r="G180" s="997" t="str">
        <f t="shared" ref="G180:G192" si="89">K148</f>
        <v>Total No. of Members</v>
      </c>
      <c r="H180" s="891"/>
      <c r="I180" s="998" t="s">
        <v>389</v>
      </c>
      <c r="J180" s="999"/>
      <c r="K180" s="382" t="s">
        <v>1</v>
      </c>
      <c r="L180" s="298"/>
      <c r="M180" s="298"/>
      <c r="N180" s="303"/>
      <c r="R180" s="270"/>
    </row>
    <row r="181" spans="3:31" ht="17.25" customHeight="1" thickTop="1" x14ac:dyDescent="0.2">
      <c r="C181" s="380"/>
      <c r="D181" s="325">
        <v>1</v>
      </c>
      <c r="E181" s="200" t="str">
        <f t="shared" ref="E181:E192" si="90">E41</f>
        <v>Liberal</v>
      </c>
      <c r="F181" s="230">
        <f t="shared" ref="F181:F192" si="91">IF(K149=0,0,J120)</f>
        <v>169</v>
      </c>
      <c r="G181" s="907">
        <f t="shared" si="89"/>
        <v>169</v>
      </c>
      <c r="H181" s="908"/>
      <c r="I181" s="991">
        <f>IF(G181=0,0,F181/G181)</f>
        <v>1</v>
      </c>
      <c r="J181" s="992"/>
      <c r="K181" s="298"/>
      <c r="L181" s="298"/>
      <c r="M181" s="298"/>
      <c r="N181" s="303"/>
      <c r="R181" s="118"/>
    </row>
    <row r="182" spans="3:31" ht="15.75" customHeight="1" x14ac:dyDescent="0.2">
      <c r="C182" s="380"/>
      <c r="D182" s="325">
        <f>1+D181</f>
        <v>2</v>
      </c>
      <c r="E182" s="201" t="str">
        <f t="shared" si="90"/>
        <v>Conservative</v>
      </c>
      <c r="F182" s="231">
        <f t="shared" si="91"/>
        <v>159.56453831064198</v>
      </c>
      <c r="G182" s="993">
        <f t="shared" si="89"/>
        <v>144</v>
      </c>
      <c r="H182" s="994"/>
      <c r="I182" s="991">
        <f>IF(G182=0,0,F182/G182)</f>
        <v>1.1080870716016804</v>
      </c>
      <c r="J182" s="992"/>
      <c r="K182" s="298"/>
      <c r="L182" s="298"/>
      <c r="M182" s="298"/>
      <c r="N182" s="303"/>
      <c r="AD182" s="273"/>
      <c r="AE182" s="273"/>
    </row>
    <row r="183" spans="3:31" ht="15" x14ac:dyDescent="0.2">
      <c r="C183" s="380"/>
      <c r="D183" s="326">
        <f t="shared" ref="D183:D191" si="92">1+D182</f>
        <v>3</v>
      </c>
      <c r="E183" s="201" t="str">
        <f t="shared" si="90"/>
        <v>Bloc Quebecois</v>
      </c>
      <c r="F183" s="231">
        <f t="shared" si="91"/>
        <v>24.328268489759694</v>
      </c>
      <c r="G183" s="993">
        <f t="shared" si="89"/>
        <v>22</v>
      </c>
      <c r="H183" s="994"/>
      <c r="I183" s="991">
        <f>IF(G183=0,0,F183/G183)</f>
        <v>1.105830385898168</v>
      </c>
      <c r="J183" s="992"/>
      <c r="K183" s="298"/>
      <c r="L183" s="298"/>
      <c r="M183" s="298"/>
      <c r="N183" s="303"/>
      <c r="AD183" s="273"/>
      <c r="AE183" s="273"/>
    </row>
    <row r="184" spans="3:31" ht="15" x14ac:dyDescent="0.2">
      <c r="C184" s="380"/>
      <c r="D184" s="326">
        <f t="shared" si="92"/>
        <v>4</v>
      </c>
      <c r="E184" s="201" t="str">
        <f t="shared" si="90"/>
        <v>NDP</v>
      </c>
      <c r="F184" s="231">
        <f t="shared" si="91"/>
        <v>24.415292379907054</v>
      </c>
      <c r="G184" s="993">
        <f t="shared" si="89"/>
        <v>22</v>
      </c>
      <c r="H184" s="994"/>
      <c r="I184" s="991">
        <f t="shared" ref="I184:I192" si="93">IF(G184=0,0,F184/G184)</f>
        <v>1.1097860172685026</v>
      </c>
      <c r="J184" s="992"/>
      <c r="K184" s="400"/>
      <c r="L184" s="298"/>
      <c r="M184" s="298"/>
      <c r="N184" s="303"/>
      <c r="AD184" s="273"/>
      <c r="AE184" s="273"/>
    </row>
    <row r="185" spans="3:31" ht="15" customHeight="1" x14ac:dyDescent="0.2">
      <c r="C185" s="380"/>
      <c r="D185" s="326">
        <f t="shared" si="92"/>
        <v>5</v>
      </c>
      <c r="E185" s="201" t="str">
        <f t="shared" si="90"/>
        <v>Green</v>
      </c>
      <c r="F185" s="231">
        <f t="shared" si="91"/>
        <v>4.8337133649377639</v>
      </c>
      <c r="G185" s="993">
        <f t="shared" si="89"/>
        <v>4</v>
      </c>
      <c r="H185" s="994"/>
      <c r="I185" s="991">
        <f t="shared" si="93"/>
        <v>1.208428341234441</v>
      </c>
      <c r="J185" s="992"/>
      <c r="K185" s="400"/>
      <c r="L185" s="298"/>
      <c r="M185" s="298"/>
      <c r="N185" s="303"/>
      <c r="AD185" s="273"/>
      <c r="AE185" s="273"/>
    </row>
    <row r="186" spans="3:31" ht="16.5" customHeight="1" x14ac:dyDescent="0.2">
      <c r="C186" s="380"/>
      <c r="D186" s="326">
        <f t="shared" si="92"/>
        <v>6</v>
      </c>
      <c r="E186" s="201" t="str">
        <f t="shared" si="90"/>
        <v>Peoples Party</v>
      </c>
      <c r="F186" s="231">
        <f t="shared" si="91"/>
        <v>0</v>
      </c>
      <c r="G186" s="993">
        <f t="shared" si="89"/>
        <v>0</v>
      </c>
      <c r="H186" s="994"/>
      <c r="I186" s="991">
        <f t="shared" si="93"/>
        <v>0</v>
      </c>
      <c r="J186" s="992"/>
      <c r="K186" s="400"/>
      <c r="L186" s="298"/>
      <c r="M186" s="298"/>
      <c r="N186" s="303"/>
      <c r="AD186" s="273"/>
      <c r="AE186" s="273"/>
    </row>
    <row r="187" spans="3:31" ht="16.5" customHeight="1" x14ac:dyDescent="0.2">
      <c r="C187" s="380"/>
      <c r="D187" s="326">
        <f t="shared" si="92"/>
        <v>7</v>
      </c>
      <c r="E187" s="201" t="str">
        <f t="shared" si="90"/>
        <v>Other parties</v>
      </c>
      <c r="F187" s="231">
        <f t="shared" si="91"/>
        <v>0</v>
      </c>
      <c r="G187" s="993">
        <f t="shared" si="89"/>
        <v>0</v>
      </c>
      <c r="H187" s="994"/>
      <c r="I187" s="991">
        <f t="shared" si="93"/>
        <v>0</v>
      </c>
      <c r="J187" s="992"/>
      <c r="K187" s="400"/>
      <c r="L187" s="298"/>
      <c r="M187" s="298"/>
      <c r="N187" s="303"/>
      <c r="AD187" s="273"/>
      <c r="AE187" s="273"/>
    </row>
    <row r="188" spans="3:31" ht="16.5" customHeight="1" x14ac:dyDescent="0.2">
      <c r="C188" s="380"/>
      <c r="D188" s="326">
        <f t="shared" si="92"/>
        <v>8</v>
      </c>
      <c r="E188" s="201">
        <f t="shared" si="90"/>
        <v>0</v>
      </c>
      <c r="F188" s="231">
        <f t="shared" si="91"/>
        <v>0</v>
      </c>
      <c r="G188" s="993">
        <f t="shared" si="89"/>
        <v>0</v>
      </c>
      <c r="H188" s="994"/>
      <c r="I188" s="991">
        <f t="shared" si="93"/>
        <v>0</v>
      </c>
      <c r="J188" s="992"/>
      <c r="K188" s="400"/>
      <c r="L188" s="298"/>
      <c r="M188" s="298"/>
      <c r="N188" s="303"/>
      <c r="AD188" s="273"/>
      <c r="AE188" s="273"/>
    </row>
    <row r="189" spans="3:31" ht="16.5" customHeight="1" x14ac:dyDescent="0.2">
      <c r="C189" s="380"/>
      <c r="D189" s="326">
        <f t="shared" si="92"/>
        <v>9</v>
      </c>
      <c r="E189" s="786">
        <f t="shared" si="90"/>
        <v>0</v>
      </c>
      <c r="F189" s="231">
        <f t="shared" si="91"/>
        <v>0</v>
      </c>
      <c r="G189" s="993">
        <f t="shared" si="89"/>
        <v>0</v>
      </c>
      <c r="H189" s="994"/>
      <c r="I189" s="1002">
        <f t="shared" si="93"/>
        <v>0</v>
      </c>
      <c r="J189" s="1003"/>
      <c r="K189" s="400"/>
      <c r="L189" s="298"/>
      <c r="M189" s="298"/>
      <c r="N189" s="303"/>
      <c r="AD189" s="273"/>
      <c r="AE189" s="273"/>
    </row>
    <row r="190" spans="3:31" ht="16.5" customHeight="1" x14ac:dyDescent="0.2">
      <c r="C190" s="380"/>
      <c r="D190" s="326">
        <f t="shared" si="92"/>
        <v>10</v>
      </c>
      <c r="E190" s="786">
        <f t="shared" si="90"/>
        <v>0</v>
      </c>
      <c r="F190" s="231">
        <f t="shared" si="91"/>
        <v>0</v>
      </c>
      <c r="G190" s="993">
        <f t="shared" si="89"/>
        <v>0</v>
      </c>
      <c r="H190" s="994"/>
      <c r="I190" s="1002">
        <f t="shared" si="93"/>
        <v>0</v>
      </c>
      <c r="J190" s="1003"/>
      <c r="K190" s="400"/>
      <c r="L190" s="298"/>
      <c r="M190" s="298"/>
      <c r="N190" s="303"/>
      <c r="AD190" s="273"/>
      <c r="AE190" s="273"/>
    </row>
    <row r="191" spans="3:31" ht="16.5" customHeight="1" x14ac:dyDescent="0.2">
      <c r="C191" s="380"/>
      <c r="D191" s="326">
        <f t="shared" si="92"/>
        <v>11</v>
      </c>
      <c r="E191" s="786">
        <f t="shared" si="90"/>
        <v>0</v>
      </c>
      <c r="F191" s="231">
        <f t="shared" si="91"/>
        <v>0</v>
      </c>
      <c r="G191" s="993">
        <f t="shared" si="89"/>
        <v>0</v>
      </c>
      <c r="H191" s="994"/>
      <c r="I191" s="1002">
        <f t="shared" si="93"/>
        <v>0</v>
      </c>
      <c r="J191" s="1003"/>
      <c r="K191" s="400"/>
      <c r="L191" s="298"/>
      <c r="M191" s="298"/>
      <c r="N191" s="303"/>
      <c r="AD191" s="273"/>
      <c r="AE191" s="273"/>
    </row>
    <row r="192" spans="3:31" ht="16.5" customHeight="1" thickBot="1" x14ac:dyDescent="0.25">
      <c r="C192" s="380"/>
      <c r="D192" s="326">
        <v>12</v>
      </c>
      <c r="E192" s="787">
        <f t="shared" si="90"/>
        <v>0</v>
      </c>
      <c r="F192" s="231">
        <f t="shared" si="91"/>
        <v>0</v>
      </c>
      <c r="G192" s="1020">
        <f t="shared" si="89"/>
        <v>0</v>
      </c>
      <c r="H192" s="1021"/>
      <c r="I192" s="1002">
        <f t="shared" si="93"/>
        <v>0</v>
      </c>
      <c r="J192" s="1003"/>
      <c r="K192" s="298"/>
      <c r="L192" s="298"/>
      <c r="M192" s="298"/>
      <c r="N192" s="303"/>
      <c r="AD192" s="273"/>
      <c r="AE192" s="273"/>
    </row>
    <row r="193" spans="3:34" ht="18" customHeight="1" thickTop="1" thickBot="1" x14ac:dyDescent="0.25">
      <c r="C193" s="380"/>
      <c r="D193" s="298"/>
      <c r="E193" s="35" t="s">
        <v>34</v>
      </c>
      <c r="F193" s="139">
        <f>SUM(F181:F192)</f>
        <v>382.14181254524647</v>
      </c>
      <c r="G193" s="1004">
        <f>SUM(G181:G192)</f>
        <v>361</v>
      </c>
      <c r="H193" s="1005"/>
      <c r="I193" s="1024">
        <f>F193/G193</f>
        <v>1.0585645776876633</v>
      </c>
      <c r="J193" s="1025"/>
      <c r="K193" s="298"/>
      <c r="L193" s="298"/>
      <c r="M193" s="298"/>
      <c r="N193" s="303"/>
      <c r="AD193" s="273"/>
      <c r="AE193" s="273"/>
    </row>
    <row r="194" spans="3:34" ht="18" customHeight="1" thickTop="1" x14ac:dyDescent="0.2">
      <c r="C194" s="380"/>
      <c r="D194" s="298"/>
      <c r="E194" s="86" t="s">
        <v>273</v>
      </c>
      <c r="F194" s="401"/>
      <c r="G194" s="1022"/>
      <c r="H194" s="1023"/>
      <c r="I194" s="777"/>
      <c r="J194" s="778" t="s">
        <v>182</v>
      </c>
      <c r="K194" s="298"/>
      <c r="L194" s="298"/>
      <c r="M194" s="298"/>
      <c r="N194" s="303"/>
      <c r="AD194" s="273"/>
      <c r="AE194" s="273"/>
    </row>
    <row r="195" spans="3:34" ht="18" customHeight="1" x14ac:dyDescent="0.2">
      <c r="C195" s="380"/>
      <c r="D195" s="298"/>
      <c r="E195" s="232" t="str">
        <f>E55</f>
        <v>Votes for winners</v>
      </c>
      <c r="F195" s="233">
        <f>G195*I195</f>
        <v>0</v>
      </c>
      <c r="G195" s="1006">
        <f>G55</f>
        <v>0</v>
      </c>
      <c r="H195" s="1007"/>
      <c r="I195" s="991">
        <f>F193/G193</f>
        <v>1.0585645776876633</v>
      </c>
      <c r="J195" s="1034"/>
      <c r="K195" s="298"/>
      <c r="L195" s="298"/>
      <c r="M195" s="298"/>
      <c r="N195" s="303"/>
      <c r="AD195" s="273"/>
      <c r="AE195" s="273"/>
    </row>
    <row r="196" spans="3:34" ht="18" customHeight="1" thickBot="1" x14ac:dyDescent="0.25">
      <c r="C196" s="380"/>
      <c r="D196" s="298"/>
      <c r="E196" s="234" t="str">
        <f>E56</f>
        <v>Votes for non-winners</v>
      </c>
      <c r="F196" s="235" t="s">
        <v>83</v>
      </c>
      <c r="G196" s="1018">
        <f>G56</f>
        <v>0</v>
      </c>
      <c r="H196" s="1019"/>
      <c r="I196" s="402"/>
      <c r="J196" s="403"/>
      <c r="K196" s="298"/>
      <c r="L196" s="298"/>
      <c r="M196" s="298"/>
      <c r="N196" s="303"/>
    </row>
    <row r="197" spans="3:34" ht="21" customHeight="1" thickTop="1" thickBot="1" x14ac:dyDescent="0.25">
      <c r="C197" s="380"/>
      <c r="D197" s="298"/>
      <c r="E197" s="36" t="s">
        <v>12</v>
      </c>
      <c r="F197" s="140">
        <f>F195+F193</f>
        <v>382.14181254524647</v>
      </c>
      <c r="G197" s="1000">
        <f>G195+G193</f>
        <v>361</v>
      </c>
      <c r="H197" s="1001"/>
      <c r="I197" s="298"/>
      <c r="J197" s="404"/>
      <c r="K197" s="298"/>
      <c r="L197" s="298"/>
      <c r="M197" s="298"/>
      <c r="N197" s="303"/>
      <c r="AH197" s="187"/>
    </row>
    <row r="198" spans="3:34" ht="18" customHeight="1" thickTop="1" x14ac:dyDescent="0.2">
      <c r="C198" s="380"/>
      <c r="D198" s="995" t="s">
        <v>463</v>
      </c>
      <c r="E198" s="995"/>
      <c r="F198" s="995"/>
      <c r="G198" s="995"/>
      <c r="H198" s="995"/>
      <c r="I198" s="995"/>
      <c r="J198" s="995"/>
      <c r="K198" s="995"/>
      <c r="L198" s="995"/>
      <c r="M198" s="298"/>
      <c r="N198" s="303"/>
      <c r="R198" s="703"/>
      <c r="AH198" s="187"/>
    </row>
    <row r="199" spans="3:34" ht="18" customHeight="1" x14ac:dyDescent="0.2">
      <c r="C199" s="380"/>
      <c r="D199" s="995"/>
      <c r="E199" s="995"/>
      <c r="F199" s="995"/>
      <c r="G199" s="995"/>
      <c r="H199" s="995"/>
      <c r="I199" s="995"/>
      <c r="J199" s="995"/>
      <c r="K199" s="995"/>
      <c r="L199" s="995"/>
      <c r="M199" s="298"/>
      <c r="N199" s="303"/>
      <c r="R199" s="703"/>
      <c r="AD199" s="187"/>
      <c r="AE199" s="187"/>
      <c r="AF199" s="187"/>
      <c r="AG199" s="187"/>
      <c r="AH199" s="187"/>
    </row>
    <row r="200" spans="3:34" ht="18" customHeight="1" thickBot="1" x14ac:dyDescent="0.25">
      <c r="C200" s="405"/>
      <c r="D200" s="996"/>
      <c r="E200" s="996"/>
      <c r="F200" s="996"/>
      <c r="G200" s="996"/>
      <c r="H200" s="996"/>
      <c r="I200" s="996"/>
      <c r="J200" s="996"/>
      <c r="K200" s="996"/>
      <c r="L200" s="996"/>
      <c r="M200" s="364"/>
      <c r="N200" s="383"/>
      <c r="AH200" s="188"/>
    </row>
    <row r="201" spans="3:34" ht="18" customHeight="1" thickTop="1" x14ac:dyDescent="0.2">
      <c r="C201" s="6"/>
      <c r="D201" s="5"/>
      <c r="L201" s="22"/>
      <c r="M201" s="22"/>
      <c r="N201" s="22"/>
      <c r="O201" s="22"/>
      <c r="P201" s="22"/>
    </row>
    <row r="202" spans="3:34" ht="7.5" customHeight="1" x14ac:dyDescent="0.2">
      <c r="C202" s="406"/>
      <c r="D202" s="407"/>
      <c r="E202" s="407"/>
      <c r="F202" s="407"/>
      <c r="G202" s="408"/>
      <c r="H202" s="408"/>
      <c r="I202" s="408"/>
      <c r="J202" s="408"/>
      <c r="K202" s="407"/>
      <c r="L202" s="409"/>
    </row>
    <row r="203" spans="3:34" ht="18" x14ac:dyDescent="0.25">
      <c r="C203" s="410"/>
      <c r="D203" s="411" t="str">
        <f>IF(I22="y","Representation on Parliamentary Committees","Representation on  Assembly Committees")</f>
        <v>Representation on Parliamentary Committees</v>
      </c>
      <c r="E203" s="350"/>
      <c r="F203" s="350"/>
      <c r="G203" s="412"/>
      <c r="H203" s="412"/>
      <c r="I203" s="412"/>
      <c r="J203" s="412"/>
      <c r="K203" s="350"/>
      <c r="L203" s="413"/>
      <c r="Q203" s="189" t="s">
        <v>292</v>
      </c>
    </row>
    <row r="204" spans="3:34" ht="11.25" customHeight="1" x14ac:dyDescent="0.25">
      <c r="C204" s="410"/>
      <c r="D204" s="411"/>
      <c r="E204" s="350"/>
      <c r="F204" s="350"/>
      <c r="G204" s="412"/>
      <c r="H204" s="412"/>
      <c r="I204" s="412"/>
      <c r="J204" s="412"/>
      <c r="K204" s="350"/>
      <c r="L204" s="413"/>
      <c r="Q204" s="1052" t="s">
        <v>447</v>
      </c>
      <c r="R204" s="1052"/>
      <c r="S204" s="1052"/>
      <c r="T204" s="1052"/>
      <c r="U204" s="1052"/>
    </row>
    <row r="205" spans="3:34" ht="15" x14ac:dyDescent="0.2">
      <c r="C205" s="414"/>
      <c r="D205" s="1041" t="s">
        <v>421</v>
      </c>
      <c r="E205" s="1042"/>
      <c r="F205" s="1042"/>
      <c r="G205" s="1042"/>
      <c r="H205" s="1042"/>
      <c r="I205" s="1042"/>
      <c r="J205" s="1042"/>
      <c r="K205" s="1042"/>
      <c r="L205" s="415"/>
      <c r="Q205" s="1052"/>
      <c r="R205" s="1052"/>
      <c r="S205" s="1052"/>
      <c r="T205" s="1052"/>
      <c r="U205" s="1052"/>
    </row>
    <row r="206" spans="3:34" ht="15" customHeight="1" x14ac:dyDescent="0.2">
      <c r="C206" s="414"/>
      <c r="D206" s="1041"/>
      <c r="E206" s="1042"/>
      <c r="F206" s="1042"/>
      <c r="G206" s="1042"/>
      <c r="H206" s="1042"/>
      <c r="I206" s="1042"/>
      <c r="J206" s="1042"/>
      <c r="K206" s="1042"/>
      <c r="L206" s="415"/>
      <c r="Q206" s="1052"/>
      <c r="R206" s="1052"/>
      <c r="S206" s="1052"/>
      <c r="T206" s="1052"/>
      <c r="U206" s="1052"/>
    </row>
    <row r="207" spans="3:34" ht="15" customHeight="1" x14ac:dyDescent="0.2">
      <c r="C207" s="414"/>
      <c r="D207" s="1042"/>
      <c r="E207" s="1042"/>
      <c r="F207" s="1042"/>
      <c r="G207" s="1042"/>
      <c r="H207" s="1042"/>
      <c r="I207" s="1042"/>
      <c r="J207" s="1042"/>
      <c r="K207" s="1042"/>
      <c r="L207" s="415"/>
      <c r="Q207" s="1052"/>
      <c r="R207" s="1052"/>
      <c r="S207" s="1052"/>
      <c r="T207" s="1052"/>
      <c r="U207" s="1052"/>
    </row>
    <row r="208" spans="3:34" ht="16.5" customHeight="1" x14ac:dyDescent="0.2">
      <c r="C208" s="414"/>
      <c r="D208" s="1042"/>
      <c r="E208" s="1042"/>
      <c r="F208" s="1042"/>
      <c r="G208" s="1042"/>
      <c r="H208" s="1042"/>
      <c r="I208" s="1042"/>
      <c r="J208" s="1042"/>
      <c r="K208" s="1042"/>
      <c r="L208" s="415"/>
      <c r="Q208" s="1052"/>
      <c r="R208" s="1052"/>
      <c r="S208" s="1052"/>
      <c r="T208" s="1052"/>
      <c r="U208" s="1052"/>
    </row>
    <row r="209" spans="3:37" ht="12.75" customHeight="1" x14ac:dyDescent="0.2">
      <c r="C209" s="416"/>
      <c r="D209" s="1042"/>
      <c r="E209" s="1042"/>
      <c r="F209" s="1042"/>
      <c r="G209" s="1042"/>
      <c r="H209" s="1042"/>
      <c r="I209" s="1042"/>
      <c r="J209" s="1042"/>
      <c r="K209" s="1042"/>
      <c r="L209" s="415"/>
      <c r="Q209" s="1052"/>
      <c r="R209" s="1052"/>
      <c r="S209" s="1052"/>
      <c r="T209" s="1052"/>
      <c r="U209" s="1052"/>
    </row>
    <row r="210" spans="3:37" ht="12.75" customHeight="1" x14ac:dyDescent="0.2">
      <c r="C210" s="416"/>
      <c r="D210" s="1042"/>
      <c r="E210" s="1042"/>
      <c r="F210" s="1042"/>
      <c r="G210" s="1042"/>
      <c r="H210" s="1042"/>
      <c r="I210" s="1042"/>
      <c r="J210" s="1042"/>
      <c r="K210" s="1042"/>
      <c r="L210" s="415"/>
      <c r="Q210" s="1052"/>
      <c r="R210" s="1052"/>
      <c r="S210" s="1052"/>
      <c r="T210" s="1052"/>
      <c r="U210" s="1052"/>
    </row>
    <row r="211" spans="3:37" ht="12.75" customHeight="1" x14ac:dyDescent="0.2">
      <c r="C211" s="416"/>
      <c r="D211" s="1042"/>
      <c r="E211" s="1042"/>
      <c r="F211" s="1042"/>
      <c r="G211" s="1042"/>
      <c r="H211" s="1042"/>
      <c r="I211" s="1042"/>
      <c r="J211" s="1042"/>
      <c r="K211" s="1042"/>
      <c r="L211" s="415"/>
      <c r="Q211" s="1052"/>
      <c r="R211" s="1052"/>
      <c r="S211" s="1052"/>
      <c r="T211" s="1052"/>
      <c r="U211" s="1052"/>
    </row>
    <row r="212" spans="3:37" ht="18" customHeight="1" x14ac:dyDescent="0.2">
      <c r="C212" s="416"/>
      <c r="D212" s="1042"/>
      <c r="E212" s="1042"/>
      <c r="F212" s="1042"/>
      <c r="G212" s="1042"/>
      <c r="H212" s="1042"/>
      <c r="I212" s="1042"/>
      <c r="J212" s="1042"/>
      <c r="K212" s="1042"/>
      <c r="L212" s="415"/>
      <c r="Q212" s="1052"/>
      <c r="R212" s="1052"/>
      <c r="S212" s="1052"/>
      <c r="T212" s="1052"/>
      <c r="U212" s="1052"/>
    </row>
    <row r="213" spans="3:37" ht="13.5" customHeight="1" thickBot="1" x14ac:dyDescent="0.25">
      <c r="C213" s="416"/>
      <c r="D213" s="417"/>
      <c r="E213" s="417"/>
      <c r="F213" s="417"/>
      <c r="G213" s="417"/>
      <c r="H213" s="417"/>
      <c r="I213" s="417"/>
      <c r="J213" s="417"/>
      <c r="K213" s="417"/>
      <c r="L213" s="415"/>
    </row>
    <row r="214" spans="3:37" ht="12.75" customHeight="1" thickTop="1" x14ac:dyDescent="0.2">
      <c r="C214" s="418"/>
      <c r="D214" s="298"/>
      <c r="E214" s="298"/>
      <c r="F214" s="1035" t="str">
        <f>F180</f>
        <v>Parliamentary Vote Entitlement</v>
      </c>
      <c r="G214" s="1026" t="s">
        <v>368</v>
      </c>
      <c r="H214" s="1027"/>
      <c r="I214" s="1028"/>
      <c r="J214" s="1038" t="s">
        <v>321</v>
      </c>
      <c r="K214" s="417"/>
      <c r="L214" s="424"/>
    </row>
    <row r="215" spans="3:37" ht="17.25" customHeight="1" x14ac:dyDescent="0.2">
      <c r="C215" s="418"/>
      <c r="D215" s="298"/>
      <c r="E215" s="298"/>
      <c r="F215" s="1036"/>
      <c r="G215" s="1029"/>
      <c r="H215" s="939"/>
      <c r="I215" s="1030"/>
      <c r="J215" s="1039"/>
      <c r="K215" s="417"/>
      <c r="L215" s="424"/>
      <c r="R215" s="1057" t="s">
        <v>466</v>
      </c>
      <c r="S215" s="1058"/>
    </row>
    <row r="216" spans="3:37" ht="15.75" customHeight="1" thickBot="1" x14ac:dyDescent="0.25">
      <c r="C216" s="410"/>
      <c r="D216" s="350"/>
      <c r="E216" s="350"/>
      <c r="F216" s="1037"/>
      <c r="G216" s="1031"/>
      <c r="H216" s="1032"/>
      <c r="I216" s="1033"/>
      <c r="J216" s="1040"/>
      <c r="K216" s="417"/>
      <c r="L216" s="413"/>
      <c r="Q216" s="1059" t="s">
        <v>467</v>
      </c>
      <c r="R216" s="1059" t="s">
        <v>468</v>
      </c>
      <c r="S216" s="1062" t="s">
        <v>262</v>
      </c>
    </row>
    <row r="217" spans="3:37" ht="19.5" customHeight="1" thickTop="1" x14ac:dyDescent="0.2">
      <c r="C217" s="410"/>
      <c r="D217" s="419">
        <v>1</v>
      </c>
      <c r="E217" s="236" t="str">
        <f t="shared" ref="E217:E228" si="94">E41</f>
        <v>Liberal</v>
      </c>
      <c r="F217" s="237">
        <f t="shared" ref="F217:F228" si="95">J120</f>
        <v>169</v>
      </c>
      <c r="G217" s="238"/>
      <c r="H217" s="684">
        <v>3</v>
      </c>
      <c r="I217" s="239"/>
      <c r="J217" s="240">
        <f t="shared" ref="J217:J221" si="96">IF(F217="Excluded"," ",IF(H217=0," ",F217/H217))</f>
        <v>56.333333333333336</v>
      </c>
      <c r="K217" s="417"/>
      <c r="L217" s="424"/>
      <c r="Q217" s="1060"/>
      <c r="R217" s="1060"/>
      <c r="S217" s="1063"/>
      <c r="AF217" s="117" t="s">
        <v>477</v>
      </c>
    </row>
    <row r="218" spans="3:37" ht="15" customHeight="1" x14ac:dyDescent="0.2">
      <c r="C218" s="410"/>
      <c r="D218" s="419">
        <v>2</v>
      </c>
      <c r="E218" s="241" t="str">
        <f t="shared" si="94"/>
        <v>Conservative</v>
      </c>
      <c r="F218" s="242">
        <f t="shared" si="95"/>
        <v>159.56453831064198</v>
      </c>
      <c r="G218" s="243"/>
      <c r="H218" s="685">
        <v>2</v>
      </c>
      <c r="I218" s="244"/>
      <c r="J218" s="245">
        <f t="shared" si="96"/>
        <v>79.782269155320989</v>
      </c>
      <c r="K218" s="417"/>
      <c r="L218" s="424"/>
      <c r="Q218" s="986"/>
      <c r="R218" s="1061"/>
      <c r="S218" s="986"/>
      <c r="AF218" s="813" t="s">
        <v>476</v>
      </c>
      <c r="AG218" s="814"/>
    </row>
    <row r="219" spans="3:37" ht="15" customHeight="1" x14ac:dyDescent="0.2">
      <c r="C219" s="410"/>
      <c r="D219" s="419">
        <v>3</v>
      </c>
      <c r="E219" s="241" t="str">
        <f t="shared" si="94"/>
        <v>Bloc Quebecois</v>
      </c>
      <c r="F219" s="242">
        <f t="shared" si="95"/>
        <v>24.328268489759694</v>
      </c>
      <c r="G219" s="243"/>
      <c r="H219" s="685">
        <v>1</v>
      </c>
      <c r="I219" s="244"/>
      <c r="J219" s="245">
        <f t="shared" si="96"/>
        <v>24.328268489759694</v>
      </c>
      <c r="K219" s="417"/>
      <c r="L219" s="424"/>
      <c r="P219">
        <v>1</v>
      </c>
      <c r="Q219" s="572" t="s">
        <v>469</v>
      </c>
      <c r="R219" s="535">
        <v>2</v>
      </c>
      <c r="S219" s="161" t="str">
        <f t="shared" ref="S219:S266" si="97">IF(AG219&gt;0,AG219,"")</f>
        <v/>
      </c>
      <c r="AE219" s="20" t="str">
        <f t="shared" ref="AE219:AE266" si="98">IF(Q219="","X","Y")</f>
        <v>Y</v>
      </c>
      <c r="AF219" s="815">
        <f t="shared" ref="AF219:AF266" si="99">IF(AE219="Y",IF(R219&gt;0,R219,0))</f>
        <v>2</v>
      </c>
      <c r="AG219" s="816">
        <f>IF(AF219&gt;0,0,$AJ$268)</f>
        <v>0</v>
      </c>
      <c r="AH219">
        <f t="shared" ref="AH219:AH266" si="100">IF(R219&gt;0,1,0)</f>
        <v>1</v>
      </c>
      <c r="AI219">
        <f t="shared" ref="AI219:AI266" si="101">IF(Q219="",0,1)</f>
        <v>1</v>
      </c>
      <c r="AJ219">
        <f>AH219-AI219</f>
        <v>0</v>
      </c>
      <c r="AK219">
        <f t="shared" ref="AK219:AK266" si="102">IF(AE219="y",IF(AG219&gt;0,1,0),0)</f>
        <v>0</v>
      </c>
    </row>
    <row r="220" spans="3:37" ht="15" customHeight="1" x14ac:dyDescent="0.2">
      <c r="C220" s="410"/>
      <c r="D220" s="419">
        <v>4</v>
      </c>
      <c r="E220" s="241" t="str">
        <f t="shared" si="94"/>
        <v>NDP</v>
      </c>
      <c r="F220" s="242">
        <f t="shared" si="95"/>
        <v>24.415292379907054</v>
      </c>
      <c r="G220" s="243"/>
      <c r="H220" s="685">
        <v>1</v>
      </c>
      <c r="I220" s="244"/>
      <c r="J220" s="245">
        <f t="shared" si="96"/>
        <v>24.415292379907054</v>
      </c>
      <c r="K220" s="417"/>
      <c r="L220" s="424"/>
      <c r="P220">
        <f t="shared" ref="P220:P266" si="103">1+P219</f>
        <v>2</v>
      </c>
      <c r="Q220" s="572" t="s">
        <v>470</v>
      </c>
      <c r="R220" s="535"/>
      <c r="S220" s="161">
        <f t="shared" si="97"/>
        <v>1.25</v>
      </c>
      <c r="AE220" s="20" t="str">
        <f t="shared" si="98"/>
        <v>Y</v>
      </c>
      <c r="AF220" s="815">
        <f t="shared" si="99"/>
        <v>0</v>
      </c>
      <c r="AG220" s="816">
        <f t="shared" ref="AG220:AG266" si="104">IF(AF220&gt;0,0,$AJ$268)</f>
        <v>1.25</v>
      </c>
      <c r="AH220">
        <f t="shared" si="100"/>
        <v>0</v>
      </c>
      <c r="AI220">
        <f t="shared" si="101"/>
        <v>1</v>
      </c>
      <c r="AJ220">
        <f t="shared" ref="AJ220:AJ246" si="105">AH220-AI220</f>
        <v>-1</v>
      </c>
      <c r="AK220">
        <f t="shared" si="102"/>
        <v>1</v>
      </c>
    </row>
    <row r="221" spans="3:37" ht="15" customHeight="1" x14ac:dyDescent="0.2">
      <c r="C221" s="410"/>
      <c r="D221" s="419">
        <v>5</v>
      </c>
      <c r="E221" s="241" t="str">
        <f t="shared" si="94"/>
        <v>Green</v>
      </c>
      <c r="F221" s="242">
        <f t="shared" si="95"/>
        <v>4.8337133649377639</v>
      </c>
      <c r="G221" s="243"/>
      <c r="H221" s="685">
        <v>1</v>
      </c>
      <c r="I221" s="244"/>
      <c r="J221" s="245">
        <f t="shared" si="96"/>
        <v>4.8337133649377639</v>
      </c>
      <c r="K221" s="417"/>
      <c r="L221" s="424"/>
      <c r="P221">
        <f t="shared" si="103"/>
        <v>3</v>
      </c>
      <c r="Q221" s="572" t="s">
        <v>253</v>
      </c>
      <c r="R221" s="535"/>
      <c r="S221" s="161">
        <f t="shared" si="97"/>
        <v>1.25</v>
      </c>
      <c r="AE221" s="20" t="str">
        <f t="shared" si="98"/>
        <v>Y</v>
      </c>
      <c r="AF221" s="815">
        <f t="shared" si="99"/>
        <v>0</v>
      </c>
      <c r="AG221" s="816">
        <f t="shared" si="104"/>
        <v>1.25</v>
      </c>
      <c r="AH221">
        <f t="shared" si="100"/>
        <v>0</v>
      </c>
      <c r="AI221">
        <f t="shared" si="101"/>
        <v>1</v>
      </c>
      <c r="AJ221">
        <f t="shared" si="105"/>
        <v>-1</v>
      </c>
      <c r="AK221">
        <f t="shared" si="102"/>
        <v>1</v>
      </c>
    </row>
    <row r="222" spans="3:37" ht="15" customHeight="1" x14ac:dyDescent="0.2">
      <c r="C222" s="410"/>
      <c r="D222" s="419">
        <v>6</v>
      </c>
      <c r="E222" s="241" t="str">
        <f t="shared" si="94"/>
        <v>Peoples Party</v>
      </c>
      <c r="F222" s="242">
        <f t="shared" si="95"/>
        <v>0</v>
      </c>
      <c r="G222" s="243"/>
      <c r="H222" s="685">
        <v>0</v>
      </c>
      <c r="I222" s="244"/>
      <c r="J222" s="245" t="str">
        <f>IF(F222="Excluded"," ",IF(H222=0," ",F222/H222))</f>
        <v xml:space="preserve"> </v>
      </c>
      <c r="K222" s="417"/>
      <c r="L222" s="424"/>
      <c r="P222">
        <f t="shared" si="103"/>
        <v>4</v>
      </c>
      <c r="Q222" s="572" t="s">
        <v>254</v>
      </c>
      <c r="R222" s="535"/>
      <c r="S222" s="161">
        <f t="shared" si="97"/>
        <v>1.25</v>
      </c>
      <c r="AE222" s="20" t="str">
        <f t="shared" si="98"/>
        <v>Y</v>
      </c>
      <c r="AF222" s="815">
        <f t="shared" si="99"/>
        <v>0</v>
      </c>
      <c r="AG222" s="816">
        <f t="shared" si="104"/>
        <v>1.25</v>
      </c>
      <c r="AH222">
        <f t="shared" si="100"/>
        <v>0</v>
      </c>
      <c r="AI222">
        <f t="shared" si="101"/>
        <v>1</v>
      </c>
      <c r="AJ222">
        <f t="shared" si="105"/>
        <v>-1</v>
      </c>
      <c r="AK222">
        <f t="shared" si="102"/>
        <v>1</v>
      </c>
    </row>
    <row r="223" spans="3:37" ht="15" customHeight="1" x14ac:dyDescent="0.2">
      <c r="C223" s="410"/>
      <c r="D223" s="419">
        <v>7</v>
      </c>
      <c r="E223" s="241" t="str">
        <f t="shared" si="94"/>
        <v>Other parties</v>
      </c>
      <c r="F223" s="242">
        <f t="shared" si="95"/>
        <v>0</v>
      </c>
      <c r="G223" s="243"/>
      <c r="H223" s="685">
        <v>1</v>
      </c>
      <c r="I223" s="244"/>
      <c r="J223" s="245">
        <f t="shared" ref="J223:J229" si="106">IF(F223="Excluded"," ",IF(H223=0," ",F223/H223))</f>
        <v>0</v>
      </c>
      <c r="K223" s="417"/>
      <c r="L223" s="424"/>
      <c r="P223">
        <f t="shared" si="103"/>
        <v>5</v>
      </c>
      <c r="Q223" s="572" t="s">
        <v>255</v>
      </c>
      <c r="R223" s="535">
        <v>2</v>
      </c>
      <c r="S223" s="161" t="str">
        <f t="shared" si="97"/>
        <v/>
      </c>
      <c r="AE223" s="20" t="str">
        <f t="shared" si="98"/>
        <v>Y</v>
      </c>
      <c r="AF223" s="815">
        <f t="shared" si="99"/>
        <v>2</v>
      </c>
      <c r="AG223" s="816">
        <f t="shared" si="104"/>
        <v>0</v>
      </c>
      <c r="AH223">
        <f t="shared" si="100"/>
        <v>1</v>
      </c>
      <c r="AI223">
        <f t="shared" si="101"/>
        <v>1</v>
      </c>
      <c r="AJ223">
        <f t="shared" si="105"/>
        <v>0</v>
      </c>
      <c r="AK223">
        <f t="shared" si="102"/>
        <v>0</v>
      </c>
    </row>
    <row r="224" spans="3:37" ht="15" customHeight="1" x14ac:dyDescent="0.2">
      <c r="C224" s="410"/>
      <c r="D224" s="419">
        <v>8</v>
      </c>
      <c r="E224" s="241">
        <f t="shared" si="94"/>
        <v>0</v>
      </c>
      <c r="F224" s="242">
        <f t="shared" si="95"/>
        <v>0</v>
      </c>
      <c r="G224" s="243"/>
      <c r="H224" s="685"/>
      <c r="I224" s="244"/>
      <c r="J224" s="245" t="str">
        <f t="shared" si="106"/>
        <v xml:space="preserve"> </v>
      </c>
      <c r="K224" s="417"/>
      <c r="L224" s="424"/>
      <c r="P224">
        <f t="shared" si="103"/>
        <v>6</v>
      </c>
      <c r="Q224" s="572" t="s">
        <v>256</v>
      </c>
      <c r="R224" s="535"/>
      <c r="S224" s="161">
        <f t="shared" si="97"/>
        <v>1.25</v>
      </c>
      <c r="AE224" s="20" t="str">
        <f t="shared" si="98"/>
        <v>Y</v>
      </c>
      <c r="AF224" s="815">
        <f t="shared" si="99"/>
        <v>0</v>
      </c>
      <c r="AG224" s="816">
        <f t="shared" si="104"/>
        <v>1.25</v>
      </c>
      <c r="AH224">
        <f t="shared" si="100"/>
        <v>0</v>
      </c>
      <c r="AI224">
        <f t="shared" si="101"/>
        <v>1</v>
      </c>
      <c r="AJ224">
        <f t="shared" si="105"/>
        <v>-1</v>
      </c>
      <c r="AK224">
        <f t="shared" si="102"/>
        <v>1</v>
      </c>
    </row>
    <row r="225" spans="3:37" ht="15" customHeight="1" x14ac:dyDescent="0.2">
      <c r="C225" s="410"/>
      <c r="D225" s="419">
        <v>9</v>
      </c>
      <c r="E225" s="241">
        <f t="shared" si="94"/>
        <v>0</v>
      </c>
      <c r="F225" s="242">
        <f t="shared" si="95"/>
        <v>0</v>
      </c>
      <c r="G225" s="243"/>
      <c r="H225" s="685"/>
      <c r="I225" s="244"/>
      <c r="J225" s="245" t="str">
        <f t="shared" si="106"/>
        <v xml:space="preserve"> </v>
      </c>
      <c r="K225" s="417"/>
      <c r="L225" s="424"/>
      <c r="P225">
        <f t="shared" si="103"/>
        <v>7</v>
      </c>
      <c r="Q225" s="572" t="s">
        <v>310</v>
      </c>
      <c r="R225" s="535"/>
      <c r="S225" s="161">
        <f t="shared" si="97"/>
        <v>1.25</v>
      </c>
      <c r="AE225" s="20" t="str">
        <f t="shared" si="98"/>
        <v>Y</v>
      </c>
      <c r="AF225" s="815">
        <f t="shared" si="99"/>
        <v>0</v>
      </c>
      <c r="AG225" s="816">
        <f t="shared" si="104"/>
        <v>1.25</v>
      </c>
      <c r="AH225">
        <f t="shared" si="100"/>
        <v>0</v>
      </c>
      <c r="AI225">
        <f t="shared" si="101"/>
        <v>1</v>
      </c>
      <c r="AJ225">
        <f t="shared" si="105"/>
        <v>-1</v>
      </c>
      <c r="AK225">
        <f t="shared" si="102"/>
        <v>1</v>
      </c>
    </row>
    <row r="226" spans="3:37" ht="15" customHeight="1" x14ac:dyDescent="0.2">
      <c r="C226" s="410"/>
      <c r="D226" s="419">
        <v>10</v>
      </c>
      <c r="E226" s="241">
        <f t="shared" si="94"/>
        <v>0</v>
      </c>
      <c r="F226" s="242">
        <f t="shared" si="95"/>
        <v>0</v>
      </c>
      <c r="G226" s="243"/>
      <c r="H226" s="685"/>
      <c r="I226" s="244"/>
      <c r="J226" s="245" t="str">
        <f t="shared" si="106"/>
        <v xml:space="preserve"> </v>
      </c>
      <c r="K226" s="417"/>
      <c r="L226" s="424"/>
      <c r="P226">
        <f t="shared" si="103"/>
        <v>8</v>
      </c>
      <c r="Q226" s="572" t="s">
        <v>257</v>
      </c>
      <c r="R226" s="535"/>
      <c r="S226" s="161">
        <f t="shared" si="97"/>
        <v>1.25</v>
      </c>
      <c r="AE226" s="20" t="str">
        <f t="shared" si="98"/>
        <v>Y</v>
      </c>
      <c r="AF226" s="815">
        <f t="shared" si="99"/>
        <v>0</v>
      </c>
      <c r="AG226" s="816">
        <f t="shared" si="104"/>
        <v>1.25</v>
      </c>
      <c r="AH226">
        <f t="shared" si="100"/>
        <v>0</v>
      </c>
      <c r="AI226">
        <f t="shared" si="101"/>
        <v>1</v>
      </c>
      <c r="AJ226">
        <f t="shared" si="105"/>
        <v>-1</v>
      </c>
      <c r="AK226">
        <f t="shared" si="102"/>
        <v>1</v>
      </c>
    </row>
    <row r="227" spans="3:37" ht="15" customHeight="1" x14ac:dyDescent="0.2">
      <c r="C227" s="410"/>
      <c r="D227" s="419">
        <v>11</v>
      </c>
      <c r="E227" s="241">
        <f t="shared" si="94"/>
        <v>0</v>
      </c>
      <c r="F227" s="242">
        <f t="shared" si="95"/>
        <v>0</v>
      </c>
      <c r="G227" s="243"/>
      <c r="H227" s="685"/>
      <c r="I227" s="244"/>
      <c r="J227" s="245" t="str">
        <f t="shared" si="106"/>
        <v xml:space="preserve"> </v>
      </c>
      <c r="K227" s="417"/>
      <c r="L227" s="424"/>
      <c r="P227">
        <f t="shared" si="103"/>
        <v>9</v>
      </c>
      <c r="Q227" s="572" t="s">
        <v>258</v>
      </c>
      <c r="R227" s="535"/>
      <c r="S227" s="161">
        <f t="shared" si="97"/>
        <v>1.25</v>
      </c>
      <c r="AE227" s="20" t="str">
        <f t="shared" si="98"/>
        <v>Y</v>
      </c>
      <c r="AF227" s="815">
        <f t="shared" si="99"/>
        <v>0</v>
      </c>
      <c r="AG227" s="816">
        <f t="shared" si="104"/>
        <v>1.25</v>
      </c>
      <c r="AH227">
        <f t="shared" si="100"/>
        <v>0</v>
      </c>
      <c r="AI227">
        <f t="shared" si="101"/>
        <v>1</v>
      </c>
      <c r="AJ227">
        <f t="shared" si="105"/>
        <v>-1</v>
      </c>
      <c r="AK227">
        <f t="shared" si="102"/>
        <v>1</v>
      </c>
    </row>
    <row r="228" spans="3:37" ht="14.25" x14ac:dyDescent="0.2">
      <c r="C228" s="410"/>
      <c r="D228" s="419">
        <v>12</v>
      </c>
      <c r="E228" s="241">
        <f t="shared" si="94"/>
        <v>0</v>
      </c>
      <c r="F228" s="242">
        <f t="shared" si="95"/>
        <v>0</v>
      </c>
      <c r="G228" s="243"/>
      <c r="H228" s="685"/>
      <c r="I228" s="244"/>
      <c r="J228" s="245" t="str">
        <f t="shared" si="106"/>
        <v xml:space="preserve"> </v>
      </c>
      <c r="K228" s="417"/>
      <c r="L228" s="424"/>
      <c r="P228">
        <f t="shared" si="103"/>
        <v>10</v>
      </c>
      <c r="Q228" s="572" t="s">
        <v>259</v>
      </c>
      <c r="R228" s="535">
        <v>3</v>
      </c>
      <c r="S228" s="161" t="str">
        <f t="shared" si="97"/>
        <v/>
      </c>
      <c r="AE228" s="20" t="str">
        <f t="shared" si="98"/>
        <v>Y</v>
      </c>
      <c r="AF228" s="815">
        <f t="shared" si="99"/>
        <v>3</v>
      </c>
      <c r="AG228" s="816">
        <f t="shared" si="104"/>
        <v>0</v>
      </c>
      <c r="AH228">
        <f t="shared" si="100"/>
        <v>1</v>
      </c>
      <c r="AI228">
        <f t="shared" si="101"/>
        <v>1</v>
      </c>
      <c r="AJ228">
        <f t="shared" si="105"/>
        <v>0</v>
      </c>
      <c r="AK228">
        <f t="shared" si="102"/>
        <v>0</v>
      </c>
    </row>
    <row r="229" spans="3:37" ht="15" thickBot="1" x14ac:dyDescent="0.25">
      <c r="C229" s="410"/>
      <c r="D229" s="419"/>
      <c r="E229" s="241" t="s">
        <v>273</v>
      </c>
      <c r="F229" s="242">
        <f>F195</f>
        <v>0</v>
      </c>
      <c r="G229" s="243"/>
      <c r="H229" s="685">
        <v>0</v>
      </c>
      <c r="I229" s="244"/>
      <c r="J229" s="246" t="str">
        <f t="shared" si="106"/>
        <v xml:space="preserve"> </v>
      </c>
      <c r="K229" s="417"/>
      <c r="L229" s="424"/>
      <c r="P229">
        <f t="shared" si="103"/>
        <v>11</v>
      </c>
      <c r="Q229" s="572" t="s">
        <v>471</v>
      </c>
      <c r="R229" s="535"/>
      <c r="S229" s="161">
        <f t="shared" si="97"/>
        <v>1.25</v>
      </c>
      <c r="AE229" s="20" t="str">
        <f t="shared" si="98"/>
        <v>Y</v>
      </c>
      <c r="AF229" s="815">
        <f t="shared" si="99"/>
        <v>0</v>
      </c>
      <c r="AG229" s="816">
        <f t="shared" si="104"/>
        <v>1.25</v>
      </c>
      <c r="AH229">
        <f t="shared" si="100"/>
        <v>0</v>
      </c>
      <c r="AI229">
        <f t="shared" si="101"/>
        <v>1</v>
      </c>
      <c r="AJ229">
        <f t="shared" si="105"/>
        <v>-1</v>
      </c>
      <c r="AK229">
        <f t="shared" si="102"/>
        <v>1</v>
      </c>
    </row>
    <row r="230" spans="3:37" ht="17.25" customHeight="1" thickTop="1" thickBot="1" x14ac:dyDescent="0.25">
      <c r="C230" s="410"/>
      <c r="D230" s="419"/>
      <c r="E230" s="247" t="s">
        <v>217</v>
      </c>
      <c r="F230" s="248">
        <f>SUM(F217:F229)</f>
        <v>382.14181254524647</v>
      </c>
      <c r="G230" s="249"/>
      <c r="H230" s="250">
        <f>SUM(H217:H229)</f>
        <v>9</v>
      </c>
      <c r="I230" s="251"/>
      <c r="J230" s="633"/>
      <c r="K230" s="417"/>
      <c r="L230" s="424"/>
      <c r="P230">
        <f t="shared" si="103"/>
        <v>12</v>
      </c>
      <c r="Q230" s="572" t="s">
        <v>260</v>
      </c>
      <c r="R230" s="535"/>
      <c r="S230" s="161">
        <f t="shared" si="97"/>
        <v>1.25</v>
      </c>
      <c r="AE230" s="20" t="str">
        <f t="shared" si="98"/>
        <v>Y</v>
      </c>
      <c r="AF230" s="815">
        <f t="shared" si="99"/>
        <v>0</v>
      </c>
      <c r="AG230" s="816">
        <f t="shared" si="104"/>
        <v>1.25</v>
      </c>
      <c r="AH230">
        <f t="shared" si="100"/>
        <v>0</v>
      </c>
      <c r="AI230">
        <f t="shared" si="101"/>
        <v>1</v>
      </c>
      <c r="AJ230">
        <f t="shared" si="105"/>
        <v>-1</v>
      </c>
      <c r="AK230">
        <f t="shared" si="102"/>
        <v>1</v>
      </c>
    </row>
    <row r="231" spans="3:37" ht="13.5" thickTop="1" x14ac:dyDescent="0.2">
      <c r="C231" s="420"/>
      <c r="D231" s="421"/>
      <c r="E231" s="421"/>
      <c r="F231" s="421"/>
      <c r="G231" s="421"/>
      <c r="H231" s="421"/>
      <c r="I231" s="421"/>
      <c r="J231" s="421"/>
      <c r="K231" s="422"/>
      <c r="L231" s="423"/>
      <c r="P231">
        <f t="shared" si="103"/>
        <v>13</v>
      </c>
      <c r="Q231" s="572" t="s">
        <v>261</v>
      </c>
      <c r="R231" s="535"/>
      <c r="S231" s="161">
        <f t="shared" si="97"/>
        <v>1.25</v>
      </c>
      <c r="AE231" s="20" t="str">
        <f t="shared" si="98"/>
        <v>Y</v>
      </c>
      <c r="AF231" s="815">
        <f t="shared" si="99"/>
        <v>0</v>
      </c>
      <c r="AG231" s="816">
        <f t="shared" si="104"/>
        <v>1.25</v>
      </c>
      <c r="AH231">
        <f t="shared" si="100"/>
        <v>0</v>
      </c>
      <c r="AI231">
        <f t="shared" si="101"/>
        <v>1</v>
      </c>
      <c r="AJ231">
        <f t="shared" si="105"/>
        <v>-1</v>
      </c>
      <c r="AK231">
        <f t="shared" si="102"/>
        <v>1</v>
      </c>
    </row>
    <row r="232" spans="3:37" ht="12.75" customHeight="1" x14ac:dyDescent="0.2">
      <c r="P232">
        <f t="shared" si="103"/>
        <v>14</v>
      </c>
      <c r="Q232" s="572" t="s">
        <v>472</v>
      </c>
      <c r="R232" s="535">
        <v>2.5</v>
      </c>
      <c r="S232" s="161" t="str">
        <f t="shared" si="97"/>
        <v/>
      </c>
      <c r="AE232" s="20" t="str">
        <f t="shared" si="98"/>
        <v>Y</v>
      </c>
      <c r="AF232" s="815">
        <f t="shared" si="99"/>
        <v>2.5</v>
      </c>
      <c r="AG232" s="816">
        <f t="shared" si="104"/>
        <v>0</v>
      </c>
      <c r="AH232">
        <f t="shared" si="100"/>
        <v>1</v>
      </c>
      <c r="AI232">
        <f t="shared" si="101"/>
        <v>1</v>
      </c>
      <c r="AJ232">
        <f t="shared" si="105"/>
        <v>0</v>
      </c>
      <c r="AK232">
        <f t="shared" si="102"/>
        <v>0</v>
      </c>
    </row>
    <row r="233" spans="3:37" ht="15" x14ac:dyDescent="0.2">
      <c r="C233" s="406"/>
      <c r="D233" s="407"/>
      <c r="E233" s="407"/>
      <c r="F233" s="407"/>
      <c r="G233" s="408"/>
      <c r="H233" s="408"/>
      <c r="I233" s="408"/>
      <c r="J233" s="408"/>
      <c r="K233" s="407"/>
      <c r="L233" s="409"/>
      <c r="P233">
        <f t="shared" si="103"/>
        <v>15</v>
      </c>
      <c r="Q233" s="572" t="s">
        <v>264</v>
      </c>
      <c r="R233" s="535">
        <v>2</v>
      </c>
      <c r="S233" s="161" t="str">
        <f t="shared" si="97"/>
        <v/>
      </c>
      <c r="AE233" s="20" t="str">
        <f t="shared" si="98"/>
        <v>Y</v>
      </c>
      <c r="AF233" s="815">
        <f t="shared" si="99"/>
        <v>2</v>
      </c>
      <c r="AG233" s="816">
        <f t="shared" si="104"/>
        <v>0</v>
      </c>
      <c r="AH233">
        <f t="shared" si="100"/>
        <v>1</v>
      </c>
      <c r="AI233">
        <f t="shared" si="101"/>
        <v>1</v>
      </c>
      <c r="AJ233">
        <f t="shared" si="105"/>
        <v>0</v>
      </c>
      <c r="AK233">
        <f t="shared" si="102"/>
        <v>0</v>
      </c>
    </row>
    <row r="234" spans="3:37" ht="18" x14ac:dyDescent="0.25">
      <c r="C234" s="425"/>
      <c r="D234" s="411" t="s">
        <v>293</v>
      </c>
      <c r="E234" s="350"/>
      <c r="F234" s="350"/>
      <c r="G234" s="412"/>
      <c r="H234" s="412"/>
      <c r="I234" s="412"/>
      <c r="J234" s="412"/>
      <c r="K234" s="350"/>
      <c r="L234" s="413"/>
      <c r="P234">
        <f t="shared" si="103"/>
        <v>16</v>
      </c>
      <c r="Q234" s="572" t="s">
        <v>263</v>
      </c>
      <c r="R234" s="535"/>
      <c r="S234" s="161">
        <f t="shared" si="97"/>
        <v>1.25</v>
      </c>
      <c r="AE234" s="20" t="str">
        <f t="shared" si="98"/>
        <v>Y</v>
      </c>
      <c r="AF234" s="815">
        <f t="shared" si="99"/>
        <v>0</v>
      </c>
      <c r="AG234" s="816">
        <f t="shared" si="104"/>
        <v>1.25</v>
      </c>
      <c r="AH234">
        <f t="shared" si="100"/>
        <v>0</v>
      </c>
      <c r="AI234">
        <f t="shared" si="101"/>
        <v>1</v>
      </c>
      <c r="AJ234">
        <f t="shared" si="105"/>
        <v>-1</v>
      </c>
      <c r="AK234">
        <f t="shared" si="102"/>
        <v>1</v>
      </c>
    </row>
    <row r="235" spans="3:37" x14ac:dyDescent="0.2">
      <c r="C235" s="1011" t="s">
        <v>464</v>
      </c>
      <c r="D235" s="1012"/>
      <c r="E235" s="1012"/>
      <c r="F235" s="1012"/>
      <c r="G235" s="1012"/>
      <c r="H235" s="1012"/>
      <c r="I235" s="1012"/>
      <c r="J235" s="1012"/>
      <c r="K235" s="1012"/>
      <c r="L235" s="1013"/>
      <c r="P235">
        <f t="shared" si="103"/>
        <v>17</v>
      </c>
      <c r="Q235" s="572" t="s">
        <v>266</v>
      </c>
      <c r="R235" s="535"/>
      <c r="S235" s="161">
        <f t="shared" si="97"/>
        <v>1.25</v>
      </c>
      <c r="AE235" s="20" t="str">
        <f t="shared" si="98"/>
        <v>Y</v>
      </c>
      <c r="AF235" s="815">
        <f t="shared" si="99"/>
        <v>0</v>
      </c>
      <c r="AG235" s="816">
        <f t="shared" si="104"/>
        <v>1.25</v>
      </c>
      <c r="AH235">
        <f t="shared" si="100"/>
        <v>0</v>
      </c>
      <c r="AI235">
        <f t="shared" si="101"/>
        <v>1</v>
      </c>
      <c r="AJ235">
        <f t="shared" si="105"/>
        <v>-1</v>
      </c>
      <c r="AK235">
        <f t="shared" si="102"/>
        <v>1</v>
      </c>
    </row>
    <row r="236" spans="3:37" ht="12.75" customHeight="1" x14ac:dyDescent="0.2">
      <c r="C236" s="1014"/>
      <c r="D236" s="1012"/>
      <c r="E236" s="1012"/>
      <c r="F236" s="1012"/>
      <c r="G236" s="1012"/>
      <c r="H236" s="1012"/>
      <c r="I236" s="1012"/>
      <c r="J236" s="1012"/>
      <c r="K236" s="1012"/>
      <c r="L236" s="1013"/>
      <c r="P236">
        <f t="shared" si="103"/>
        <v>18</v>
      </c>
      <c r="Q236" s="572" t="s">
        <v>267</v>
      </c>
      <c r="R236" s="535"/>
      <c r="S236" s="161">
        <f t="shared" si="97"/>
        <v>1.25</v>
      </c>
      <c r="AE236" s="20" t="str">
        <f t="shared" si="98"/>
        <v>Y</v>
      </c>
      <c r="AF236" s="815">
        <f t="shared" si="99"/>
        <v>0</v>
      </c>
      <c r="AG236" s="816">
        <f t="shared" si="104"/>
        <v>1.25</v>
      </c>
      <c r="AH236">
        <f t="shared" si="100"/>
        <v>0</v>
      </c>
      <c r="AI236">
        <f t="shared" si="101"/>
        <v>1</v>
      </c>
      <c r="AJ236">
        <f t="shared" si="105"/>
        <v>-1</v>
      </c>
      <c r="AK236">
        <f t="shared" si="102"/>
        <v>1</v>
      </c>
    </row>
    <row r="237" spans="3:37" x14ac:dyDescent="0.2">
      <c r="C237" s="1014"/>
      <c r="D237" s="1012"/>
      <c r="E237" s="1012"/>
      <c r="F237" s="1012"/>
      <c r="G237" s="1012"/>
      <c r="H237" s="1012"/>
      <c r="I237" s="1012"/>
      <c r="J237" s="1012"/>
      <c r="K237" s="1012"/>
      <c r="L237" s="1013"/>
      <c r="P237">
        <f t="shared" si="103"/>
        <v>19</v>
      </c>
      <c r="Q237" s="572" t="s">
        <v>268</v>
      </c>
      <c r="R237" s="535">
        <v>2</v>
      </c>
      <c r="S237" s="161" t="str">
        <f t="shared" si="97"/>
        <v/>
      </c>
      <c r="AE237" s="20" t="str">
        <f t="shared" si="98"/>
        <v>Y</v>
      </c>
      <c r="AF237" s="815">
        <f t="shared" si="99"/>
        <v>2</v>
      </c>
      <c r="AG237" s="816">
        <f t="shared" si="104"/>
        <v>0</v>
      </c>
      <c r="AH237">
        <f t="shared" si="100"/>
        <v>1</v>
      </c>
      <c r="AI237">
        <f t="shared" si="101"/>
        <v>1</v>
      </c>
      <c r="AJ237">
        <f t="shared" si="105"/>
        <v>0</v>
      </c>
      <c r="AK237">
        <f t="shared" si="102"/>
        <v>0</v>
      </c>
    </row>
    <row r="238" spans="3:37" x14ac:dyDescent="0.2">
      <c r="C238" s="1014"/>
      <c r="D238" s="1012"/>
      <c r="E238" s="1012"/>
      <c r="F238" s="1012"/>
      <c r="G238" s="1012"/>
      <c r="H238" s="1012"/>
      <c r="I238" s="1012"/>
      <c r="J238" s="1012"/>
      <c r="K238" s="1012"/>
      <c r="L238" s="1013"/>
      <c r="P238">
        <f t="shared" si="103"/>
        <v>20</v>
      </c>
      <c r="Q238" s="572" t="s">
        <v>269</v>
      </c>
      <c r="R238" s="535">
        <v>7</v>
      </c>
      <c r="S238" s="161" t="str">
        <f t="shared" si="97"/>
        <v/>
      </c>
      <c r="AE238" s="20" t="str">
        <f t="shared" si="98"/>
        <v>Y</v>
      </c>
      <c r="AF238" s="815">
        <f t="shared" si="99"/>
        <v>7</v>
      </c>
      <c r="AG238" s="816">
        <f t="shared" si="104"/>
        <v>0</v>
      </c>
      <c r="AH238">
        <f t="shared" si="100"/>
        <v>1</v>
      </c>
      <c r="AI238">
        <f t="shared" si="101"/>
        <v>1</v>
      </c>
      <c r="AJ238">
        <f t="shared" si="105"/>
        <v>0</v>
      </c>
      <c r="AK238">
        <f t="shared" si="102"/>
        <v>0</v>
      </c>
    </row>
    <row r="239" spans="3:37" x14ac:dyDescent="0.2">
      <c r="C239" s="1014"/>
      <c r="D239" s="1012"/>
      <c r="E239" s="1012"/>
      <c r="F239" s="1012"/>
      <c r="G239" s="1012"/>
      <c r="H239" s="1012"/>
      <c r="I239" s="1012"/>
      <c r="J239" s="1012"/>
      <c r="K239" s="1012"/>
      <c r="L239" s="1013"/>
      <c r="P239">
        <f t="shared" si="103"/>
        <v>21</v>
      </c>
      <c r="Q239" s="807" t="s">
        <v>473</v>
      </c>
      <c r="R239" s="535"/>
      <c r="S239" s="161">
        <f t="shared" si="97"/>
        <v>1.25</v>
      </c>
      <c r="AE239" s="20" t="str">
        <f t="shared" si="98"/>
        <v>Y</v>
      </c>
      <c r="AF239" s="815">
        <f t="shared" si="99"/>
        <v>0</v>
      </c>
      <c r="AG239" s="816">
        <f t="shared" si="104"/>
        <v>1.25</v>
      </c>
      <c r="AH239">
        <f t="shared" si="100"/>
        <v>0</v>
      </c>
      <c r="AI239">
        <f t="shared" si="101"/>
        <v>1</v>
      </c>
      <c r="AJ239">
        <f t="shared" si="105"/>
        <v>-1</v>
      </c>
      <c r="AK239">
        <f t="shared" si="102"/>
        <v>1</v>
      </c>
    </row>
    <row r="240" spans="3:37" x14ac:dyDescent="0.2">
      <c r="C240" s="1014"/>
      <c r="D240" s="1012"/>
      <c r="E240" s="1012"/>
      <c r="F240" s="1012"/>
      <c r="G240" s="1012"/>
      <c r="H240" s="1012"/>
      <c r="I240" s="1012"/>
      <c r="J240" s="1012"/>
      <c r="K240" s="1012"/>
      <c r="L240" s="1013"/>
      <c r="P240">
        <f t="shared" si="103"/>
        <v>22</v>
      </c>
      <c r="Q240" s="807" t="s">
        <v>474</v>
      </c>
      <c r="R240" s="535"/>
      <c r="S240" s="161">
        <f t="shared" si="97"/>
        <v>1.25</v>
      </c>
      <c r="AE240" s="20" t="str">
        <f t="shared" si="98"/>
        <v>Y</v>
      </c>
      <c r="AF240" s="815">
        <f t="shared" si="99"/>
        <v>0</v>
      </c>
      <c r="AG240" s="816">
        <f t="shared" si="104"/>
        <v>1.25</v>
      </c>
      <c r="AH240">
        <f t="shared" si="100"/>
        <v>0</v>
      </c>
      <c r="AI240">
        <f t="shared" si="101"/>
        <v>1</v>
      </c>
      <c r="AJ240">
        <f t="shared" si="105"/>
        <v>-1</v>
      </c>
      <c r="AK240">
        <f t="shared" si="102"/>
        <v>1</v>
      </c>
    </row>
    <row r="241" spans="3:37" x14ac:dyDescent="0.2">
      <c r="C241" s="1014"/>
      <c r="D241" s="1012"/>
      <c r="E241" s="1012"/>
      <c r="F241" s="1012"/>
      <c r="G241" s="1012"/>
      <c r="H241" s="1012"/>
      <c r="I241" s="1012"/>
      <c r="J241" s="1012"/>
      <c r="K241" s="1012"/>
      <c r="L241" s="1013"/>
      <c r="P241">
        <f t="shared" si="103"/>
        <v>23</v>
      </c>
      <c r="Q241" s="807" t="s">
        <v>475</v>
      </c>
      <c r="R241" s="535">
        <v>0</v>
      </c>
      <c r="S241" s="161">
        <f t="shared" si="97"/>
        <v>1.25</v>
      </c>
      <c r="AE241" s="20" t="str">
        <f t="shared" si="98"/>
        <v>Y</v>
      </c>
      <c r="AF241" s="815">
        <f t="shared" si="99"/>
        <v>0</v>
      </c>
      <c r="AG241" s="816">
        <f t="shared" si="104"/>
        <v>1.25</v>
      </c>
      <c r="AH241">
        <f t="shared" si="100"/>
        <v>0</v>
      </c>
      <c r="AI241">
        <f t="shared" si="101"/>
        <v>1</v>
      </c>
      <c r="AJ241">
        <f t="shared" si="105"/>
        <v>-1</v>
      </c>
      <c r="AK241">
        <f t="shared" si="102"/>
        <v>1</v>
      </c>
    </row>
    <row r="242" spans="3:37" x14ac:dyDescent="0.2">
      <c r="C242" s="1014"/>
      <c r="D242" s="1012"/>
      <c r="E242" s="1012"/>
      <c r="F242" s="1012"/>
      <c r="G242" s="1012"/>
      <c r="H242" s="1012"/>
      <c r="I242" s="1012"/>
      <c r="J242" s="1012"/>
      <c r="K242" s="1012"/>
      <c r="L242" s="1013"/>
      <c r="P242">
        <f t="shared" si="103"/>
        <v>24</v>
      </c>
      <c r="Q242" s="807" t="s">
        <v>253</v>
      </c>
      <c r="R242" s="535">
        <v>1.5</v>
      </c>
      <c r="S242" s="161" t="str">
        <f t="shared" si="97"/>
        <v/>
      </c>
      <c r="AE242" s="20" t="str">
        <f t="shared" si="98"/>
        <v>Y</v>
      </c>
      <c r="AF242" s="815">
        <f t="shared" si="99"/>
        <v>1.5</v>
      </c>
      <c r="AG242" s="816">
        <f t="shared" si="104"/>
        <v>0</v>
      </c>
      <c r="AH242">
        <f t="shared" si="100"/>
        <v>1</v>
      </c>
      <c r="AI242">
        <f t="shared" si="101"/>
        <v>1</v>
      </c>
      <c r="AJ242">
        <f t="shared" si="105"/>
        <v>0</v>
      </c>
      <c r="AK242">
        <f t="shared" si="102"/>
        <v>0</v>
      </c>
    </row>
    <row r="243" spans="3:37" x14ac:dyDescent="0.2">
      <c r="C243" s="1014"/>
      <c r="D243" s="1012"/>
      <c r="E243" s="1012"/>
      <c r="F243" s="1012"/>
      <c r="G243" s="1012"/>
      <c r="H243" s="1012"/>
      <c r="I243" s="1012"/>
      <c r="J243" s="1012"/>
      <c r="K243" s="1012"/>
      <c r="L243" s="1013"/>
      <c r="P243">
        <f t="shared" si="103"/>
        <v>25</v>
      </c>
      <c r="Q243" s="535"/>
      <c r="R243" s="535"/>
      <c r="S243" s="161" t="str">
        <f t="shared" si="97"/>
        <v/>
      </c>
      <c r="AE243" s="20" t="str">
        <f t="shared" si="98"/>
        <v>X</v>
      </c>
      <c r="AF243" s="815" t="b">
        <f t="shared" si="99"/>
        <v>0</v>
      </c>
      <c r="AG243" s="816">
        <f t="shared" si="104"/>
        <v>0</v>
      </c>
      <c r="AH243">
        <f t="shared" si="100"/>
        <v>0</v>
      </c>
      <c r="AI243">
        <f t="shared" si="101"/>
        <v>0</v>
      </c>
      <c r="AJ243">
        <f t="shared" si="105"/>
        <v>0</v>
      </c>
      <c r="AK243">
        <f t="shared" si="102"/>
        <v>0</v>
      </c>
    </row>
    <row r="244" spans="3:37" x14ac:dyDescent="0.2">
      <c r="C244" s="1015"/>
      <c r="D244" s="1016"/>
      <c r="E244" s="1016"/>
      <c r="F244" s="1016"/>
      <c r="G244" s="1016"/>
      <c r="H244" s="1016"/>
      <c r="I244" s="1016"/>
      <c r="J244" s="1016"/>
      <c r="K244" s="1016"/>
      <c r="L244" s="1017"/>
      <c r="P244">
        <f t="shared" si="103"/>
        <v>26</v>
      </c>
      <c r="Q244" s="535"/>
      <c r="R244" s="535"/>
      <c r="S244" s="161" t="str">
        <f t="shared" si="97"/>
        <v/>
      </c>
      <c r="AE244" s="20" t="str">
        <f t="shared" si="98"/>
        <v>X</v>
      </c>
      <c r="AF244" s="815" t="b">
        <f t="shared" si="99"/>
        <v>0</v>
      </c>
      <c r="AG244" s="816">
        <f t="shared" si="104"/>
        <v>0</v>
      </c>
      <c r="AH244">
        <f t="shared" si="100"/>
        <v>0</v>
      </c>
      <c r="AI244">
        <f t="shared" si="101"/>
        <v>0</v>
      </c>
      <c r="AJ244">
        <f t="shared" si="105"/>
        <v>0</v>
      </c>
      <c r="AK244">
        <f t="shared" si="102"/>
        <v>0</v>
      </c>
    </row>
    <row r="245" spans="3:37" x14ac:dyDescent="0.2">
      <c r="P245">
        <f t="shared" si="103"/>
        <v>27</v>
      </c>
      <c r="Q245" s="535"/>
      <c r="R245" s="535"/>
      <c r="S245" s="161" t="str">
        <f t="shared" si="97"/>
        <v/>
      </c>
      <c r="AE245" s="20" t="str">
        <f t="shared" si="98"/>
        <v>X</v>
      </c>
      <c r="AF245" s="815" t="b">
        <f t="shared" si="99"/>
        <v>0</v>
      </c>
      <c r="AG245" s="816">
        <f t="shared" si="104"/>
        <v>0</v>
      </c>
      <c r="AH245">
        <f t="shared" si="100"/>
        <v>0</v>
      </c>
      <c r="AI245">
        <f t="shared" si="101"/>
        <v>0</v>
      </c>
      <c r="AJ245">
        <f t="shared" si="105"/>
        <v>0</v>
      </c>
      <c r="AK245">
        <f t="shared" si="102"/>
        <v>0</v>
      </c>
    </row>
    <row r="246" spans="3:37" x14ac:dyDescent="0.2">
      <c r="C246" s="406"/>
      <c r="D246" s="867" t="s">
        <v>487</v>
      </c>
      <c r="E246" s="867"/>
      <c r="F246" s="867"/>
      <c r="G246" s="867"/>
      <c r="H246" s="867"/>
      <c r="I246" s="867"/>
      <c r="J246" s="867"/>
      <c r="K246" s="867"/>
      <c r="L246" s="830"/>
      <c r="P246">
        <f t="shared" si="103"/>
        <v>28</v>
      </c>
      <c r="Q246" s="535"/>
      <c r="R246" s="535"/>
      <c r="S246" s="161" t="str">
        <f t="shared" si="97"/>
        <v/>
      </c>
      <c r="AE246" s="20" t="str">
        <f t="shared" si="98"/>
        <v>X</v>
      </c>
      <c r="AF246" s="815" t="b">
        <f t="shared" si="99"/>
        <v>0</v>
      </c>
      <c r="AG246" s="816">
        <f t="shared" si="104"/>
        <v>0</v>
      </c>
      <c r="AH246">
        <f t="shared" si="100"/>
        <v>0</v>
      </c>
      <c r="AI246">
        <f t="shared" si="101"/>
        <v>0</v>
      </c>
      <c r="AJ246">
        <f t="shared" si="105"/>
        <v>0</v>
      </c>
      <c r="AK246">
        <f t="shared" si="102"/>
        <v>0</v>
      </c>
    </row>
    <row r="247" spans="3:37" x14ac:dyDescent="0.2">
      <c r="C247" s="410"/>
      <c r="D247" s="868"/>
      <c r="E247" s="868"/>
      <c r="F247" s="868"/>
      <c r="G247" s="868"/>
      <c r="H247" s="868"/>
      <c r="I247" s="868"/>
      <c r="J247" s="868"/>
      <c r="K247" s="868"/>
      <c r="L247" s="424"/>
      <c r="P247">
        <f t="shared" si="103"/>
        <v>29</v>
      </c>
      <c r="Q247" s="535"/>
      <c r="R247" s="535"/>
      <c r="S247" s="161" t="str">
        <f t="shared" si="97"/>
        <v/>
      </c>
      <c r="AE247" s="20" t="str">
        <f t="shared" si="98"/>
        <v>X</v>
      </c>
      <c r="AF247" s="815" t="b">
        <f t="shared" si="99"/>
        <v>0</v>
      </c>
      <c r="AG247" s="816">
        <f t="shared" si="104"/>
        <v>0</v>
      </c>
      <c r="AH247">
        <f t="shared" si="100"/>
        <v>0</v>
      </c>
      <c r="AI247">
        <f t="shared" si="101"/>
        <v>0</v>
      </c>
      <c r="AJ247">
        <f t="shared" ref="AJ247:AJ266" si="107">AH247-AI247</f>
        <v>0</v>
      </c>
      <c r="AK247">
        <f t="shared" si="102"/>
        <v>0</v>
      </c>
    </row>
    <row r="248" spans="3:37" x14ac:dyDescent="0.2">
      <c r="C248" s="410"/>
      <c r="D248" s="869" t="s">
        <v>486</v>
      </c>
      <c r="E248" s="870"/>
      <c r="F248" s="870"/>
      <c r="G248" s="870"/>
      <c r="H248" s="870"/>
      <c r="I248" s="870"/>
      <c r="J248" s="870"/>
      <c r="K248" s="870"/>
      <c r="L248" s="424"/>
      <c r="P248">
        <f t="shared" si="103"/>
        <v>30</v>
      </c>
      <c r="Q248" s="535"/>
      <c r="R248" s="535"/>
      <c r="S248" s="161" t="str">
        <f t="shared" si="97"/>
        <v/>
      </c>
      <c r="AE248" s="20" t="str">
        <f t="shared" si="98"/>
        <v>X</v>
      </c>
      <c r="AF248" s="815" t="b">
        <f t="shared" si="99"/>
        <v>0</v>
      </c>
      <c r="AG248" s="816">
        <f t="shared" si="104"/>
        <v>0</v>
      </c>
      <c r="AH248">
        <f t="shared" si="100"/>
        <v>0</v>
      </c>
      <c r="AI248">
        <f t="shared" si="101"/>
        <v>0</v>
      </c>
      <c r="AJ248">
        <f t="shared" si="107"/>
        <v>0</v>
      </c>
      <c r="AK248">
        <f t="shared" si="102"/>
        <v>0</v>
      </c>
    </row>
    <row r="249" spans="3:37" x14ac:dyDescent="0.2">
      <c r="C249" s="410"/>
      <c r="D249" s="870"/>
      <c r="E249" s="870"/>
      <c r="F249" s="870"/>
      <c r="G249" s="870"/>
      <c r="H249" s="870"/>
      <c r="I249" s="870"/>
      <c r="J249" s="870"/>
      <c r="K249" s="870"/>
      <c r="L249" s="424"/>
      <c r="P249">
        <f t="shared" si="103"/>
        <v>31</v>
      </c>
      <c r="Q249" s="535"/>
      <c r="R249" s="535"/>
      <c r="S249" s="161" t="str">
        <f t="shared" si="97"/>
        <v/>
      </c>
      <c r="AE249" s="20" t="str">
        <f t="shared" si="98"/>
        <v>X</v>
      </c>
      <c r="AF249" s="815" t="b">
        <f t="shared" si="99"/>
        <v>0</v>
      </c>
      <c r="AG249" s="816">
        <f t="shared" si="104"/>
        <v>0</v>
      </c>
      <c r="AH249">
        <f t="shared" si="100"/>
        <v>0</v>
      </c>
      <c r="AI249">
        <f t="shared" si="101"/>
        <v>0</v>
      </c>
      <c r="AJ249">
        <f t="shared" si="107"/>
        <v>0</v>
      </c>
      <c r="AK249">
        <f t="shared" si="102"/>
        <v>0</v>
      </c>
    </row>
    <row r="250" spans="3:37" x14ac:dyDescent="0.2">
      <c r="C250" s="410"/>
      <c r="D250" s="870"/>
      <c r="E250" s="870"/>
      <c r="F250" s="870"/>
      <c r="G250" s="870"/>
      <c r="H250" s="870"/>
      <c r="I250" s="870"/>
      <c r="J250" s="870"/>
      <c r="K250" s="870"/>
      <c r="L250" s="424"/>
      <c r="P250">
        <f t="shared" si="103"/>
        <v>32</v>
      </c>
      <c r="Q250" s="535"/>
      <c r="R250" s="535"/>
      <c r="S250" s="161" t="str">
        <f t="shared" si="97"/>
        <v/>
      </c>
      <c r="AE250" s="20" t="str">
        <f t="shared" si="98"/>
        <v>X</v>
      </c>
      <c r="AF250" s="815" t="b">
        <f t="shared" si="99"/>
        <v>0</v>
      </c>
      <c r="AG250" s="816">
        <f t="shared" si="104"/>
        <v>0</v>
      </c>
      <c r="AH250">
        <f t="shared" si="100"/>
        <v>0</v>
      </c>
      <c r="AI250">
        <f t="shared" si="101"/>
        <v>0</v>
      </c>
      <c r="AJ250">
        <f t="shared" si="107"/>
        <v>0</v>
      </c>
      <c r="AK250">
        <f t="shared" si="102"/>
        <v>0</v>
      </c>
    </row>
    <row r="251" spans="3:37" x14ac:dyDescent="0.2">
      <c r="C251" s="410"/>
      <c r="D251" s="870"/>
      <c r="E251" s="870"/>
      <c r="F251" s="870"/>
      <c r="G251" s="870"/>
      <c r="H251" s="870"/>
      <c r="I251" s="870"/>
      <c r="J251" s="870"/>
      <c r="K251" s="870"/>
      <c r="L251" s="424"/>
      <c r="P251">
        <f t="shared" si="103"/>
        <v>33</v>
      </c>
      <c r="Q251" s="807"/>
      <c r="R251" s="535"/>
      <c r="S251" s="161" t="str">
        <f t="shared" si="97"/>
        <v/>
      </c>
      <c r="AE251" s="20" t="str">
        <f t="shared" si="98"/>
        <v>X</v>
      </c>
      <c r="AF251" s="815" t="b">
        <f t="shared" si="99"/>
        <v>0</v>
      </c>
      <c r="AG251" s="816">
        <f t="shared" si="104"/>
        <v>0</v>
      </c>
      <c r="AH251">
        <f t="shared" si="100"/>
        <v>0</v>
      </c>
      <c r="AI251">
        <f t="shared" si="101"/>
        <v>0</v>
      </c>
      <c r="AJ251">
        <f t="shared" si="107"/>
        <v>0</v>
      </c>
      <c r="AK251">
        <f t="shared" si="102"/>
        <v>0</v>
      </c>
    </row>
    <row r="252" spans="3:37" x14ac:dyDescent="0.2">
      <c r="C252" s="410"/>
      <c r="D252" s="870"/>
      <c r="E252" s="870"/>
      <c r="F252" s="870"/>
      <c r="G252" s="870"/>
      <c r="H252" s="870"/>
      <c r="I252" s="870"/>
      <c r="J252" s="870"/>
      <c r="K252" s="870"/>
      <c r="L252" s="424"/>
      <c r="P252">
        <f t="shared" si="103"/>
        <v>34</v>
      </c>
      <c r="Q252" s="535"/>
      <c r="R252" s="535"/>
      <c r="S252" s="161" t="str">
        <f t="shared" si="97"/>
        <v/>
      </c>
      <c r="AE252" s="20" t="str">
        <f t="shared" si="98"/>
        <v>X</v>
      </c>
      <c r="AF252" s="815" t="b">
        <f t="shared" si="99"/>
        <v>0</v>
      </c>
      <c r="AG252" s="816">
        <f t="shared" si="104"/>
        <v>0</v>
      </c>
      <c r="AH252">
        <f t="shared" si="100"/>
        <v>0</v>
      </c>
      <c r="AI252">
        <f t="shared" si="101"/>
        <v>0</v>
      </c>
      <c r="AJ252">
        <f t="shared" si="107"/>
        <v>0</v>
      </c>
      <c r="AK252">
        <f t="shared" si="102"/>
        <v>0</v>
      </c>
    </row>
    <row r="253" spans="3:37" x14ac:dyDescent="0.2">
      <c r="C253" s="410"/>
      <c r="D253" s="870"/>
      <c r="E253" s="870"/>
      <c r="F253" s="870"/>
      <c r="G253" s="870"/>
      <c r="H253" s="870"/>
      <c r="I253" s="870"/>
      <c r="J253" s="870"/>
      <c r="K253" s="870"/>
      <c r="L253" s="424"/>
      <c r="P253">
        <f t="shared" si="103"/>
        <v>35</v>
      </c>
      <c r="Q253" s="535"/>
      <c r="R253" s="535"/>
      <c r="S253" s="161" t="str">
        <f t="shared" si="97"/>
        <v/>
      </c>
      <c r="AE253" s="20" t="str">
        <f t="shared" si="98"/>
        <v>X</v>
      </c>
      <c r="AF253" s="815" t="b">
        <f t="shared" si="99"/>
        <v>0</v>
      </c>
      <c r="AG253" s="816">
        <f t="shared" si="104"/>
        <v>0</v>
      </c>
      <c r="AH253">
        <f t="shared" si="100"/>
        <v>0</v>
      </c>
      <c r="AI253">
        <f t="shared" si="101"/>
        <v>0</v>
      </c>
      <c r="AJ253">
        <f t="shared" si="107"/>
        <v>0</v>
      </c>
      <c r="AK253">
        <f t="shared" si="102"/>
        <v>0</v>
      </c>
    </row>
    <row r="254" spans="3:37" x14ac:dyDescent="0.2">
      <c r="C254" s="420"/>
      <c r="D254" s="871"/>
      <c r="E254" s="871"/>
      <c r="F254" s="871"/>
      <c r="G254" s="871"/>
      <c r="H254" s="871"/>
      <c r="I254" s="871"/>
      <c r="J254" s="871"/>
      <c r="K254" s="871"/>
      <c r="L254" s="423"/>
      <c r="P254">
        <f t="shared" si="103"/>
        <v>36</v>
      </c>
      <c r="Q254" s="535"/>
      <c r="R254" s="535"/>
      <c r="S254" s="161" t="str">
        <f t="shared" si="97"/>
        <v/>
      </c>
      <c r="AE254" s="20" t="str">
        <f t="shared" si="98"/>
        <v>X</v>
      </c>
      <c r="AF254" s="815" t="b">
        <f t="shared" si="99"/>
        <v>0</v>
      </c>
      <c r="AG254" s="816">
        <f t="shared" si="104"/>
        <v>0</v>
      </c>
      <c r="AH254">
        <f t="shared" si="100"/>
        <v>0</v>
      </c>
      <c r="AI254">
        <f t="shared" si="101"/>
        <v>0</v>
      </c>
      <c r="AJ254">
        <f t="shared" si="107"/>
        <v>0</v>
      </c>
      <c r="AK254">
        <f t="shared" si="102"/>
        <v>0</v>
      </c>
    </row>
    <row r="255" spans="3:37" x14ac:dyDescent="0.2">
      <c r="P255">
        <f t="shared" si="103"/>
        <v>37</v>
      </c>
      <c r="Q255" s="535"/>
      <c r="R255" s="535"/>
      <c r="S255" s="161" t="str">
        <f t="shared" si="97"/>
        <v/>
      </c>
      <c r="AE255" s="20" t="str">
        <f t="shared" si="98"/>
        <v>X</v>
      </c>
      <c r="AF255" s="815" t="b">
        <f t="shared" si="99"/>
        <v>0</v>
      </c>
      <c r="AG255" s="816">
        <f t="shared" si="104"/>
        <v>0</v>
      </c>
      <c r="AH255">
        <f t="shared" si="100"/>
        <v>0</v>
      </c>
      <c r="AI255">
        <f t="shared" si="101"/>
        <v>0</v>
      </c>
      <c r="AJ255">
        <f t="shared" si="107"/>
        <v>0</v>
      </c>
      <c r="AK255">
        <f t="shared" si="102"/>
        <v>0</v>
      </c>
    </row>
    <row r="256" spans="3:37" x14ac:dyDescent="0.2">
      <c r="P256">
        <f t="shared" si="103"/>
        <v>38</v>
      </c>
      <c r="Q256" s="535"/>
      <c r="R256" s="535"/>
      <c r="S256" s="161" t="str">
        <f t="shared" si="97"/>
        <v/>
      </c>
      <c r="AE256" s="20" t="str">
        <f t="shared" si="98"/>
        <v>X</v>
      </c>
      <c r="AF256" s="815" t="b">
        <f t="shared" si="99"/>
        <v>0</v>
      </c>
      <c r="AG256" s="816">
        <f t="shared" si="104"/>
        <v>0</v>
      </c>
      <c r="AH256">
        <f t="shared" si="100"/>
        <v>0</v>
      </c>
      <c r="AI256">
        <f t="shared" si="101"/>
        <v>0</v>
      </c>
      <c r="AJ256">
        <f t="shared" si="107"/>
        <v>0</v>
      </c>
      <c r="AK256">
        <f t="shared" si="102"/>
        <v>0</v>
      </c>
    </row>
    <row r="257" spans="16:37" x14ac:dyDescent="0.2">
      <c r="P257">
        <f t="shared" si="103"/>
        <v>39</v>
      </c>
      <c r="Q257" s="535"/>
      <c r="R257" s="535"/>
      <c r="S257" s="161" t="str">
        <f t="shared" si="97"/>
        <v/>
      </c>
      <c r="AE257" s="20" t="str">
        <f t="shared" si="98"/>
        <v>X</v>
      </c>
      <c r="AF257" s="815" t="b">
        <f t="shared" si="99"/>
        <v>0</v>
      </c>
      <c r="AG257" s="816">
        <f t="shared" si="104"/>
        <v>0</v>
      </c>
      <c r="AH257">
        <f t="shared" si="100"/>
        <v>0</v>
      </c>
      <c r="AI257">
        <f t="shared" si="101"/>
        <v>0</v>
      </c>
      <c r="AJ257">
        <f t="shared" si="107"/>
        <v>0</v>
      </c>
      <c r="AK257">
        <f t="shared" si="102"/>
        <v>0</v>
      </c>
    </row>
    <row r="258" spans="16:37" x14ac:dyDescent="0.2">
      <c r="P258">
        <f t="shared" si="103"/>
        <v>40</v>
      </c>
      <c r="Q258" s="535"/>
      <c r="R258" s="535"/>
      <c r="S258" s="161" t="str">
        <f t="shared" si="97"/>
        <v/>
      </c>
      <c r="AE258" s="20" t="str">
        <f t="shared" si="98"/>
        <v>X</v>
      </c>
      <c r="AF258" s="815" t="b">
        <f t="shared" si="99"/>
        <v>0</v>
      </c>
      <c r="AG258" s="816">
        <f t="shared" si="104"/>
        <v>0</v>
      </c>
      <c r="AH258">
        <f t="shared" si="100"/>
        <v>0</v>
      </c>
      <c r="AI258">
        <f t="shared" si="101"/>
        <v>0</v>
      </c>
      <c r="AJ258">
        <f t="shared" si="107"/>
        <v>0</v>
      </c>
      <c r="AK258">
        <f t="shared" si="102"/>
        <v>0</v>
      </c>
    </row>
    <row r="259" spans="16:37" x14ac:dyDescent="0.2">
      <c r="P259">
        <f t="shared" si="103"/>
        <v>41</v>
      </c>
      <c r="Q259" s="807"/>
      <c r="R259" s="535"/>
      <c r="S259" s="161" t="str">
        <f t="shared" si="97"/>
        <v/>
      </c>
      <c r="AE259" s="20" t="str">
        <f t="shared" si="98"/>
        <v>X</v>
      </c>
      <c r="AF259" s="815" t="b">
        <f t="shared" si="99"/>
        <v>0</v>
      </c>
      <c r="AG259" s="816">
        <f t="shared" si="104"/>
        <v>0</v>
      </c>
      <c r="AH259">
        <f t="shared" si="100"/>
        <v>0</v>
      </c>
      <c r="AI259">
        <f t="shared" si="101"/>
        <v>0</v>
      </c>
      <c r="AJ259">
        <f t="shared" si="107"/>
        <v>0</v>
      </c>
      <c r="AK259">
        <f t="shared" si="102"/>
        <v>0</v>
      </c>
    </row>
    <row r="260" spans="16:37" x14ac:dyDescent="0.2">
      <c r="P260">
        <f t="shared" si="103"/>
        <v>42</v>
      </c>
      <c r="Q260" s="535"/>
      <c r="R260" s="535"/>
      <c r="S260" s="161" t="str">
        <f t="shared" si="97"/>
        <v/>
      </c>
      <c r="AE260" s="20" t="str">
        <f t="shared" si="98"/>
        <v>X</v>
      </c>
      <c r="AF260" s="815" t="b">
        <f t="shared" si="99"/>
        <v>0</v>
      </c>
      <c r="AG260" s="816">
        <f t="shared" si="104"/>
        <v>0</v>
      </c>
      <c r="AH260">
        <f t="shared" si="100"/>
        <v>0</v>
      </c>
      <c r="AI260">
        <f t="shared" si="101"/>
        <v>0</v>
      </c>
      <c r="AJ260">
        <f t="shared" si="107"/>
        <v>0</v>
      </c>
      <c r="AK260">
        <f t="shared" si="102"/>
        <v>0</v>
      </c>
    </row>
    <row r="261" spans="16:37" x14ac:dyDescent="0.2">
      <c r="P261">
        <f t="shared" si="103"/>
        <v>43</v>
      </c>
      <c r="Q261" s="535"/>
      <c r="R261" s="535"/>
      <c r="S261" s="161" t="str">
        <f t="shared" si="97"/>
        <v/>
      </c>
      <c r="AE261" s="20" t="str">
        <f t="shared" si="98"/>
        <v>X</v>
      </c>
      <c r="AF261" s="815" t="b">
        <f t="shared" si="99"/>
        <v>0</v>
      </c>
      <c r="AG261" s="816">
        <f t="shared" si="104"/>
        <v>0</v>
      </c>
      <c r="AH261">
        <f t="shared" si="100"/>
        <v>0</v>
      </c>
      <c r="AI261">
        <f t="shared" si="101"/>
        <v>0</v>
      </c>
      <c r="AJ261">
        <f t="shared" si="107"/>
        <v>0</v>
      </c>
      <c r="AK261">
        <f t="shared" si="102"/>
        <v>0</v>
      </c>
    </row>
    <row r="262" spans="16:37" x14ac:dyDescent="0.2">
      <c r="P262">
        <f t="shared" si="103"/>
        <v>44</v>
      </c>
      <c r="Q262" s="535"/>
      <c r="R262" s="535"/>
      <c r="S262" s="161" t="str">
        <f t="shared" si="97"/>
        <v/>
      </c>
      <c r="AE262" s="20" t="str">
        <f t="shared" si="98"/>
        <v>X</v>
      </c>
      <c r="AF262" s="815" t="b">
        <f t="shared" si="99"/>
        <v>0</v>
      </c>
      <c r="AG262" s="816">
        <f t="shared" si="104"/>
        <v>0</v>
      </c>
      <c r="AH262">
        <f t="shared" si="100"/>
        <v>0</v>
      </c>
      <c r="AI262">
        <f t="shared" si="101"/>
        <v>0</v>
      </c>
      <c r="AJ262">
        <f t="shared" si="107"/>
        <v>0</v>
      </c>
      <c r="AK262">
        <f t="shared" si="102"/>
        <v>0</v>
      </c>
    </row>
    <row r="263" spans="16:37" x14ac:dyDescent="0.2">
      <c r="P263">
        <f t="shared" si="103"/>
        <v>45</v>
      </c>
      <c r="Q263" s="535"/>
      <c r="R263" s="535"/>
      <c r="S263" s="161" t="str">
        <f t="shared" si="97"/>
        <v/>
      </c>
      <c r="AE263" s="20" t="str">
        <f t="shared" si="98"/>
        <v>X</v>
      </c>
      <c r="AF263" s="815" t="b">
        <f t="shared" si="99"/>
        <v>0</v>
      </c>
      <c r="AG263" s="816">
        <f t="shared" si="104"/>
        <v>0</v>
      </c>
      <c r="AH263">
        <f t="shared" si="100"/>
        <v>0</v>
      </c>
      <c r="AI263">
        <f t="shared" si="101"/>
        <v>0</v>
      </c>
      <c r="AJ263">
        <f t="shared" si="107"/>
        <v>0</v>
      </c>
      <c r="AK263">
        <f t="shared" si="102"/>
        <v>0</v>
      </c>
    </row>
    <row r="264" spans="16:37" x14ac:dyDescent="0.2">
      <c r="P264">
        <f t="shared" si="103"/>
        <v>46</v>
      </c>
      <c r="Q264" s="535"/>
      <c r="R264" s="535"/>
      <c r="S264" s="161" t="str">
        <f t="shared" si="97"/>
        <v/>
      </c>
      <c r="AE264" s="20" t="str">
        <f t="shared" si="98"/>
        <v>X</v>
      </c>
      <c r="AF264" s="815" t="b">
        <f t="shared" si="99"/>
        <v>0</v>
      </c>
      <c r="AG264" s="816">
        <f t="shared" si="104"/>
        <v>0</v>
      </c>
      <c r="AH264">
        <f t="shared" si="100"/>
        <v>0</v>
      </c>
      <c r="AI264">
        <f t="shared" si="101"/>
        <v>0</v>
      </c>
      <c r="AJ264">
        <f t="shared" si="107"/>
        <v>0</v>
      </c>
      <c r="AK264">
        <f t="shared" si="102"/>
        <v>0</v>
      </c>
    </row>
    <row r="265" spans="16:37" x14ac:dyDescent="0.2">
      <c r="P265">
        <f t="shared" si="103"/>
        <v>47</v>
      </c>
      <c r="Q265" s="535"/>
      <c r="R265" s="535"/>
      <c r="S265" s="161" t="str">
        <f t="shared" si="97"/>
        <v/>
      </c>
      <c r="AE265" s="20" t="str">
        <f t="shared" si="98"/>
        <v>X</v>
      </c>
      <c r="AF265" s="815" t="b">
        <f t="shared" si="99"/>
        <v>0</v>
      </c>
      <c r="AG265" s="816">
        <f t="shared" si="104"/>
        <v>0</v>
      </c>
      <c r="AH265">
        <f t="shared" si="100"/>
        <v>0</v>
      </c>
      <c r="AI265">
        <f t="shared" si="101"/>
        <v>0</v>
      </c>
      <c r="AJ265">
        <f t="shared" si="107"/>
        <v>0</v>
      </c>
      <c r="AK265">
        <f t="shared" si="102"/>
        <v>0</v>
      </c>
    </row>
    <row r="266" spans="16:37" x14ac:dyDescent="0.2">
      <c r="P266">
        <f t="shared" si="103"/>
        <v>48</v>
      </c>
      <c r="Q266" s="808"/>
      <c r="R266" s="808"/>
      <c r="S266" s="161" t="str">
        <f t="shared" si="97"/>
        <v/>
      </c>
      <c r="AE266" s="20" t="str">
        <f t="shared" si="98"/>
        <v>X</v>
      </c>
      <c r="AF266" s="815" t="b">
        <f t="shared" si="99"/>
        <v>0</v>
      </c>
      <c r="AG266" s="816">
        <f t="shared" si="104"/>
        <v>0</v>
      </c>
      <c r="AH266">
        <f t="shared" si="100"/>
        <v>0</v>
      </c>
      <c r="AI266">
        <f t="shared" si="101"/>
        <v>0</v>
      </c>
      <c r="AJ266">
        <f t="shared" si="107"/>
        <v>0</v>
      </c>
      <c r="AK266">
        <f t="shared" si="102"/>
        <v>0</v>
      </c>
    </row>
    <row r="267" spans="16:37" x14ac:dyDescent="0.2">
      <c r="Q267" s="809" t="s">
        <v>3</v>
      </c>
      <c r="R267" s="810">
        <f>SUM(R219:R266)</f>
        <v>22</v>
      </c>
      <c r="S267" s="160">
        <f>R269-R267</f>
        <v>20</v>
      </c>
      <c r="AE267" s="20"/>
      <c r="AF267" s="815"/>
      <c r="AG267" s="817">
        <f>SUM(AG219:AG266)</f>
        <v>20</v>
      </c>
      <c r="AH267" s="98">
        <f>SUM(AH219:AH266)</f>
        <v>8</v>
      </c>
      <c r="AI267" s="98">
        <f>SUM(AI219:AI266)</f>
        <v>24</v>
      </c>
      <c r="AJ267" s="98">
        <f>SUM(AJ219:AJ266)</f>
        <v>-16</v>
      </c>
      <c r="AK267" s="98">
        <f>SUM(AK219:AK266)</f>
        <v>16</v>
      </c>
    </row>
    <row r="268" spans="16:37" x14ac:dyDescent="0.2">
      <c r="R268" s="811" t="str">
        <f>IF(S268&lt;1,"Ooops!","")</f>
        <v/>
      </c>
      <c r="S268" s="858">
        <f>S267/AK267</f>
        <v>1.25</v>
      </c>
      <c r="AJ268" s="818">
        <f>S267/-AJ267</f>
        <v>1.25</v>
      </c>
    </row>
    <row r="269" spans="16:37" ht="15.75" x14ac:dyDescent="0.2">
      <c r="Q269" s="812" t="s">
        <v>265</v>
      </c>
      <c r="R269" s="875">
        <v>42</v>
      </c>
      <c r="S269" s="876"/>
    </row>
    <row r="272" spans="16:37" x14ac:dyDescent="0.2">
      <c r="Q272" s="872" t="str">
        <f>IF(R268="Ooops!","Some Members have less than one full vote. Your total Special Allocation is too high. Please reduce it."," ")</f>
        <v xml:space="preserve"> </v>
      </c>
      <c r="R272" s="872"/>
      <c r="S272" s="872"/>
    </row>
    <row r="273" spans="17:19" x14ac:dyDescent="0.2">
      <c r="Q273" s="872"/>
      <c r="R273" s="872"/>
      <c r="S273" s="872"/>
    </row>
    <row r="274" spans="17:19" x14ac:dyDescent="0.2">
      <c r="Q274" s="873"/>
      <c r="R274" s="873"/>
      <c r="S274" s="873"/>
    </row>
    <row r="275" spans="17:19" x14ac:dyDescent="0.2">
      <c r="Q275" s="873"/>
      <c r="R275" s="873"/>
      <c r="S275" s="873"/>
    </row>
    <row r="276" spans="17:19" x14ac:dyDescent="0.2">
      <c r="Q276" s="874"/>
      <c r="R276" s="874"/>
      <c r="S276" s="874"/>
    </row>
  </sheetData>
  <sheetProtection algorithmName="SHA-512" hashValue="k4xj/mBbDyIojfPF6/ViV+u5tDQ1DaZytQ3hdjdOk5Ov5akcoujFzg2h13rANCbzSUEt4/lmYl92RCY6L9yNLg==" saltValue="nmTXPcsYIXVUs+TcqWbTzg==" spinCount="100000" sheet="1" formatCells="0" formatColumns="0" formatRows="0" insertColumns="0" insertRows="0" insertHyperlinks="0"/>
  <protectedRanges>
    <protectedRange sqref="H30" name="Range20"/>
    <protectedRange sqref="E60" name="Range1_1_2"/>
    <protectedRange sqref="F56" name="Range2_1_5_1_2_1"/>
    <protectedRange sqref="F41:I47 E41:E52" name="Range63_1"/>
    <protectedRange sqref="H27" name="Range65"/>
    <protectedRange sqref="F48:I52" name="Range63"/>
    <protectedRange sqref="V182:V194" name="Range59"/>
    <protectedRange sqref="F57:G57 G56" name="Range2_1_5_1"/>
    <protectedRange sqref="F55:I55" name="Range7_2_1"/>
    <protectedRange sqref="F55:I55" name="Range2_3_1"/>
    <protectedRange sqref="G60 G61:I64 F60:F64 E61:E64" name="Range1_1"/>
    <protectedRange sqref="H217:H229" name="Range26"/>
    <protectedRange sqref="H217:H229" name="Range28"/>
    <protectedRange sqref="E55:E56" name="Range2_2_1_1"/>
    <protectedRange sqref="I22" name="Range56"/>
    <protectedRange sqref="E37:G37" name="Range64"/>
    <protectedRange sqref="H32" name="Range66"/>
    <protectedRange sqref="R269:S269" name="Range18"/>
    <protectedRange sqref="Q219:R266" name="Range17"/>
    <protectedRange sqref="AK219:AK266" name="Range60_1_1"/>
  </protectedRanges>
  <customSheetViews>
    <customSheetView guid="{828C1003-5BBC-4D2D-BF7A-3218457CB106}" scale="75" showPageBreaks="1" showGridLines="0" fitToPage="1" printArea="1" topLeftCell="F45">
      <selection activeCell="J191" sqref="J191"/>
      <rowBreaks count="1" manualBreakCount="1">
        <brk id="29" min="1" max="12" man="1"/>
      </rowBreaks>
      <pageMargins left="0.49" right="0.3" top="0.21" bottom="0.27" header="0" footer="0"/>
      <printOptions horizontalCentered="1" verticalCentered="1"/>
      <pageSetup scale="81" fitToHeight="2" orientation="portrait" horizontalDpi="300" verticalDpi="300" r:id="rId1"/>
      <headerFooter alignWithMargins="0"/>
    </customSheetView>
  </customSheetViews>
  <mergeCells count="199">
    <mergeCell ref="AC42:AD42"/>
    <mergeCell ref="R215:S215"/>
    <mergeCell ref="Q216:Q218"/>
    <mergeCell ref="R216:R218"/>
    <mergeCell ref="S216:S218"/>
    <mergeCell ref="AI39:AI40"/>
    <mergeCell ref="AB146:AB148"/>
    <mergeCell ref="G98:I98"/>
    <mergeCell ref="G99:I99"/>
    <mergeCell ref="G101:I101"/>
    <mergeCell ref="G80:I80"/>
    <mergeCell ref="G86:I86"/>
    <mergeCell ref="G83:I83"/>
    <mergeCell ref="G51:I51"/>
    <mergeCell ref="G84:I84"/>
    <mergeCell ref="G55:I55"/>
    <mergeCell ref="G85:I85"/>
    <mergeCell ref="G44:I44"/>
    <mergeCell ref="G45:I45"/>
    <mergeCell ref="G50:I50"/>
    <mergeCell ref="AA146:AA148"/>
    <mergeCell ref="G39:I39"/>
    <mergeCell ref="S39:S40"/>
    <mergeCell ref="G79:I79"/>
    <mergeCell ref="G87:I87"/>
    <mergeCell ref="G81:I81"/>
    <mergeCell ref="D118:L118"/>
    <mergeCell ref="AM146:AM148"/>
    <mergeCell ref="I191:J191"/>
    <mergeCell ref="Q204:U212"/>
    <mergeCell ref="G183:H183"/>
    <mergeCell ref="AD146:AD148"/>
    <mergeCell ref="AF146:AF148"/>
    <mergeCell ref="AG146:AG148"/>
    <mergeCell ref="AH146:AH148"/>
    <mergeCell ref="AI146:AI148"/>
    <mergeCell ref="I183:J183"/>
    <mergeCell ref="G161:I161"/>
    <mergeCell ref="G152:I152"/>
    <mergeCell ref="G158:I158"/>
    <mergeCell ref="O74:Q80"/>
    <mergeCell ref="G77:I77"/>
    <mergeCell ref="G78:I78"/>
    <mergeCell ref="G103:I103"/>
    <mergeCell ref="G149:I149"/>
    <mergeCell ref="D114:L114"/>
    <mergeCell ref="G104:I104"/>
    <mergeCell ref="G153:I153"/>
    <mergeCell ref="G151:I151"/>
    <mergeCell ref="G150:I150"/>
    <mergeCell ref="G107:I107"/>
    <mergeCell ref="G108:I108"/>
    <mergeCell ref="G148:I148"/>
    <mergeCell ref="G157:I157"/>
    <mergeCell ref="G160:I160"/>
    <mergeCell ref="G159:I159"/>
    <mergeCell ref="D176:M177"/>
    <mergeCell ref="C235:L244"/>
    <mergeCell ref="G190:H190"/>
    <mergeCell ref="G185:H185"/>
    <mergeCell ref="I185:J185"/>
    <mergeCell ref="G184:H184"/>
    <mergeCell ref="G196:H196"/>
    <mergeCell ref="G189:H189"/>
    <mergeCell ref="G192:H192"/>
    <mergeCell ref="G194:H194"/>
    <mergeCell ref="I193:J193"/>
    <mergeCell ref="G214:I216"/>
    <mergeCell ref="D174:M175"/>
    <mergeCell ref="I195:J195"/>
    <mergeCell ref="F214:F216"/>
    <mergeCell ref="J214:J216"/>
    <mergeCell ref="I190:J190"/>
    <mergeCell ref="I189:J189"/>
    <mergeCell ref="D205:K212"/>
    <mergeCell ref="I181:J181"/>
    <mergeCell ref="G182:H182"/>
    <mergeCell ref="D198:L200"/>
    <mergeCell ref="I182:J182"/>
    <mergeCell ref="G180:H180"/>
    <mergeCell ref="I180:J180"/>
    <mergeCell ref="G197:H197"/>
    <mergeCell ref="I186:J186"/>
    <mergeCell ref="G186:H186"/>
    <mergeCell ref="I192:J192"/>
    <mergeCell ref="G188:H188"/>
    <mergeCell ref="I188:J188"/>
    <mergeCell ref="G193:H193"/>
    <mergeCell ref="G191:H191"/>
    <mergeCell ref="I187:J187"/>
    <mergeCell ref="G187:H187"/>
    <mergeCell ref="G195:H195"/>
    <mergeCell ref="AO39:AO40"/>
    <mergeCell ref="AJ39:AJ40"/>
    <mergeCell ref="O62:Q64"/>
    <mergeCell ref="Q39:Q40"/>
    <mergeCell ref="Q170:V170"/>
    <mergeCell ref="AF39:AF40"/>
    <mergeCell ref="AG39:AG40"/>
    <mergeCell ref="AH39:AH40"/>
    <mergeCell ref="AC146:AC148"/>
    <mergeCell ref="AC50:AD50"/>
    <mergeCell ref="AC51:AD51"/>
    <mergeCell ref="AC52:AD52"/>
    <mergeCell ref="AC43:AD43"/>
    <mergeCell ref="AC44:AD44"/>
    <mergeCell ref="AC45:AD45"/>
    <mergeCell ref="AC46:AD46"/>
    <mergeCell ref="R39:R40"/>
    <mergeCell ref="AE146:AE148"/>
    <mergeCell ref="T39:T40"/>
    <mergeCell ref="X39:Y39"/>
    <mergeCell ref="AC47:AD47"/>
    <mergeCell ref="AC48:AD48"/>
    <mergeCell ref="AC49:AD49"/>
    <mergeCell ref="AC41:AD41"/>
    <mergeCell ref="AK39:AK40"/>
    <mergeCell ref="AL39:AL40"/>
    <mergeCell ref="AM39:AM40"/>
    <mergeCell ref="AN39:AN40"/>
    <mergeCell ref="AL146:AL148"/>
    <mergeCell ref="G97:I97"/>
    <mergeCell ref="D14:M14"/>
    <mergeCell ref="G49:I49"/>
    <mergeCell ref="C36:D38"/>
    <mergeCell ref="C28:N29"/>
    <mergeCell ref="D15:L15"/>
    <mergeCell ref="G75:I75"/>
    <mergeCell ref="U39:U40"/>
    <mergeCell ref="V39:V40"/>
    <mergeCell ref="W39:W40"/>
    <mergeCell ref="AC72:AC74"/>
    <mergeCell ref="D141:L143"/>
    <mergeCell ref="E136:K137"/>
    <mergeCell ref="G102:I102"/>
    <mergeCell ref="AC53:AD53"/>
    <mergeCell ref="AC54:AD54"/>
    <mergeCell ref="AC55:AD55"/>
    <mergeCell ref="AJ146:AJ148"/>
    <mergeCell ref="G43:I43"/>
    <mergeCell ref="D3:L3"/>
    <mergeCell ref="D5:L5"/>
    <mergeCell ref="D6:M6"/>
    <mergeCell ref="D92:M92"/>
    <mergeCell ref="G181:H181"/>
    <mergeCell ref="G155:I155"/>
    <mergeCell ref="G106:I106"/>
    <mergeCell ref="G46:I46"/>
    <mergeCell ref="G41:I41"/>
    <mergeCell ref="G74:I74"/>
    <mergeCell ref="G76:I76"/>
    <mergeCell ref="G52:I52"/>
    <mergeCell ref="G56:I56"/>
    <mergeCell ref="G57:I57"/>
    <mergeCell ref="G53:I53"/>
    <mergeCell ref="E37:G37"/>
    <mergeCell ref="I36:L37"/>
    <mergeCell ref="D71:K71"/>
    <mergeCell ref="D70:G70"/>
    <mergeCell ref="G109:I109"/>
    <mergeCell ref="C133:M134"/>
    <mergeCell ref="G154:I154"/>
    <mergeCell ref="D164:M168"/>
    <mergeCell ref="G156:I156"/>
    <mergeCell ref="D246:K247"/>
    <mergeCell ref="D248:K254"/>
    <mergeCell ref="Q272:S276"/>
    <mergeCell ref="R269:S269"/>
    <mergeCell ref="D7:M7"/>
    <mergeCell ref="S58:U59"/>
    <mergeCell ref="D21:M21"/>
    <mergeCell ref="G48:I48"/>
    <mergeCell ref="G105:I105"/>
    <mergeCell ref="G82:I82"/>
    <mergeCell ref="D65:K65"/>
    <mergeCell ref="G47:I47"/>
    <mergeCell ref="G96:I96"/>
    <mergeCell ref="G100:I100"/>
    <mergeCell ref="D10:L10"/>
    <mergeCell ref="G54:I54"/>
    <mergeCell ref="J39:J40"/>
    <mergeCell ref="K39:K40"/>
    <mergeCell ref="D11:M11"/>
    <mergeCell ref="E40:I40"/>
    <mergeCell ref="G42:I42"/>
    <mergeCell ref="D17:M18"/>
    <mergeCell ref="O41:P41"/>
    <mergeCell ref="I184:J184"/>
    <mergeCell ref="O52:P52"/>
    <mergeCell ref="O53:P53"/>
    <mergeCell ref="O42:P42"/>
    <mergeCell ref="O43:P43"/>
    <mergeCell ref="O44:P44"/>
    <mergeCell ref="O45:P45"/>
    <mergeCell ref="O39:P40"/>
    <mergeCell ref="O48:P48"/>
    <mergeCell ref="O49:P49"/>
    <mergeCell ref="O50:P50"/>
    <mergeCell ref="O51:P51"/>
  </mergeCells>
  <phoneticPr fontId="2" type="noConversion"/>
  <printOptions horizontalCentered="1" verticalCentered="1"/>
  <pageMargins left="0.49" right="0.3" top="0.21" bottom="0.27" header="0" footer="0"/>
  <pageSetup fitToHeight="2" orientation="landscape" horizontalDpi="300" verticalDpi="300" r:id="rId2"/>
  <headerFooter alignWithMargins="0"/>
  <rowBreaks count="1" manualBreakCount="1">
    <brk id="19" min="2" max="13" man="1"/>
  </rowBreaks>
  <ignoredErrors>
    <ignoredError sqref="F195 F83 S53" formula="1"/>
    <ignoredError sqref="C5:C8" numberStoredAsText="1"/>
  </ignoredError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W82"/>
  <sheetViews>
    <sheetView showGridLines="0" topLeftCell="A25" zoomScale="118" zoomScaleNormal="118" workbookViewId="0">
      <selection activeCell="AC36" sqref="AC36"/>
    </sheetView>
  </sheetViews>
  <sheetFormatPr defaultRowHeight="12.75" x14ac:dyDescent="0.2"/>
  <cols>
    <col min="1" max="1" width="28.85546875" customWidth="1"/>
    <col min="2" max="2" width="3.28515625" customWidth="1"/>
    <col min="3" max="3" width="1.85546875" customWidth="1"/>
    <col min="4" max="4" width="23.28515625" customWidth="1"/>
    <col min="5" max="5" width="15" customWidth="1"/>
    <col min="6" max="6" width="10.85546875" customWidth="1"/>
    <col min="7" max="7" width="10.7109375" customWidth="1"/>
    <col min="8" max="8" width="10.140625" customWidth="1"/>
    <col min="9" max="9" width="6.85546875" customWidth="1"/>
    <col min="10" max="10" width="10.42578125" customWidth="1"/>
    <col min="11" max="11" width="10.5703125" customWidth="1"/>
    <col min="12" max="12" width="11.85546875" customWidth="1"/>
    <col min="13" max="13" width="16.140625" customWidth="1"/>
    <col min="14" max="14" width="2.42578125" customWidth="1"/>
    <col min="15" max="15" width="8.7109375" customWidth="1"/>
    <col min="16" max="16" width="11.5703125" customWidth="1"/>
  </cols>
  <sheetData>
    <row r="3" spans="1:14" ht="30.75" customHeight="1" x14ac:dyDescent="0.2">
      <c r="A3" t="s">
        <v>1</v>
      </c>
      <c r="D3" s="1087" t="s">
        <v>386</v>
      </c>
      <c r="E3" s="1088"/>
      <c r="F3" s="1088"/>
      <c r="G3" s="1088"/>
      <c r="H3" s="1088"/>
      <c r="I3" s="1088"/>
      <c r="J3" s="1088"/>
      <c r="K3" s="1088"/>
      <c r="L3" s="1088"/>
      <c r="M3" s="1058"/>
      <c r="N3" s="151"/>
    </row>
    <row r="4" spans="1:14" ht="30.75" customHeight="1" x14ac:dyDescent="0.4">
      <c r="D4" s="1091" t="s">
        <v>272</v>
      </c>
      <c r="E4" s="1091"/>
      <c r="F4" s="1091"/>
      <c r="G4" s="1091"/>
      <c r="H4" s="1091"/>
      <c r="I4" s="1091"/>
      <c r="J4" s="1091"/>
      <c r="K4" s="1091"/>
      <c r="L4" s="1091"/>
      <c r="M4" s="1091"/>
      <c r="N4" s="597"/>
    </row>
    <row r="5" spans="1:14" ht="27" customHeight="1" thickBot="1" x14ac:dyDescent="0.25">
      <c r="D5" s="549" t="s">
        <v>370</v>
      </c>
      <c r="L5" s="118"/>
      <c r="M5" s="118"/>
      <c r="N5" s="687" t="s">
        <v>371</v>
      </c>
    </row>
    <row r="6" spans="1:14" ht="12.75" customHeight="1" x14ac:dyDescent="0.2">
      <c r="B6" s="430"/>
      <c r="C6" s="299"/>
      <c r="D6" s="299"/>
      <c r="E6" s="299"/>
      <c r="F6" s="299"/>
      <c r="G6" s="299"/>
      <c r="H6" s="299"/>
      <c r="I6" s="299"/>
      <c r="J6" s="299"/>
      <c r="K6" s="299"/>
      <c r="L6" s="299"/>
      <c r="M6" s="299"/>
      <c r="N6" s="300"/>
    </row>
    <row r="7" spans="1:14" ht="30" customHeight="1" x14ac:dyDescent="0.55000000000000004">
      <c r="B7" s="431"/>
      <c r="C7" s="427"/>
      <c r="D7" s="444" t="s">
        <v>383</v>
      </c>
      <c r="E7" s="429"/>
      <c r="F7" s="428"/>
      <c r="G7" s="428"/>
      <c r="H7" s="428"/>
      <c r="I7" s="428"/>
      <c r="J7" s="428"/>
      <c r="K7" s="428"/>
      <c r="L7" s="298"/>
      <c r="M7" s="298"/>
      <c r="N7" s="432"/>
    </row>
    <row r="8" spans="1:14" x14ac:dyDescent="0.2">
      <c r="B8" s="431"/>
      <c r="C8" s="298"/>
      <c r="D8" s="298"/>
      <c r="E8" s="298"/>
      <c r="F8" s="298"/>
      <c r="G8" s="298"/>
      <c r="H8" s="298"/>
      <c r="I8" s="298"/>
      <c r="J8" s="298"/>
      <c r="K8" s="298"/>
      <c r="L8" s="298"/>
      <c r="M8" s="298"/>
      <c r="N8" s="432"/>
    </row>
    <row r="9" spans="1:14" ht="46.5" customHeight="1" x14ac:dyDescent="0.2">
      <c r="B9" s="431"/>
      <c r="C9" s="1089" t="s">
        <v>448</v>
      </c>
      <c r="D9" s="1090"/>
      <c r="E9" s="1090"/>
      <c r="F9" s="1090"/>
      <c r="G9" s="1090"/>
      <c r="H9" s="1090"/>
      <c r="I9" s="1090"/>
      <c r="J9" s="1090"/>
      <c r="K9" s="1090"/>
      <c r="L9" s="1090"/>
      <c r="M9" s="1090"/>
      <c r="N9" s="432"/>
    </row>
    <row r="10" spans="1:14" ht="67.5" customHeight="1" x14ac:dyDescent="0.2">
      <c r="B10" s="431"/>
      <c r="C10" s="1071" t="s">
        <v>430</v>
      </c>
      <c r="D10" s="1072"/>
      <c r="E10" s="1072"/>
      <c r="F10" s="1072"/>
      <c r="G10" s="1072"/>
      <c r="H10" s="1072"/>
      <c r="I10" s="1072"/>
      <c r="J10" s="1072"/>
      <c r="K10" s="1072"/>
      <c r="L10" s="1072"/>
      <c r="M10" s="1072"/>
      <c r="N10" s="432"/>
    </row>
    <row r="11" spans="1:14" ht="51.75" customHeight="1" x14ac:dyDescent="0.2">
      <c r="B11" s="431"/>
      <c r="C11" s="1071" t="s">
        <v>431</v>
      </c>
      <c r="D11" s="1072"/>
      <c r="E11" s="1072"/>
      <c r="F11" s="1072"/>
      <c r="G11" s="1072"/>
      <c r="H11" s="1072"/>
      <c r="I11" s="1072"/>
      <c r="J11" s="1072"/>
      <c r="K11" s="1072"/>
      <c r="L11" s="1072"/>
      <c r="M11" s="1072"/>
      <c r="N11" s="432"/>
    </row>
    <row r="12" spans="1:14" ht="54" customHeight="1" x14ac:dyDescent="0.2">
      <c r="B12" s="431"/>
      <c r="C12" s="1071" t="s">
        <v>449</v>
      </c>
      <c r="D12" s="1072"/>
      <c r="E12" s="1072"/>
      <c r="F12" s="1072"/>
      <c r="G12" s="1072"/>
      <c r="H12" s="1072"/>
      <c r="I12" s="1072"/>
      <c r="J12" s="1072"/>
      <c r="K12" s="1072"/>
      <c r="L12" s="1072"/>
      <c r="M12" s="1072"/>
      <c r="N12" s="432"/>
    </row>
    <row r="13" spans="1:14" ht="13.5" thickBot="1" x14ac:dyDescent="0.25">
      <c r="B13" s="433"/>
      <c r="C13" s="434"/>
      <c r="D13" s="434"/>
      <c r="E13" s="434"/>
      <c r="F13" s="434"/>
      <c r="G13" s="434"/>
      <c r="H13" s="434"/>
      <c r="I13" s="434"/>
      <c r="J13" s="434"/>
      <c r="K13" s="434"/>
      <c r="L13" s="434"/>
      <c r="M13" s="357"/>
      <c r="N13" s="435"/>
    </row>
    <row r="14" spans="1:14" ht="13.5" thickBot="1" x14ac:dyDescent="0.25">
      <c r="B14" s="112"/>
      <c r="C14" s="436"/>
      <c r="D14" s="436"/>
      <c r="E14" s="436"/>
      <c r="F14" s="436"/>
      <c r="G14" s="436"/>
      <c r="H14" s="436"/>
      <c r="I14" s="436"/>
      <c r="J14" s="436"/>
      <c r="K14" s="436"/>
      <c r="L14" s="436"/>
      <c r="M14" s="112"/>
      <c r="N14" s="112"/>
    </row>
    <row r="15" spans="1:14" ht="36" x14ac:dyDescent="0.55000000000000004">
      <c r="B15" s="430"/>
      <c r="C15" s="437"/>
      <c r="D15" s="443" t="s">
        <v>384</v>
      </c>
      <c r="E15" s="299"/>
      <c r="F15" s="299"/>
      <c r="G15" s="299"/>
      <c r="H15" s="299"/>
      <c r="I15" s="299"/>
      <c r="J15" s="299"/>
      <c r="K15" s="299"/>
      <c r="L15" s="299"/>
      <c r="M15" s="299"/>
      <c r="N15" s="300"/>
    </row>
    <row r="16" spans="1:14" x14ac:dyDescent="0.2">
      <c r="B16" s="431"/>
      <c r="C16" s="298"/>
      <c r="D16" s="298"/>
      <c r="E16" s="298"/>
      <c r="F16" s="298"/>
      <c r="G16" s="298"/>
      <c r="H16" s="298"/>
      <c r="I16" s="298"/>
      <c r="J16" s="298"/>
      <c r="K16" s="298"/>
      <c r="L16" s="298"/>
      <c r="M16" s="298"/>
      <c r="N16" s="432"/>
    </row>
    <row r="17" spans="2:14" ht="32.25" customHeight="1" x14ac:dyDescent="0.2">
      <c r="B17" s="431"/>
      <c r="C17" s="336">
        <v>1</v>
      </c>
      <c r="D17" s="1046" t="s">
        <v>218</v>
      </c>
      <c r="E17" s="1046"/>
      <c r="F17" s="1046"/>
      <c r="G17" s="1046"/>
      <c r="H17" s="1046"/>
      <c r="I17" s="1046"/>
      <c r="J17" s="1046"/>
      <c r="K17" s="1046"/>
      <c r="L17" s="1046"/>
      <c r="M17" s="1046"/>
      <c r="N17" s="438"/>
    </row>
    <row r="18" spans="2:14" ht="7.5" customHeight="1" x14ac:dyDescent="0.2">
      <c r="B18" s="431"/>
      <c r="C18" s="309"/>
      <c r="D18" s="439"/>
      <c r="E18" s="439"/>
      <c r="F18" s="439"/>
      <c r="G18" s="439"/>
      <c r="H18" s="439"/>
      <c r="I18" s="439"/>
      <c r="J18" s="439"/>
      <c r="K18" s="439"/>
      <c r="L18" s="439"/>
      <c r="M18" s="439"/>
      <c r="N18" s="440"/>
    </row>
    <row r="19" spans="2:14" ht="30" customHeight="1" x14ac:dyDescent="0.2">
      <c r="B19" s="431"/>
      <c r="C19" s="336">
        <v>2</v>
      </c>
      <c r="D19" s="1046" t="s">
        <v>334</v>
      </c>
      <c r="E19" s="1046"/>
      <c r="F19" s="1046"/>
      <c r="G19" s="1046"/>
      <c r="H19" s="1046"/>
      <c r="I19" s="1046"/>
      <c r="J19" s="1046"/>
      <c r="K19" s="1046"/>
      <c r="L19" s="1046"/>
      <c r="M19" s="1046"/>
      <c r="N19" s="440"/>
    </row>
    <row r="20" spans="2:14" ht="7.5" customHeight="1" x14ac:dyDescent="0.2">
      <c r="B20" s="431"/>
      <c r="C20" s="309"/>
      <c r="D20" s="439"/>
      <c r="E20" s="439"/>
      <c r="F20" s="439"/>
      <c r="G20" s="439"/>
      <c r="H20" s="439"/>
      <c r="I20" s="439"/>
      <c r="J20" s="439"/>
      <c r="K20" s="439"/>
      <c r="L20" s="439"/>
      <c r="M20" s="439"/>
      <c r="N20" s="440"/>
    </row>
    <row r="21" spans="2:14" ht="45.75" customHeight="1" x14ac:dyDescent="0.2">
      <c r="B21" s="431"/>
      <c r="C21" s="336">
        <v>3</v>
      </c>
      <c r="D21" s="1046" t="s">
        <v>432</v>
      </c>
      <c r="E21" s="1046"/>
      <c r="F21" s="1046"/>
      <c r="G21" s="1046"/>
      <c r="H21" s="1046"/>
      <c r="I21" s="1046"/>
      <c r="J21" s="1046"/>
      <c r="K21" s="1046"/>
      <c r="L21" s="1046"/>
      <c r="M21" s="1046"/>
      <c r="N21" s="440"/>
    </row>
    <row r="22" spans="2:14" ht="9" customHeight="1" x14ac:dyDescent="0.2">
      <c r="B22" s="431"/>
      <c r="C22" s="336"/>
      <c r="D22" s="439"/>
      <c r="E22" s="439"/>
      <c r="F22" s="439"/>
      <c r="G22" s="439"/>
      <c r="H22" s="439"/>
      <c r="I22" s="439"/>
      <c r="J22" s="439"/>
      <c r="K22" s="439"/>
      <c r="L22" s="439"/>
      <c r="M22" s="439"/>
      <c r="N22" s="441"/>
    </row>
    <row r="23" spans="2:14" ht="31.5" customHeight="1" x14ac:dyDescent="0.2">
      <c r="B23" s="431"/>
      <c r="C23" s="336">
        <v>4</v>
      </c>
      <c r="D23" s="1046" t="s">
        <v>450</v>
      </c>
      <c r="E23" s="1046"/>
      <c r="F23" s="1046"/>
      <c r="G23" s="1046"/>
      <c r="H23" s="1046"/>
      <c r="I23" s="1046"/>
      <c r="J23" s="1046"/>
      <c r="K23" s="1046"/>
      <c r="L23" s="1046"/>
      <c r="M23" s="1046"/>
      <c r="N23" s="442"/>
    </row>
    <row r="24" spans="2:14" ht="7.5" customHeight="1" x14ac:dyDescent="0.2">
      <c r="B24" s="431"/>
      <c r="C24" s="309"/>
      <c r="D24" s="439"/>
      <c r="E24" s="439"/>
      <c r="F24" s="439"/>
      <c r="G24" s="439"/>
      <c r="H24" s="439"/>
      <c r="I24" s="439"/>
      <c r="J24" s="439"/>
      <c r="K24" s="439"/>
      <c r="L24" s="439"/>
      <c r="M24" s="439"/>
      <c r="N24" s="441"/>
    </row>
    <row r="25" spans="2:14" ht="90.75" customHeight="1" x14ac:dyDescent="0.2">
      <c r="B25" s="431"/>
      <c r="C25" s="336">
        <v>5</v>
      </c>
      <c r="D25" s="1046" t="s">
        <v>451</v>
      </c>
      <c r="E25" s="1046"/>
      <c r="F25" s="1046"/>
      <c r="G25" s="1046"/>
      <c r="H25" s="1046"/>
      <c r="I25" s="1046"/>
      <c r="J25" s="1046"/>
      <c r="K25" s="1046"/>
      <c r="L25" s="1046"/>
      <c r="M25" s="1046"/>
      <c r="N25" s="432"/>
    </row>
    <row r="26" spans="2:14" ht="7.5" customHeight="1" x14ac:dyDescent="0.2">
      <c r="B26" s="431"/>
      <c r="C26" s="336"/>
      <c r="D26" s="439"/>
      <c r="E26" s="439"/>
      <c r="F26" s="439"/>
      <c r="G26" s="439"/>
      <c r="H26" s="439"/>
      <c r="I26" s="439"/>
      <c r="J26" s="439"/>
      <c r="K26" s="439"/>
      <c r="L26" s="439"/>
      <c r="M26" s="439"/>
      <c r="N26" s="440"/>
    </row>
    <row r="27" spans="2:14" ht="52.5" customHeight="1" x14ac:dyDescent="0.2">
      <c r="B27" s="431"/>
      <c r="C27" s="336">
        <v>7</v>
      </c>
      <c r="D27" s="1046" t="s">
        <v>452</v>
      </c>
      <c r="E27" s="1046"/>
      <c r="F27" s="1046"/>
      <c r="G27" s="1046"/>
      <c r="H27" s="1046"/>
      <c r="I27" s="1046"/>
      <c r="J27" s="1046"/>
      <c r="K27" s="1046"/>
      <c r="L27" s="1046"/>
      <c r="M27" s="1046"/>
      <c r="N27" s="440"/>
    </row>
    <row r="28" spans="2:14" ht="39" customHeight="1" thickBot="1" x14ac:dyDescent="0.25">
      <c r="B28" s="433"/>
      <c r="C28" s="319">
        <v>8</v>
      </c>
      <c r="D28" s="1074" t="s">
        <v>335</v>
      </c>
      <c r="E28" s="1075"/>
      <c r="F28" s="1075"/>
      <c r="G28" s="1075"/>
      <c r="H28" s="1075"/>
      <c r="I28" s="1075"/>
      <c r="J28" s="1075"/>
      <c r="K28" s="1075"/>
      <c r="L28" s="1075"/>
      <c r="M28" s="1075"/>
      <c r="N28" s="739"/>
    </row>
    <row r="29" spans="2:14" ht="15.75" thickBot="1" x14ac:dyDescent="0.25">
      <c r="D29" s="281"/>
      <c r="E29" s="281"/>
      <c r="F29" s="281"/>
      <c r="G29" s="281"/>
      <c r="H29" s="281"/>
      <c r="I29" s="281"/>
      <c r="J29" s="281"/>
      <c r="K29" s="281"/>
      <c r="L29" s="281"/>
      <c r="M29" s="281"/>
    </row>
    <row r="30" spans="2:14" ht="39" customHeight="1" thickTop="1" x14ac:dyDescent="0.55000000000000004">
      <c r="B30" s="788"/>
      <c r="C30" s="789"/>
      <c r="D30" s="790" t="s">
        <v>385</v>
      </c>
      <c r="E30" s="791"/>
      <c r="F30" s="791"/>
      <c r="G30" s="791"/>
      <c r="H30" s="791"/>
      <c r="I30" s="791"/>
      <c r="J30" s="791"/>
      <c r="K30" s="791"/>
      <c r="L30" s="791"/>
      <c r="M30" s="791"/>
      <c r="N30" s="697"/>
    </row>
    <row r="31" spans="2:14" ht="9" customHeight="1" x14ac:dyDescent="0.2">
      <c r="B31" s="426"/>
      <c r="C31" s="298"/>
      <c r="D31" s="439"/>
      <c r="E31" s="439"/>
      <c r="F31" s="439"/>
      <c r="G31" s="439"/>
      <c r="H31" s="439"/>
      <c r="I31" s="439"/>
      <c r="J31" s="439"/>
      <c r="K31" s="439"/>
      <c r="L31" s="439"/>
      <c r="M31" s="439"/>
      <c r="N31" s="303"/>
    </row>
    <row r="32" spans="2:14" ht="102" customHeight="1" x14ac:dyDescent="0.2">
      <c r="B32" s="426"/>
      <c r="C32" s="336">
        <v>1</v>
      </c>
      <c r="D32" s="942" t="s">
        <v>482</v>
      </c>
      <c r="E32" s="942"/>
      <c r="F32" s="942"/>
      <c r="G32" s="942"/>
      <c r="H32" s="942"/>
      <c r="I32" s="942"/>
      <c r="J32" s="942"/>
      <c r="K32" s="942"/>
      <c r="L32" s="942"/>
      <c r="M32" s="942"/>
      <c r="N32" s="445"/>
    </row>
    <row r="33" spans="1:23" ht="83.25" customHeight="1" x14ac:dyDescent="0.2">
      <c r="B33" s="426"/>
      <c r="C33" s="336">
        <v>2</v>
      </c>
      <c r="D33" s="942" t="s">
        <v>483</v>
      </c>
      <c r="E33" s="942"/>
      <c r="F33" s="942"/>
      <c r="G33" s="942"/>
      <c r="H33" s="942"/>
      <c r="I33" s="942"/>
      <c r="J33" s="942"/>
      <c r="K33" s="942"/>
      <c r="L33" s="942"/>
      <c r="M33" s="942"/>
      <c r="N33" s="446"/>
    </row>
    <row r="34" spans="1:23" s="104" customFormat="1" ht="42.75" customHeight="1" x14ac:dyDescent="0.2">
      <c r="B34" s="826"/>
      <c r="C34" s="827">
        <v>3</v>
      </c>
      <c r="D34" s="942" t="s">
        <v>336</v>
      </c>
      <c r="E34" s="942"/>
      <c r="F34" s="942"/>
      <c r="G34" s="942"/>
      <c r="H34" s="942"/>
      <c r="I34" s="942"/>
      <c r="J34" s="942"/>
      <c r="K34" s="942"/>
      <c r="L34" s="942"/>
      <c r="M34" s="942"/>
      <c r="N34" s="828"/>
      <c r="Q34"/>
      <c r="R34"/>
      <c r="S34"/>
      <c r="T34"/>
      <c r="U34"/>
      <c r="V34"/>
      <c r="W34"/>
    </row>
    <row r="35" spans="1:23" ht="63.75" customHeight="1" x14ac:dyDescent="0.2">
      <c r="B35" s="426"/>
      <c r="C35" s="336">
        <v>4</v>
      </c>
      <c r="D35" s="1046" t="s">
        <v>484</v>
      </c>
      <c r="E35" s="1046"/>
      <c r="F35" s="1046"/>
      <c r="G35" s="1046"/>
      <c r="H35" s="1046"/>
      <c r="I35" s="1046"/>
      <c r="J35" s="1046"/>
      <c r="K35" s="1046"/>
      <c r="L35" s="1046"/>
      <c r="M35" s="1046"/>
      <c r="N35" s="446"/>
    </row>
    <row r="36" spans="1:23" ht="86.25" customHeight="1" x14ac:dyDescent="0.2">
      <c r="A36" s="151" t="s">
        <v>454</v>
      </c>
      <c r="B36" s="426"/>
      <c r="C36" s="336">
        <v>5</v>
      </c>
      <c r="D36" s="942" t="s">
        <v>455</v>
      </c>
      <c r="E36" s="942"/>
      <c r="F36" s="942"/>
      <c r="G36" s="942"/>
      <c r="H36" s="942"/>
      <c r="I36" s="942"/>
      <c r="J36" s="942"/>
      <c r="K36" s="942"/>
      <c r="L36" s="942"/>
      <c r="M36" s="942"/>
      <c r="N36" s="446"/>
      <c r="P36" s="117"/>
    </row>
    <row r="37" spans="1:23" ht="53.25" customHeight="1" x14ac:dyDescent="0.2">
      <c r="B37" s="426"/>
      <c r="C37" s="336">
        <v>6</v>
      </c>
      <c r="D37" s="942" t="s">
        <v>453</v>
      </c>
      <c r="E37" s="1073"/>
      <c r="F37" s="1073"/>
      <c r="G37" s="1073"/>
      <c r="H37" s="1073"/>
      <c r="I37" s="1073"/>
      <c r="J37" s="1073"/>
      <c r="K37" s="1073"/>
      <c r="L37" s="1073"/>
      <c r="M37" s="1073"/>
      <c r="N37" s="446"/>
    </row>
    <row r="38" spans="1:23" ht="25.5" customHeight="1" x14ac:dyDescent="0.2">
      <c r="B38" s="426"/>
      <c r="C38" s="336">
        <v>7</v>
      </c>
      <c r="D38" s="942" t="s">
        <v>301</v>
      </c>
      <c r="E38" s="942"/>
      <c r="F38" s="942"/>
      <c r="G38" s="942"/>
      <c r="H38" s="942"/>
      <c r="I38" s="942"/>
      <c r="J38" s="942"/>
      <c r="K38" s="942"/>
      <c r="L38" s="942"/>
      <c r="M38" s="942"/>
      <c r="N38" s="445"/>
    </row>
    <row r="39" spans="1:23" ht="57" customHeight="1" x14ac:dyDescent="0.2">
      <c r="B39" s="426"/>
      <c r="C39" s="336">
        <v>8</v>
      </c>
      <c r="D39" s="942" t="s">
        <v>485</v>
      </c>
      <c r="E39" s="942"/>
      <c r="F39" s="942"/>
      <c r="G39" s="942"/>
      <c r="H39" s="942"/>
      <c r="I39" s="942"/>
      <c r="J39" s="942"/>
      <c r="K39" s="942"/>
      <c r="L39" s="942"/>
      <c r="M39" s="942"/>
      <c r="N39" s="303"/>
    </row>
    <row r="40" spans="1:23" ht="54.75" customHeight="1" x14ac:dyDescent="0.2">
      <c r="B40" s="426"/>
      <c r="C40" s="336">
        <v>9</v>
      </c>
      <c r="D40" s="942" t="s">
        <v>456</v>
      </c>
      <c r="E40" s="1073"/>
      <c r="F40" s="1073"/>
      <c r="G40" s="1073"/>
      <c r="H40" s="1073"/>
      <c r="I40" s="1073"/>
      <c r="J40" s="1073"/>
      <c r="K40" s="1073"/>
      <c r="L40" s="1073"/>
      <c r="M40" s="1073"/>
      <c r="N40" s="303"/>
    </row>
    <row r="41" spans="1:23" ht="36.75" customHeight="1" x14ac:dyDescent="0.2">
      <c r="B41" s="426"/>
      <c r="C41" s="336">
        <v>10</v>
      </c>
      <c r="D41" s="942" t="s">
        <v>433</v>
      </c>
      <c r="E41" s="942"/>
      <c r="F41" s="942"/>
      <c r="G41" s="942"/>
      <c r="H41" s="942"/>
      <c r="I41" s="942"/>
      <c r="J41" s="942"/>
      <c r="K41" s="942"/>
      <c r="L41" s="942"/>
      <c r="M41" s="942"/>
      <c r="N41" s="445"/>
    </row>
    <row r="42" spans="1:23" ht="42" customHeight="1" x14ac:dyDescent="0.2">
      <c r="B42" s="426"/>
      <c r="C42" s="336">
        <v>11</v>
      </c>
      <c r="D42" s="942" t="s">
        <v>271</v>
      </c>
      <c r="E42" s="1042"/>
      <c r="F42" s="1042"/>
      <c r="G42" s="1042"/>
      <c r="H42" s="1042"/>
      <c r="I42" s="1042"/>
      <c r="J42" s="1042"/>
      <c r="K42" s="1042"/>
      <c r="L42" s="1042"/>
      <c r="M42" s="1042"/>
      <c r="N42" s="446"/>
    </row>
    <row r="43" spans="1:23" ht="117" customHeight="1" x14ac:dyDescent="0.2">
      <c r="B43" s="426"/>
      <c r="C43" s="336">
        <v>12</v>
      </c>
      <c r="D43" s="942" t="s">
        <v>457</v>
      </c>
      <c r="E43" s="942"/>
      <c r="F43" s="942"/>
      <c r="G43" s="942"/>
      <c r="H43" s="942"/>
      <c r="I43" s="942"/>
      <c r="J43" s="942"/>
      <c r="K43" s="942"/>
      <c r="L43" s="942"/>
      <c r="M43" s="942"/>
      <c r="N43" s="446"/>
    </row>
    <row r="44" spans="1:23" ht="22.5" customHeight="1" x14ac:dyDescent="0.2">
      <c r="B44" s="426"/>
      <c r="C44" s="336"/>
      <c r="D44" s="1083" t="s">
        <v>434</v>
      </c>
      <c r="E44" s="1084"/>
      <c r="F44" s="1084"/>
      <c r="G44" s="1084"/>
      <c r="H44" s="1084"/>
      <c r="I44" s="1084"/>
      <c r="J44" s="1084"/>
      <c r="K44" s="1084"/>
      <c r="L44" s="1084"/>
      <c r="M44" s="1084"/>
      <c r="N44" s="446"/>
    </row>
    <row r="45" spans="1:23" ht="84" customHeight="1" x14ac:dyDescent="0.2">
      <c r="B45" s="426"/>
      <c r="C45" s="336">
        <v>13</v>
      </c>
      <c r="D45" s="1046" t="s">
        <v>435</v>
      </c>
      <c r="E45" s="1046"/>
      <c r="F45" s="1046"/>
      <c r="G45" s="1046"/>
      <c r="H45" s="1046"/>
      <c r="I45" s="1046"/>
      <c r="J45" s="1046"/>
      <c r="K45" s="1046"/>
      <c r="L45" s="1046"/>
      <c r="M45" s="1046"/>
      <c r="N45" s="445"/>
    </row>
    <row r="46" spans="1:23" ht="29.25" customHeight="1" x14ac:dyDescent="0.2">
      <c r="B46" s="426"/>
      <c r="C46" s="336">
        <v>14</v>
      </c>
      <c r="D46" s="887" t="s">
        <v>219</v>
      </c>
      <c r="E46" s="887"/>
      <c r="F46" s="887"/>
      <c r="G46" s="887"/>
      <c r="H46" s="887"/>
      <c r="I46" s="887"/>
      <c r="J46" s="887"/>
      <c r="K46" s="887"/>
      <c r="L46" s="887"/>
      <c r="M46" s="887"/>
      <c r="N46" s="447"/>
    </row>
    <row r="47" spans="1:23" ht="10.5" customHeight="1" thickBot="1" x14ac:dyDescent="0.35">
      <c r="B47" s="405"/>
      <c r="C47" s="448"/>
      <c r="D47" s="449"/>
      <c r="E47" s="449"/>
      <c r="F47" s="449"/>
      <c r="G47" s="449"/>
      <c r="H47" s="449"/>
      <c r="I47" s="449"/>
      <c r="J47" s="449"/>
      <c r="K47" s="449"/>
      <c r="L47" s="449"/>
      <c r="M47" s="449"/>
      <c r="N47" s="450"/>
    </row>
    <row r="48" spans="1:23" ht="13.5" thickTop="1" x14ac:dyDescent="0.2"/>
    <row r="50" spans="3:16" ht="18.75" x14ac:dyDescent="0.25">
      <c r="C50" s="1097" t="s">
        <v>369</v>
      </c>
      <c r="D50" s="1097"/>
      <c r="E50" s="1097"/>
      <c r="F50" s="1097"/>
      <c r="G50" s="1097"/>
      <c r="H50" s="1097"/>
      <c r="I50" s="1097"/>
      <c r="J50" s="1097"/>
      <c r="K50" s="1097"/>
      <c r="L50" s="1097"/>
      <c r="M50" s="1097"/>
      <c r="N50" s="1097"/>
    </row>
    <row r="52" spans="3:16" ht="22.5" customHeight="1" x14ac:dyDescent="0.3">
      <c r="C52" s="257"/>
      <c r="D52" s="258"/>
      <c r="E52" s="259"/>
      <c r="F52" s="259"/>
      <c r="G52" s="259"/>
      <c r="H52" s="259"/>
      <c r="I52" s="259"/>
      <c r="J52" s="259"/>
      <c r="K52" s="451" t="s">
        <v>373</v>
      </c>
      <c r="L52" s="259"/>
      <c r="M52" s="259"/>
      <c r="N52" s="260"/>
    </row>
    <row r="53" spans="3:16" ht="20.25" x14ac:dyDescent="0.3">
      <c r="C53" s="261"/>
      <c r="D53" s="254"/>
      <c r="E53" s="254"/>
      <c r="F53" s="254"/>
      <c r="G53" s="254"/>
      <c r="H53" s="254"/>
      <c r="I53" s="254"/>
      <c r="J53" s="254"/>
      <c r="K53" s="254"/>
      <c r="L53" s="254"/>
      <c r="M53" s="254"/>
      <c r="N53" s="798" t="str">
        <f>D59</f>
        <v>2025 Canada General Election (Unofficial)</v>
      </c>
    </row>
    <row r="54" spans="3:16" ht="15.75" x14ac:dyDescent="0.25">
      <c r="C54" s="261"/>
      <c r="D54" s="263" t="s">
        <v>270</v>
      </c>
      <c r="E54" s="255"/>
      <c r="F54" s="255"/>
      <c r="G54" s="255"/>
      <c r="H54" s="255"/>
      <c r="I54" s="255"/>
      <c r="J54" s="255"/>
      <c r="K54" s="255"/>
      <c r="L54" s="255"/>
      <c r="M54" s="255"/>
      <c r="N54" s="262"/>
    </row>
    <row r="55" spans="3:16" ht="15.75" x14ac:dyDescent="0.25">
      <c r="C55" s="261"/>
      <c r="D55" s="285"/>
      <c r="E55" s="282" t="s">
        <v>251</v>
      </c>
      <c r="F55" s="283">
        <f>HowItWorks!H27</f>
        <v>0.02</v>
      </c>
      <c r="G55" s="284" t="s">
        <v>458</v>
      </c>
      <c r="H55" s="285"/>
      <c r="I55" s="285"/>
      <c r="J55" s="252"/>
      <c r="K55" s="252"/>
      <c r="L55" s="252"/>
      <c r="M55" s="252"/>
      <c r="N55" s="262"/>
    </row>
    <row r="56" spans="3:16" ht="15.75" x14ac:dyDescent="0.25">
      <c r="C56" s="261"/>
      <c r="D56" s="285"/>
      <c r="E56" s="282" t="s">
        <v>249</v>
      </c>
      <c r="F56" s="286">
        <f>HowItWorks!H32</f>
        <v>0.05</v>
      </c>
      <c r="G56" s="284" t="s">
        <v>276</v>
      </c>
      <c r="H56" s="285"/>
      <c r="I56" s="285"/>
      <c r="J56" s="252"/>
      <c r="K56" s="285"/>
      <c r="L56" s="286">
        <f>HowItWorks!H30</f>
        <v>0.05</v>
      </c>
      <c r="M56" s="284" t="s">
        <v>250</v>
      </c>
      <c r="N56" s="262"/>
    </row>
    <row r="57" spans="3:16" x14ac:dyDescent="0.2">
      <c r="C57" s="261"/>
      <c r="D57" s="254"/>
      <c r="E57" s="254"/>
      <c r="F57" s="254"/>
      <c r="G57" s="254"/>
      <c r="H57" s="254"/>
      <c r="I57" s="254"/>
      <c r="J57" s="254"/>
      <c r="K57" s="253"/>
      <c r="L57" s="253"/>
      <c r="M57" s="253"/>
      <c r="N57" s="262"/>
    </row>
    <row r="58" spans="3:16" ht="16.5" thickBot="1" x14ac:dyDescent="0.25">
      <c r="C58" s="261"/>
      <c r="D58" s="1080" t="s">
        <v>339</v>
      </c>
      <c r="E58" s="939"/>
      <c r="F58" s="939"/>
      <c r="G58" s="939"/>
      <c r="H58" s="939"/>
      <c r="I58" s="829"/>
      <c r="J58" s="1081" t="s">
        <v>366</v>
      </c>
      <c r="K58" s="1082"/>
      <c r="L58" s="1082"/>
      <c r="M58" s="1082"/>
      <c r="N58" s="262"/>
    </row>
    <row r="59" spans="3:16" ht="13.5" thickTop="1" x14ac:dyDescent="0.2">
      <c r="C59" s="261"/>
      <c r="D59" s="1078" t="str">
        <f>HowItWorks!E37</f>
        <v>2025 Canada General Election (Unofficial)</v>
      </c>
      <c r="E59" s="1092" t="str">
        <f>HowItWorks!F39</f>
        <v>Total Popular Vote</v>
      </c>
      <c r="F59" s="1092" t="s">
        <v>332</v>
      </c>
      <c r="G59" s="1092" t="s">
        <v>333</v>
      </c>
      <c r="H59" s="1095" t="str">
        <f>HowItWorks!J39</f>
        <v>% of Popular Vote</v>
      </c>
      <c r="I59" s="1085" t="s">
        <v>306</v>
      </c>
      <c r="J59" s="1076" t="str">
        <f>HowItWorks!J119</f>
        <v>Parliamentary Vote Entitlement</v>
      </c>
      <c r="K59" s="1098"/>
      <c r="L59" s="1076" t="s">
        <v>331</v>
      </c>
      <c r="M59" s="1092" t="str">
        <f>HowItWorks!I180</f>
        <v>Average Vote  per Member</v>
      </c>
      <c r="N59" s="262"/>
    </row>
    <row r="60" spans="3:16" ht="38.25" customHeight="1" thickBot="1" x14ac:dyDescent="0.25">
      <c r="C60" s="261"/>
      <c r="D60" s="1079"/>
      <c r="E60" s="1093"/>
      <c r="F60" s="1093"/>
      <c r="G60" s="1093"/>
      <c r="H60" s="1096"/>
      <c r="I60" s="1086"/>
      <c r="J60" s="1099"/>
      <c r="K60" s="1100"/>
      <c r="L60" s="1077"/>
      <c r="M60" s="1093"/>
      <c r="N60" s="262"/>
      <c r="P60" s="65"/>
    </row>
    <row r="61" spans="3:16" ht="16.5" thickTop="1" x14ac:dyDescent="0.2">
      <c r="C61" s="261"/>
      <c r="D61" s="136" t="str">
        <f>HowItWorks!E41</f>
        <v>Liberal</v>
      </c>
      <c r="E61" s="88">
        <f>HowItWorks!F41</f>
        <v>8564200</v>
      </c>
      <c r="F61" s="89">
        <f>HowItWorks!G41</f>
        <v>169</v>
      </c>
      <c r="G61" s="128">
        <f t="shared" ref="G61:G72" si="0">F61/F$75</f>
        <v>0.49271137026239065</v>
      </c>
      <c r="H61" s="591">
        <f>HowItWorks!J41</f>
        <v>0.43700083999764461</v>
      </c>
      <c r="I61" s="802" t="str">
        <f>HowItWorks!L41</f>
        <v xml:space="preserve"> √ </v>
      </c>
      <c r="J61" s="145">
        <f>HowItWorks!F181</f>
        <v>169</v>
      </c>
      <c r="K61" s="154">
        <f>IF(J61="Excluded","",J61/J$75)</f>
        <v>0.44224419954042588</v>
      </c>
      <c r="L61" s="606">
        <f>IF(HowItWorks!G181=0," ",HowItWorks!G181)</f>
        <v>169</v>
      </c>
      <c r="M61" s="195">
        <f>IF(HowItWorks!I181=0," ",HowItWorks!I181)</f>
        <v>1</v>
      </c>
      <c r="N61" s="262"/>
    </row>
    <row r="62" spans="3:16" ht="15.75" x14ac:dyDescent="0.2">
      <c r="C62" s="261"/>
      <c r="D62" s="87" t="str">
        <f>HowItWorks!E42</f>
        <v>Conservative</v>
      </c>
      <c r="E62" s="90">
        <f>HowItWorks!F42</f>
        <v>8086051</v>
      </c>
      <c r="F62" s="91">
        <f>HowItWorks!G42</f>
        <v>144</v>
      </c>
      <c r="G62" s="148">
        <f t="shared" si="0"/>
        <v>0.41982507288629739</v>
      </c>
      <c r="H62" s="592">
        <f>HowItWorks!J42</f>
        <v>0.41260258742950823</v>
      </c>
      <c r="I62" s="631" t="str">
        <f>HowItWorks!L42</f>
        <v xml:space="preserve"> </v>
      </c>
      <c r="J62" s="146">
        <f>HowItWorks!F182</f>
        <v>159.56453831064198</v>
      </c>
      <c r="K62" s="154">
        <f>IF(J62="Excluded","",J62/J$75)</f>
        <v>0.41755320426170106</v>
      </c>
      <c r="L62" s="607">
        <f>IF(HowItWorks!G182=0," ",HowItWorks!G182)</f>
        <v>144</v>
      </c>
      <c r="M62" s="195">
        <f>IF(HowItWorks!I182=0," ",HowItWorks!I182)</f>
        <v>1.1080870716016804</v>
      </c>
      <c r="N62" s="262"/>
      <c r="P62" s="65"/>
    </row>
    <row r="63" spans="3:16" ht="15.75" x14ac:dyDescent="0.2">
      <c r="C63" s="261"/>
      <c r="D63" s="87" t="str">
        <f>HowItWorks!E43</f>
        <v>Bloc Quebecois</v>
      </c>
      <c r="E63" s="90">
        <f>HowItWorks!F43</f>
        <v>1232853</v>
      </c>
      <c r="F63" s="91">
        <f>HowItWorks!G43</f>
        <v>22</v>
      </c>
      <c r="G63" s="148">
        <f t="shared" si="0"/>
        <v>6.4139941690962099E-2</v>
      </c>
      <c r="H63" s="592">
        <f>HowItWorks!J43</f>
        <v>6.2908128791202472E-2</v>
      </c>
      <c r="I63" s="631" t="str">
        <f>HowItWorks!L43</f>
        <v xml:space="preserve"> </v>
      </c>
      <c r="J63" s="146">
        <f>HowItWorks!F183</f>
        <v>24.328268489759694</v>
      </c>
      <c r="K63" s="154">
        <f t="shared" ref="K63:K72" si="1">IF(J63="Excluded","",J63/J$75)</f>
        <v>6.3662932689102614E-2</v>
      </c>
      <c r="L63" s="607">
        <f>IF(HowItWorks!G183=0," ",HowItWorks!G183)</f>
        <v>22</v>
      </c>
      <c r="M63" s="195">
        <f>IF(HowItWorks!I183=0," ",HowItWorks!I183)</f>
        <v>1.105830385898168</v>
      </c>
      <c r="N63" s="262"/>
      <c r="P63" s="65"/>
    </row>
    <row r="64" spans="3:16" ht="15.75" x14ac:dyDescent="0.2">
      <c r="C64" s="261"/>
      <c r="D64" s="87" t="str">
        <f>HowItWorks!E44</f>
        <v>NDP</v>
      </c>
      <c r="E64" s="90">
        <f>HowItWorks!F44</f>
        <v>1237263</v>
      </c>
      <c r="F64" s="91">
        <f>HowItWorks!G44</f>
        <v>7</v>
      </c>
      <c r="G64" s="148">
        <f t="shared" si="0"/>
        <v>2.0408163265306121E-2</v>
      </c>
      <c r="H64" s="592">
        <f>HowItWorks!J44</f>
        <v>6.3133155495902218E-2</v>
      </c>
      <c r="I64" s="631" t="str">
        <f>HowItWorks!L44</f>
        <v xml:space="preserve"> </v>
      </c>
      <c r="J64" s="146">
        <f>HowItWorks!F184</f>
        <v>24.415292379907054</v>
      </c>
      <c r="K64" s="154">
        <f t="shared" si="1"/>
        <v>6.3890659379274878E-2</v>
      </c>
      <c r="L64" s="607">
        <f>IF(HowItWorks!G184=0," ",HowItWorks!G184)</f>
        <v>22</v>
      </c>
      <c r="M64" s="195">
        <f>IF(HowItWorks!I184=0," ",HowItWorks!I184)</f>
        <v>1.1097860172685026</v>
      </c>
      <c r="N64" s="262"/>
      <c r="P64" s="65"/>
    </row>
    <row r="65" spans="3:16" ht="15.75" x14ac:dyDescent="0.2">
      <c r="C65" s="261"/>
      <c r="D65" s="87" t="str">
        <f>HowItWorks!E45</f>
        <v>Green</v>
      </c>
      <c r="E65" s="90">
        <f>HowItWorks!F45</f>
        <v>244952</v>
      </c>
      <c r="F65" s="91">
        <f>HowItWorks!G45</f>
        <v>1</v>
      </c>
      <c r="G65" s="148">
        <f t="shared" si="0"/>
        <v>2.9154518950437317E-3</v>
      </c>
      <c r="H65" s="592">
        <f>HowItWorks!J45</f>
        <v>1.249903432417541E-2</v>
      </c>
      <c r="I65" s="631" t="str">
        <f>HowItWorks!L45</f>
        <v xml:space="preserve"> </v>
      </c>
      <c r="J65" s="146">
        <f>HowItWorks!F185</f>
        <v>4.8337133649377639</v>
      </c>
      <c r="K65" s="154">
        <f t="shared" si="1"/>
        <v>1.2649004129495621E-2</v>
      </c>
      <c r="L65" s="607">
        <f>IF(HowItWorks!G185=0," ",HowItWorks!G185)</f>
        <v>4</v>
      </c>
      <c r="M65" s="195">
        <f>IF(HowItWorks!I185=0," ",HowItWorks!I185)</f>
        <v>1.208428341234441</v>
      </c>
      <c r="N65" s="264"/>
      <c r="P65" s="65"/>
    </row>
    <row r="66" spans="3:16" ht="15.75" x14ac:dyDescent="0.2">
      <c r="C66" s="261"/>
      <c r="D66" s="87" t="str">
        <f>HowItWorks!E46</f>
        <v>Peoples Party</v>
      </c>
      <c r="E66" s="90">
        <f>HowItWorks!F46</f>
        <v>141212</v>
      </c>
      <c r="F66" s="91">
        <f>HowItWorks!G46</f>
        <v>0</v>
      </c>
      <c r="G66" s="148">
        <f t="shared" si="0"/>
        <v>0</v>
      </c>
      <c r="H66" s="592">
        <f>HowItWorks!J46</f>
        <v>7.2055489850479191E-3</v>
      </c>
      <c r="I66" s="631" t="str">
        <f>HowItWorks!L46</f>
        <v xml:space="preserve"> </v>
      </c>
      <c r="J66" s="146">
        <f>HowItWorks!F186</f>
        <v>0</v>
      </c>
      <c r="K66" s="154">
        <f t="shared" si="1"/>
        <v>0</v>
      </c>
      <c r="L66" s="607" t="str">
        <f>IF(HowItWorks!G186=0," ",HowItWorks!G186)</f>
        <v xml:space="preserve"> </v>
      </c>
      <c r="M66" s="195" t="str">
        <f>IF(HowItWorks!I186=0," ",HowItWorks!I186)</f>
        <v xml:space="preserve"> </v>
      </c>
      <c r="N66" s="262"/>
      <c r="P66" s="65"/>
    </row>
    <row r="67" spans="3:16" ht="15.75" x14ac:dyDescent="0.2">
      <c r="C67" s="261"/>
      <c r="D67" s="87" t="str">
        <f>HowItWorks!E47</f>
        <v>Other parties</v>
      </c>
      <c r="E67" s="90">
        <f>HowItWorks!F47</f>
        <v>49743</v>
      </c>
      <c r="F67" s="91">
        <f>HowItWorks!G47</f>
        <v>0</v>
      </c>
      <c r="G67" s="148">
        <f t="shared" si="0"/>
        <v>0</v>
      </c>
      <c r="H67" s="592">
        <f>HowItWorks!J47</f>
        <v>2.5382093813786271E-3</v>
      </c>
      <c r="I67" s="631" t="str">
        <f>HowItWorks!L47</f>
        <v xml:space="preserve"> </v>
      </c>
      <c r="J67" s="146">
        <f>HowItWorks!F187</f>
        <v>0</v>
      </c>
      <c r="K67" s="154">
        <f t="shared" si="1"/>
        <v>0</v>
      </c>
      <c r="L67" s="607" t="str">
        <f>IF(HowItWorks!G187=0," ",HowItWorks!G187)</f>
        <v xml:space="preserve"> </v>
      </c>
      <c r="M67" s="195" t="str">
        <f>IF(HowItWorks!I187=0," ",HowItWorks!I187)</f>
        <v xml:space="preserve"> </v>
      </c>
      <c r="N67" s="262"/>
      <c r="P67" s="65"/>
    </row>
    <row r="68" spans="3:16" ht="15.75" hidden="1" x14ac:dyDescent="0.2">
      <c r="C68" s="261"/>
      <c r="D68" s="87">
        <f>HowItWorks!E48</f>
        <v>0</v>
      </c>
      <c r="E68" s="90">
        <f>HowItWorks!F48</f>
        <v>0</v>
      </c>
      <c r="F68" s="91">
        <f>HowItWorks!G48</f>
        <v>0</v>
      </c>
      <c r="G68" s="148">
        <f t="shared" si="0"/>
        <v>0</v>
      </c>
      <c r="H68" s="592">
        <f>HowItWorks!J48</f>
        <v>0</v>
      </c>
      <c r="I68" s="631" t="str">
        <f>HowItWorks!L48</f>
        <v xml:space="preserve"> </v>
      </c>
      <c r="J68" s="146">
        <f>HowItWorks!F188</f>
        <v>0</v>
      </c>
      <c r="K68" s="154">
        <f t="shared" si="1"/>
        <v>0</v>
      </c>
      <c r="L68" s="607" t="str">
        <f>IF(HowItWorks!G188=0," ",HowItWorks!G188)</f>
        <v xml:space="preserve"> </v>
      </c>
      <c r="M68" s="195" t="str">
        <f>IF(HowItWorks!I188=0," ",HowItWorks!I188)</f>
        <v xml:space="preserve"> </v>
      </c>
      <c r="N68" s="262"/>
    </row>
    <row r="69" spans="3:16" ht="15.75" hidden="1" x14ac:dyDescent="0.2">
      <c r="C69" s="261"/>
      <c r="D69" s="87">
        <f>HowItWorks!E49</f>
        <v>0</v>
      </c>
      <c r="E69" s="90">
        <f>HowItWorks!F49</f>
        <v>0</v>
      </c>
      <c r="F69" s="91">
        <f>HowItWorks!G49</f>
        <v>0</v>
      </c>
      <c r="G69" s="148">
        <f t="shared" si="0"/>
        <v>0</v>
      </c>
      <c r="H69" s="592">
        <f>HowItWorks!J49</f>
        <v>0</v>
      </c>
      <c r="I69" s="631" t="str">
        <f>HowItWorks!L49</f>
        <v xml:space="preserve"> </v>
      </c>
      <c r="J69" s="146">
        <f>HowItWorks!F189</f>
        <v>0</v>
      </c>
      <c r="K69" s="154">
        <f t="shared" si="1"/>
        <v>0</v>
      </c>
      <c r="L69" s="607" t="str">
        <f>IF(HowItWorks!G189=0," ",HowItWorks!G189)</f>
        <v xml:space="preserve"> </v>
      </c>
      <c r="M69" s="195" t="str">
        <f>IF(HowItWorks!I189=0," ",HowItWorks!I189)</f>
        <v xml:space="preserve"> </v>
      </c>
      <c r="N69" s="262"/>
    </row>
    <row r="70" spans="3:16" ht="15" hidden="1" x14ac:dyDescent="0.2">
      <c r="C70" s="261"/>
      <c r="D70" s="87">
        <f>HowItWorks!E50</f>
        <v>0</v>
      </c>
      <c r="E70" s="90">
        <f>HowItWorks!F50</f>
        <v>0</v>
      </c>
      <c r="F70" s="91">
        <f>HowItWorks!G50</f>
        <v>0</v>
      </c>
      <c r="G70" s="148">
        <f t="shared" si="0"/>
        <v>0</v>
      </c>
      <c r="H70" s="592">
        <f>HowItWorks!J50</f>
        <v>0</v>
      </c>
      <c r="I70" s="104" t="str">
        <f>HowItWorks!L50</f>
        <v xml:space="preserve"> </v>
      </c>
      <c r="J70" s="146">
        <f>HowItWorks!F190</f>
        <v>0</v>
      </c>
      <c r="K70" s="154">
        <f t="shared" si="1"/>
        <v>0</v>
      </c>
      <c r="L70" s="607" t="str">
        <f>IF(HowItWorks!G190=0," ",HowItWorks!G190)</f>
        <v xml:space="preserve"> </v>
      </c>
      <c r="M70" s="195" t="str">
        <f>IF(HowItWorks!I190=0," ",HowItWorks!I190)</f>
        <v xml:space="preserve"> </v>
      </c>
      <c r="N70" s="262"/>
    </row>
    <row r="71" spans="3:16" ht="15" hidden="1" x14ac:dyDescent="0.2">
      <c r="C71" s="261"/>
      <c r="D71" s="87">
        <f>HowItWorks!E51</f>
        <v>0</v>
      </c>
      <c r="E71" s="90">
        <f>HowItWorks!F51</f>
        <v>0</v>
      </c>
      <c r="F71" s="91">
        <f>HowItWorks!G51</f>
        <v>0</v>
      </c>
      <c r="G71" s="148">
        <f t="shared" si="0"/>
        <v>0</v>
      </c>
      <c r="H71" s="592">
        <f>HowItWorks!J51</f>
        <v>0</v>
      </c>
      <c r="I71" s="104" t="str">
        <f>HowItWorks!L51</f>
        <v xml:space="preserve"> </v>
      </c>
      <c r="J71" s="146">
        <f>HowItWorks!F191</f>
        <v>0</v>
      </c>
      <c r="K71" s="154">
        <f t="shared" si="1"/>
        <v>0</v>
      </c>
      <c r="L71" s="607" t="str">
        <f>IF(HowItWorks!G191=0," ",HowItWorks!G191)</f>
        <v xml:space="preserve"> </v>
      </c>
      <c r="M71" s="195" t="str">
        <f>IF(HowItWorks!I191=0," ",HowItWorks!I191)</f>
        <v xml:space="preserve"> </v>
      </c>
      <c r="N71" s="262"/>
    </row>
    <row r="72" spans="3:16" ht="15.75" thickBot="1" x14ac:dyDescent="0.25">
      <c r="C72" s="261"/>
      <c r="D72" s="87">
        <f>HowItWorks!E52</f>
        <v>0</v>
      </c>
      <c r="E72" s="90">
        <f>HowItWorks!F52</f>
        <v>0</v>
      </c>
      <c r="F72" s="91">
        <f>HowItWorks!G52</f>
        <v>0</v>
      </c>
      <c r="G72" s="149">
        <f t="shared" si="0"/>
        <v>0</v>
      </c>
      <c r="H72" s="593">
        <f>HowItWorks!J52</f>
        <v>0</v>
      </c>
      <c r="I72" s="104" t="str">
        <f>HowItWorks!L52</f>
        <v xml:space="preserve"> </v>
      </c>
      <c r="J72" s="147">
        <f>HowItWorks!F192</f>
        <v>0</v>
      </c>
      <c r="K72" s="154">
        <f t="shared" si="1"/>
        <v>0</v>
      </c>
      <c r="L72" s="608" t="str">
        <f>IF(HowItWorks!G192=0," ",HowItWorks!G192)</f>
        <v xml:space="preserve"> </v>
      </c>
      <c r="M72" s="195" t="str">
        <f>IF(HowItWorks!I192=0," ",HowItWorks!I192)</f>
        <v xml:space="preserve"> </v>
      </c>
      <c r="N72" s="262"/>
    </row>
    <row r="73" spans="3:16" ht="16.5" thickTop="1" thickBot="1" x14ac:dyDescent="0.25">
      <c r="C73" s="261"/>
      <c r="D73" s="193" t="str">
        <f>HowItWorks!E53</f>
        <v>Total for Parties</v>
      </c>
      <c r="E73" s="10">
        <f>HowItWorks!F53</f>
        <v>19556274</v>
      </c>
      <c r="F73" s="9">
        <f>HowItWorks!G53</f>
        <v>343</v>
      </c>
      <c r="G73" s="129">
        <f>SUM(G61:G72)</f>
        <v>0.99999999999999989</v>
      </c>
      <c r="H73" s="800">
        <f>HowItWorks!J53</f>
        <v>0.99788750440485952</v>
      </c>
      <c r="I73" s="801"/>
      <c r="J73" s="132">
        <f>HowItWorks!F193</f>
        <v>382.14181254524647</v>
      </c>
      <c r="K73" s="119">
        <f>SUM(K61:K72)</f>
        <v>1</v>
      </c>
      <c r="L73" s="155">
        <f>SUM(L61:L72)</f>
        <v>361</v>
      </c>
      <c r="M73" s="196">
        <f>J73/L73</f>
        <v>1.0585645776876633</v>
      </c>
      <c r="N73" s="262"/>
      <c r="P73" s="126">
        <f>J73/L73</f>
        <v>1.0585645776876633</v>
      </c>
    </row>
    <row r="74" spans="3:16" ht="16.5" thickTop="1" thickBot="1" x14ac:dyDescent="0.25">
      <c r="C74" s="261"/>
      <c r="D74" s="137" t="str">
        <f>HowItWorks!E54</f>
        <v>Independents</v>
      </c>
      <c r="E74" s="92">
        <f>HowItWorks!F55+HowItWorks!F56</f>
        <v>41400</v>
      </c>
      <c r="F74" s="93">
        <f>HowItWorks!G55</f>
        <v>0</v>
      </c>
      <c r="G74" s="130">
        <f>HowItWorks!K55+HowItWorks!K56</f>
        <v>0</v>
      </c>
      <c r="H74" s="594">
        <f>HowItWorks!J55+HowItWorks!J56</f>
        <v>2.1124955951405252E-3</v>
      </c>
      <c r="J74" s="133">
        <f>IF(F74&gt;0,M73*F74,0)</f>
        <v>0</v>
      </c>
      <c r="K74" s="154">
        <f>IF(J74="Excluded"," ",J74/J$75)</f>
        <v>0</v>
      </c>
      <c r="L74" s="156">
        <f>F74</f>
        <v>0</v>
      </c>
      <c r="M74" s="197">
        <f>IF(L74&gt;0,J73/L73,0)</f>
        <v>0</v>
      </c>
      <c r="N74" s="265"/>
    </row>
    <row r="75" spans="3:16" ht="17.25" thickTop="1" thickBot="1" x14ac:dyDescent="0.25">
      <c r="C75" s="261"/>
      <c r="D75" s="24" t="str">
        <f>HowItWorks!E57</f>
        <v>Totals</v>
      </c>
      <c r="E75" s="25">
        <f>HowItWorks!F57</f>
        <v>19597674</v>
      </c>
      <c r="F75" s="26">
        <f>HowItWorks!G57</f>
        <v>343</v>
      </c>
      <c r="G75" s="131">
        <f>G74+G73</f>
        <v>0.99999999999999989</v>
      </c>
      <c r="H75" s="131">
        <f>H74+H73</f>
        <v>1</v>
      </c>
      <c r="I75" s="799"/>
      <c r="J75" s="134">
        <f>J74+J73</f>
        <v>382.14181254524647</v>
      </c>
      <c r="K75" s="120">
        <f>H75</f>
        <v>1</v>
      </c>
      <c r="L75" s="157">
        <f>L74+L73</f>
        <v>361</v>
      </c>
      <c r="M75" s="621">
        <f>J75/L75</f>
        <v>1.0585645776876633</v>
      </c>
      <c r="N75" s="266"/>
    </row>
    <row r="76" spans="3:16" ht="15.75" thickTop="1" x14ac:dyDescent="0.2">
      <c r="C76" s="267"/>
      <c r="D76" s="268"/>
      <c r="E76" s="784"/>
      <c r="F76" s="268"/>
      <c r="G76" s="268"/>
      <c r="H76" s="268"/>
      <c r="I76" s="256"/>
      <c r="J76" s="268"/>
      <c r="K76" s="268"/>
      <c r="L76" s="268"/>
      <c r="M76" s="268"/>
      <c r="N76" s="785"/>
    </row>
    <row r="77" spans="3:16" x14ac:dyDescent="0.2">
      <c r="C77" s="261"/>
      <c r="D77" s="254"/>
      <c r="E77" s="254"/>
      <c r="F77" s="254"/>
      <c r="G77" s="254"/>
      <c r="H77" s="254"/>
      <c r="I77" s="254"/>
      <c r="J77" s="254"/>
      <c r="K77" s="254"/>
      <c r="L77" s="254"/>
      <c r="M77" s="254"/>
      <c r="N77" s="262"/>
    </row>
    <row r="78" spans="3:16" x14ac:dyDescent="0.2">
      <c r="C78" s="261"/>
      <c r="D78" s="254"/>
      <c r="E78" s="254"/>
      <c r="F78" s="254"/>
      <c r="G78" s="254"/>
      <c r="H78" s="254"/>
      <c r="I78" s="254"/>
      <c r="J78" s="254"/>
      <c r="K78" s="254"/>
      <c r="L78" s="254"/>
      <c r="M78" s="254"/>
      <c r="N78" s="262"/>
    </row>
    <row r="79" spans="3:16" ht="15" x14ac:dyDescent="0.2">
      <c r="C79" s="267"/>
      <c r="D79" s="268"/>
      <c r="E79" s="256"/>
      <c r="F79" s="256"/>
      <c r="G79" s="256"/>
      <c r="H79" s="256"/>
      <c r="I79" s="256"/>
      <c r="J79" s="256"/>
      <c r="K79" s="256"/>
      <c r="L79" s="256"/>
      <c r="M79" s="256"/>
      <c r="N79" s="269"/>
    </row>
    <row r="80" spans="3:16" ht="15.75" x14ac:dyDescent="0.25">
      <c r="D80" s="8"/>
    </row>
    <row r="81" spans="4:14" x14ac:dyDescent="0.2">
      <c r="D81" s="1094" t="s">
        <v>374</v>
      </c>
      <c r="E81" s="976"/>
      <c r="F81" s="976"/>
      <c r="G81" s="976"/>
      <c r="H81" s="976"/>
      <c r="I81" s="976"/>
      <c r="J81" s="976"/>
      <c r="K81" s="976"/>
      <c r="L81" s="976"/>
      <c r="M81" s="976"/>
      <c r="N81" s="976"/>
    </row>
    <row r="82" spans="4:14" ht="19.5" customHeight="1" x14ac:dyDescent="0.2">
      <c r="D82" s="976"/>
      <c r="E82" s="976"/>
      <c r="F82" s="976"/>
      <c r="G82" s="976"/>
      <c r="H82" s="976"/>
      <c r="I82" s="976"/>
      <c r="J82" s="976"/>
      <c r="K82" s="976"/>
      <c r="L82" s="976"/>
      <c r="M82" s="976"/>
      <c r="N82" s="976"/>
    </row>
  </sheetData>
  <sheetProtection algorithmName="SHA-512" hashValue="IE1by+bag0thH572DhbKYq1ndMZgmt1i2Q6rEr7RlfTr/UMqMNt8hPk/3GPlt9+f+WuHrHS+GOApkeQYvxCSzQ==" saltValue="VUV1mskkj0IHB6zGcoA3JA==" spinCount="100000" sheet="1" objects="1" scenarios="1"/>
  <customSheetViews>
    <customSheetView guid="{828C1003-5BBC-4D2D-BF7A-3218457CB106}" showPageBreaks="1" showGridLines="0" fitToPage="1" printArea="1" topLeftCell="E61">
      <selection activeCell="I74" sqref="I74"/>
      <rowBreaks count="1" manualBreakCount="1">
        <brk id="27" min="2" max="11" man="1"/>
      </rowBreaks>
      <pageMargins left="0.75" right="0.75" top="0.5" bottom="0.5" header="0" footer="0"/>
      <printOptions horizontalCentered="1" verticalCentered="1"/>
      <pageSetup scale="96" orientation="landscape" r:id="rId1"/>
      <headerFooter alignWithMargins="0"/>
    </customSheetView>
  </customSheetViews>
  <mergeCells count="41">
    <mergeCell ref="D3:M3"/>
    <mergeCell ref="C9:M9"/>
    <mergeCell ref="D4:M4"/>
    <mergeCell ref="M59:M60"/>
    <mergeCell ref="D81:N82"/>
    <mergeCell ref="E59:E60"/>
    <mergeCell ref="F59:F60"/>
    <mergeCell ref="H59:H60"/>
    <mergeCell ref="G59:G60"/>
    <mergeCell ref="C50:N50"/>
    <mergeCell ref="C11:M11"/>
    <mergeCell ref="D39:M39"/>
    <mergeCell ref="D41:M41"/>
    <mergeCell ref="C12:M12"/>
    <mergeCell ref="D38:M38"/>
    <mergeCell ref="J59:K60"/>
    <mergeCell ref="L59:L60"/>
    <mergeCell ref="D59:D60"/>
    <mergeCell ref="D32:M32"/>
    <mergeCell ref="D36:M36"/>
    <mergeCell ref="D35:M35"/>
    <mergeCell ref="D45:M45"/>
    <mergeCell ref="D46:M46"/>
    <mergeCell ref="D40:M40"/>
    <mergeCell ref="D33:M33"/>
    <mergeCell ref="D34:M34"/>
    <mergeCell ref="D43:M43"/>
    <mergeCell ref="D58:H58"/>
    <mergeCell ref="J58:M58"/>
    <mergeCell ref="D44:M44"/>
    <mergeCell ref="I59:I60"/>
    <mergeCell ref="C10:M10"/>
    <mergeCell ref="D42:M42"/>
    <mergeCell ref="D17:M17"/>
    <mergeCell ref="D19:M19"/>
    <mergeCell ref="D21:M21"/>
    <mergeCell ref="D23:M23"/>
    <mergeCell ref="D25:M25"/>
    <mergeCell ref="D27:M27"/>
    <mergeCell ref="D37:M37"/>
    <mergeCell ref="D28:M28"/>
  </mergeCells>
  <phoneticPr fontId="2" type="noConversion"/>
  <hyperlinks>
    <hyperlink ref="N5" r:id="rId2" xr:uid="{66C103C4-608C-469E-9213-DDE4AE478375}"/>
  </hyperlinks>
  <printOptions horizontalCentered="1" verticalCentered="1"/>
  <pageMargins left="0.75" right="0.75" top="0.5" bottom="0.5" header="0" footer="0"/>
  <pageSetup scale="96" orientation="landscape" r:id="rId3"/>
  <headerFooter alignWithMargins="0"/>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C549"/>
  <sheetViews>
    <sheetView showGridLines="0" zoomScaleNormal="100" workbookViewId="0">
      <selection activeCell="E23" sqref="E23"/>
    </sheetView>
  </sheetViews>
  <sheetFormatPr defaultRowHeight="12.75" x14ac:dyDescent="0.2"/>
  <cols>
    <col min="1" max="1" width="17.85546875" customWidth="1"/>
    <col min="2" max="2" width="5.5703125" customWidth="1"/>
    <col min="3" max="3" width="2.5703125" customWidth="1"/>
    <col min="4" max="4" width="37.42578125" customWidth="1"/>
    <col min="5" max="5" width="15.140625" customWidth="1"/>
    <col min="6" max="6" width="2.28515625" customWidth="1"/>
    <col min="7" max="7" width="10.140625" customWidth="1"/>
    <col min="8" max="8" width="2.7109375" customWidth="1"/>
    <col min="9" max="9" width="12.5703125" customWidth="1"/>
    <col min="10" max="10" width="11.5703125" customWidth="1"/>
    <col min="11" max="11" width="20.5703125" bestFit="1" customWidth="1"/>
    <col min="12" max="12" width="15.140625" customWidth="1"/>
    <col min="13" max="13" width="7.42578125" customWidth="1"/>
    <col min="14" max="14" width="13" customWidth="1"/>
    <col min="15" max="15" width="8.28515625" customWidth="1"/>
    <col min="16" max="16" width="7.28515625" customWidth="1"/>
    <col min="18" max="18" width="12.42578125" customWidth="1"/>
    <col min="19" max="19" width="7.42578125" customWidth="1"/>
    <col min="20" max="20" width="9.85546875" customWidth="1"/>
    <col min="21" max="21" width="8.28515625" customWidth="1"/>
    <col min="22" max="22" width="7.42578125" customWidth="1"/>
    <col min="23" max="23" width="7.140625" customWidth="1"/>
    <col min="24" max="25" width="8.28515625" customWidth="1"/>
    <col min="26" max="26" width="7" customWidth="1"/>
    <col min="27" max="27" width="8.28515625" customWidth="1"/>
    <col min="28" max="29" width="7.5703125" customWidth="1"/>
    <col min="30" max="30" width="8.28515625" customWidth="1"/>
    <col min="31" max="31" width="7.5703125" customWidth="1"/>
    <col min="32" max="32" width="7.28515625" customWidth="1"/>
    <col min="33" max="34" width="8.28515625" customWidth="1"/>
    <col min="35" max="35" width="6.85546875" customWidth="1"/>
    <col min="36" max="37" width="8.28515625" customWidth="1"/>
    <col min="38" max="38" width="6.42578125" customWidth="1"/>
    <col min="39" max="39" width="8.28515625" customWidth="1"/>
    <col min="40" max="40" width="7.5703125" customWidth="1"/>
    <col min="41" max="41" width="7.42578125" customWidth="1"/>
    <col min="42" max="42" width="8.28515625" customWidth="1"/>
    <col min="43" max="43" width="7.42578125" customWidth="1"/>
    <col min="44" max="44" width="7.28515625" customWidth="1"/>
    <col min="45" max="45" width="8.28515625" customWidth="1"/>
    <col min="46" max="46" width="7.7109375" customWidth="1"/>
    <col min="47" max="47" width="7.140625" customWidth="1"/>
    <col min="49" max="49" width="7.85546875" customWidth="1"/>
    <col min="50" max="50" width="6.85546875" customWidth="1"/>
    <col min="51" max="51" width="8" customWidth="1"/>
    <col min="52" max="52" width="7.42578125" customWidth="1"/>
    <col min="53" max="53" width="8.42578125" customWidth="1"/>
    <col min="54" max="54" width="11.85546875" customWidth="1"/>
  </cols>
  <sheetData>
    <row r="2" spans="4:10" ht="50.25" customHeight="1" x14ac:dyDescent="0.25">
      <c r="D2" s="1200" t="s">
        <v>111</v>
      </c>
      <c r="E2" s="1200"/>
      <c r="F2" s="1200"/>
      <c r="G2" s="1200"/>
      <c r="H2" s="1200"/>
      <c r="I2" s="1200"/>
      <c r="J2" s="1200"/>
    </row>
    <row r="3" spans="4:10" ht="13.5" thickBot="1" x14ac:dyDescent="0.25"/>
    <row r="4" spans="4:10" ht="17.25" thickTop="1" thickBot="1" x14ac:dyDescent="0.25">
      <c r="D4" s="1109" t="s">
        <v>399</v>
      </c>
      <c r="E4" s="1250"/>
      <c r="F4" s="1251"/>
    </row>
    <row r="5" spans="4:10" ht="14.25" thickTop="1" thickBot="1" x14ac:dyDescent="0.25"/>
    <row r="6" spans="4:10" ht="30.75" customHeight="1" thickTop="1" x14ac:dyDescent="0.2">
      <c r="D6" s="199" t="s">
        <v>33</v>
      </c>
      <c r="E6" s="85" t="s">
        <v>274</v>
      </c>
      <c r="F6" s="1069" t="e">
        <f>IF(#REF!="y","Members of Parliament Elected","Members of the Legislature Elected")</f>
        <v>#REF!</v>
      </c>
      <c r="G6" s="1027"/>
      <c r="H6" s="1070"/>
      <c r="I6" s="895" t="s">
        <v>72</v>
      </c>
      <c r="J6" s="895" t="s">
        <v>18</v>
      </c>
    </row>
    <row r="7" spans="4:10" ht="15" customHeight="1" thickBot="1" x14ac:dyDescent="0.25">
      <c r="D7" s="1252" t="s">
        <v>297</v>
      </c>
      <c r="E7" s="1253"/>
      <c r="F7" s="1253"/>
      <c r="G7" s="1253"/>
      <c r="H7" s="1254"/>
      <c r="I7" s="896"/>
      <c r="J7" s="896"/>
    </row>
    <row r="8" spans="4:10" ht="15.75" thickTop="1" x14ac:dyDescent="0.2">
      <c r="D8" s="728" t="s">
        <v>391</v>
      </c>
      <c r="E8" s="729">
        <v>5542360</v>
      </c>
      <c r="F8" s="912">
        <v>159</v>
      </c>
      <c r="G8" s="913"/>
      <c r="H8" s="913"/>
      <c r="I8" s="819">
        <f>E8/E$24</f>
        <v>0.32619244669289299</v>
      </c>
      <c r="J8" s="819">
        <f>F8/F$24</f>
        <v>0.47041420118343197</v>
      </c>
    </row>
    <row r="9" spans="4:10" ht="15" x14ac:dyDescent="0.2">
      <c r="D9" s="730" t="s">
        <v>392</v>
      </c>
      <c r="E9" s="731">
        <v>5730515</v>
      </c>
      <c r="F9" s="881">
        <v>119</v>
      </c>
      <c r="G9" s="882"/>
      <c r="H9" s="882"/>
      <c r="I9" s="823">
        <f t="shared" ref="I9:I19" si="0">E9/E$24</f>
        <v>0.33726620224242448</v>
      </c>
      <c r="J9" s="820">
        <f t="shared" ref="J9:J19" si="1">F9/F$24</f>
        <v>0.35207100591715978</v>
      </c>
    </row>
    <row r="10" spans="4:10" ht="15" x14ac:dyDescent="0.2">
      <c r="D10" s="730" t="s">
        <v>26</v>
      </c>
      <c r="E10" s="731">
        <v>1301758</v>
      </c>
      <c r="F10" s="881">
        <v>33</v>
      </c>
      <c r="G10" s="882"/>
      <c r="H10" s="882"/>
      <c r="I10" s="820">
        <f t="shared" si="0"/>
        <v>7.6614226975881577E-2</v>
      </c>
      <c r="J10" s="820">
        <f t="shared" si="1"/>
        <v>9.7633136094674555E-2</v>
      </c>
    </row>
    <row r="11" spans="4:10" ht="15" x14ac:dyDescent="0.2">
      <c r="D11" s="730" t="s">
        <v>99</v>
      </c>
      <c r="E11" s="731">
        <v>3022451</v>
      </c>
      <c r="F11" s="881">
        <v>25</v>
      </c>
      <c r="G11" s="882"/>
      <c r="H11" s="882"/>
      <c r="I11" s="820">
        <f t="shared" si="0"/>
        <v>0.17788463519139519</v>
      </c>
      <c r="J11" s="820">
        <f t="shared" si="1"/>
        <v>7.3964497041420121E-2</v>
      </c>
    </row>
    <row r="12" spans="4:10" ht="15" x14ac:dyDescent="0.2">
      <c r="D12" s="730" t="s">
        <v>393</v>
      </c>
      <c r="E12" s="731">
        <v>394740</v>
      </c>
      <c r="F12" s="881">
        <v>2</v>
      </c>
      <c r="G12" s="882"/>
      <c r="H12" s="882"/>
      <c r="I12" s="820">
        <f t="shared" si="0"/>
        <v>2.3232198270692013E-2</v>
      </c>
      <c r="J12" s="820">
        <f t="shared" si="1"/>
        <v>5.9171597633136093E-3</v>
      </c>
    </row>
    <row r="13" spans="4:10" ht="15" x14ac:dyDescent="0.2">
      <c r="D13" s="730" t="s">
        <v>394</v>
      </c>
      <c r="E13" s="731">
        <v>842969</v>
      </c>
      <c r="F13" s="881">
        <v>0</v>
      </c>
      <c r="G13" s="882"/>
      <c r="H13" s="882"/>
      <c r="I13" s="820">
        <f t="shared" si="0"/>
        <v>4.96124612252292E-2</v>
      </c>
      <c r="J13" s="820">
        <f t="shared" si="1"/>
        <v>0</v>
      </c>
    </row>
    <row r="14" spans="4:10" ht="15" x14ac:dyDescent="0.2">
      <c r="D14" s="730" t="s">
        <v>17</v>
      </c>
      <c r="E14" s="731">
        <f>130103-6882</f>
        <v>123221</v>
      </c>
      <c r="F14" s="881">
        <v>0</v>
      </c>
      <c r="G14" s="882"/>
      <c r="H14" s="882"/>
      <c r="I14" s="820">
        <f t="shared" si="0"/>
        <v>7.2521018977375999E-3</v>
      </c>
      <c r="J14" s="820">
        <f t="shared" si="1"/>
        <v>0</v>
      </c>
    </row>
    <row r="15" spans="4:10" ht="15" x14ac:dyDescent="0.2">
      <c r="D15" s="730"/>
      <c r="E15" s="731"/>
      <c r="F15" s="881"/>
      <c r="G15" s="882"/>
      <c r="H15" s="882"/>
      <c r="I15" s="820">
        <f t="shared" si="0"/>
        <v>0</v>
      </c>
      <c r="J15" s="820">
        <f t="shared" si="1"/>
        <v>0</v>
      </c>
    </row>
    <row r="16" spans="4:10" ht="15" x14ac:dyDescent="0.2">
      <c r="D16" s="730"/>
      <c r="E16" s="731"/>
      <c r="F16" s="881"/>
      <c r="G16" s="882"/>
      <c r="H16" s="882"/>
      <c r="I16" s="820">
        <f t="shared" si="0"/>
        <v>0</v>
      </c>
      <c r="J16" s="820">
        <f t="shared" si="1"/>
        <v>0</v>
      </c>
    </row>
    <row r="17" spans="2:11" ht="15" x14ac:dyDescent="0.2">
      <c r="D17" s="730"/>
      <c r="E17" s="731"/>
      <c r="F17" s="881"/>
      <c r="G17" s="882"/>
      <c r="H17" s="882"/>
      <c r="I17" s="820">
        <f t="shared" si="0"/>
        <v>0</v>
      </c>
      <c r="J17" s="820">
        <f t="shared" si="1"/>
        <v>0</v>
      </c>
    </row>
    <row r="18" spans="2:11" ht="15" x14ac:dyDescent="0.2">
      <c r="D18" s="730"/>
      <c r="E18" s="731"/>
      <c r="F18" s="881"/>
      <c r="G18" s="882"/>
      <c r="H18" s="882"/>
      <c r="I18" s="820">
        <f t="shared" si="0"/>
        <v>0</v>
      </c>
      <c r="J18" s="820">
        <f t="shared" si="1"/>
        <v>0</v>
      </c>
    </row>
    <row r="19" spans="2:11" ht="15.75" thickBot="1" x14ac:dyDescent="0.25">
      <c r="D19" s="732"/>
      <c r="E19" s="733"/>
      <c r="F19" s="914"/>
      <c r="G19" s="915"/>
      <c r="H19" s="915"/>
      <c r="I19" s="821">
        <f t="shared" si="0"/>
        <v>0</v>
      </c>
      <c r="J19" s="821">
        <f t="shared" si="1"/>
        <v>0</v>
      </c>
    </row>
    <row r="20" spans="2:11" ht="16.5" thickTop="1" thickBot="1" x14ac:dyDescent="0.25">
      <c r="D20" s="17" t="s">
        <v>4</v>
      </c>
      <c r="E20" s="29">
        <f>SUM(E8:E19)</f>
        <v>16958014</v>
      </c>
      <c r="F20" s="922">
        <f>SUM(F8:H19)</f>
        <v>338</v>
      </c>
      <c r="G20" s="923"/>
      <c r="H20" s="924"/>
      <c r="I20" s="822">
        <f>SUM(I8:I19)</f>
        <v>0.99805427249625311</v>
      </c>
      <c r="J20" s="30">
        <f>SUM(J8:J19)</f>
        <v>1</v>
      </c>
    </row>
    <row r="21" spans="2:11" ht="17.25" thickTop="1" thickBot="1" x14ac:dyDescent="0.25">
      <c r="D21" s="81" t="s">
        <v>0</v>
      </c>
      <c r="E21" s="333"/>
      <c r="F21" s="894"/>
      <c r="G21" s="894"/>
      <c r="H21" s="894"/>
      <c r="I21" s="334"/>
      <c r="J21" s="335"/>
    </row>
    <row r="22" spans="2:11" ht="15.75" thickTop="1" x14ac:dyDescent="0.2">
      <c r="D22" s="626" t="s">
        <v>252</v>
      </c>
      <c r="E22" s="734">
        <v>0</v>
      </c>
      <c r="F22" s="1066">
        <v>0</v>
      </c>
      <c r="G22" s="1067"/>
      <c r="H22" s="1068"/>
      <c r="I22" s="551">
        <f>E22/E$55</f>
        <v>0</v>
      </c>
      <c r="J22" s="552">
        <f>F22/F$24</f>
        <v>0</v>
      </c>
    </row>
    <row r="23" spans="2:11" ht="15.75" thickBot="1" x14ac:dyDescent="0.25">
      <c r="D23" s="627" t="s">
        <v>340</v>
      </c>
      <c r="E23" s="735">
        <f>26178+6882</f>
        <v>33060</v>
      </c>
      <c r="F23" s="916">
        <v>0</v>
      </c>
      <c r="G23" s="917"/>
      <c r="H23" s="918"/>
      <c r="I23" s="553">
        <f>E23/E$55</f>
        <v>1.7482813326282389</v>
      </c>
      <c r="J23" s="554">
        <f>F23/F$24</f>
        <v>0</v>
      </c>
    </row>
    <row r="24" spans="2:11" ht="17.25" thickTop="1" thickBot="1" x14ac:dyDescent="0.25">
      <c r="D24" s="38" t="s">
        <v>3</v>
      </c>
      <c r="E24" s="39">
        <f>E23+E22+E20</f>
        <v>16991074</v>
      </c>
      <c r="F24" s="919">
        <f>F22+F20</f>
        <v>338</v>
      </c>
      <c r="G24" s="920"/>
      <c r="H24" s="921"/>
      <c r="I24" s="40">
        <f>SUM(I20:I23)</f>
        <v>2.746335605124492</v>
      </c>
      <c r="J24" s="41">
        <f>J22+J20</f>
        <v>1</v>
      </c>
    </row>
    <row r="25" spans="2:11" ht="13.5" thickTop="1" x14ac:dyDescent="0.2"/>
    <row r="27" spans="2:11" ht="13.5" thickBot="1" x14ac:dyDescent="0.25">
      <c r="D27" t="s">
        <v>36</v>
      </c>
    </row>
    <row r="28" spans="2:11" ht="19.5" customHeight="1" thickTop="1" thickBot="1" x14ac:dyDescent="0.25">
      <c r="D28" s="1206" t="s">
        <v>108</v>
      </c>
      <c r="E28" s="1207"/>
      <c r="F28" s="1208"/>
      <c r="G28" s="47"/>
      <c r="H28" s="47"/>
      <c r="I28" s="47"/>
      <c r="J28" s="47"/>
    </row>
    <row r="29" spans="2:11" ht="14.25" thickTop="1" thickBot="1" x14ac:dyDescent="0.25"/>
    <row r="30" spans="2:11" ht="46.5" thickTop="1" thickBot="1" x14ac:dyDescent="0.25">
      <c r="D30" s="455" t="s">
        <v>33</v>
      </c>
      <c r="E30" s="456" t="s">
        <v>13</v>
      </c>
      <c r="F30" s="998" t="s">
        <v>15</v>
      </c>
      <c r="G30" s="1111"/>
      <c r="H30" s="1112"/>
      <c r="I30" s="457" t="s">
        <v>72</v>
      </c>
      <c r="J30" s="458" t="s">
        <v>71</v>
      </c>
    </row>
    <row r="31" spans="2:11" ht="15.75" thickTop="1" x14ac:dyDescent="0.2">
      <c r="B31">
        <v>1</v>
      </c>
      <c r="D31" s="523" t="s">
        <v>43</v>
      </c>
      <c r="E31" s="524">
        <v>1074115</v>
      </c>
      <c r="F31" s="1209">
        <v>30</v>
      </c>
      <c r="G31" s="1107"/>
      <c r="H31" s="1108"/>
      <c r="I31" s="459">
        <f>E31/E43</f>
        <v>0.25379224012885782</v>
      </c>
      <c r="J31" s="460">
        <f>F31/F43</f>
        <v>0.24</v>
      </c>
    </row>
    <row r="32" spans="2:11" ht="30" x14ac:dyDescent="0.2">
      <c r="B32">
        <v>2</v>
      </c>
      <c r="D32" s="525" t="s">
        <v>104</v>
      </c>
      <c r="E32" s="526">
        <v>1757075</v>
      </c>
      <c r="F32" s="1201">
        <v>70</v>
      </c>
      <c r="G32" s="1202"/>
      <c r="H32" s="1203"/>
      <c r="I32" s="461">
        <f>E32/E43</f>
        <v>0.41516225015423197</v>
      </c>
      <c r="J32" s="462">
        <f>F32/F43</f>
        <v>0.56000000000000005</v>
      </c>
      <c r="K32" s="756" t="s">
        <v>406</v>
      </c>
    </row>
    <row r="33" spans="2:53" ht="15" x14ac:dyDescent="0.2">
      <c r="B33">
        <v>3</v>
      </c>
      <c r="D33" s="525" t="s">
        <v>105</v>
      </c>
      <c r="E33" s="526">
        <v>975607</v>
      </c>
      <c r="F33" s="1201">
        <v>22</v>
      </c>
      <c r="G33" s="1202"/>
      <c r="H33" s="1203"/>
      <c r="I33" s="461">
        <f>E33/E43</f>
        <v>0.23051673798000644</v>
      </c>
      <c r="J33" s="462">
        <f>F33/F43</f>
        <v>0.17599999999999999</v>
      </c>
    </row>
    <row r="34" spans="2:53" ht="15" x14ac:dyDescent="0.2">
      <c r="B34">
        <v>4</v>
      </c>
      <c r="D34" s="525" t="s">
        <v>106</v>
      </c>
      <c r="E34" s="526">
        <v>323124</v>
      </c>
      <c r="F34" s="1201">
        <v>3</v>
      </c>
      <c r="G34" s="1202"/>
      <c r="H34" s="1203"/>
      <c r="I34" s="461">
        <f>E34/E43</f>
        <v>7.6347843386785449E-2</v>
      </c>
      <c r="J34" s="462">
        <f>F34/F43</f>
        <v>2.4E-2</v>
      </c>
    </row>
    <row r="35" spans="2:53" ht="15" x14ac:dyDescent="0.2">
      <c r="B35">
        <v>5</v>
      </c>
      <c r="D35" s="525" t="s">
        <v>107</v>
      </c>
      <c r="E35" s="526">
        <v>30697</v>
      </c>
      <c r="F35" s="1201">
        <v>0</v>
      </c>
      <c r="G35" s="1202"/>
      <c r="H35" s="1203"/>
      <c r="I35" s="461">
        <f>E35/E43</f>
        <v>7.2530971034158809E-3</v>
      </c>
      <c r="J35" s="462">
        <f>F35/F43</f>
        <v>0</v>
      </c>
    </row>
    <row r="36" spans="2:53" ht="30" x14ac:dyDescent="0.2">
      <c r="B36">
        <v>6</v>
      </c>
      <c r="D36" s="525" t="s">
        <v>48</v>
      </c>
      <c r="E36" s="526">
        <v>23163</v>
      </c>
      <c r="F36" s="1201">
        <v>0</v>
      </c>
      <c r="G36" s="1202"/>
      <c r="H36" s="1203"/>
      <c r="I36" s="461">
        <f>E36/E43</f>
        <v>5.4729611429918902E-3</v>
      </c>
      <c r="J36" s="462">
        <f>F36/F43</f>
        <v>0</v>
      </c>
    </row>
    <row r="37" spans="2:53" ht="15" x14ac:dyDescent="0.2">
      <c r="B37">
        <v>7</v>
      </c>
      <c r="D37" s="525" t="s">
        <v>109</v>
      </c>
      <c r="E37" s="526">
        <v>16429</v>
      </c>
      <c r="F37" s="1201">
        <v>0</v>
      </c>
      <c r="G37" s="1202"/>
      <c r="H37" s="1203"/>
      <c r="I37" s="461">
        <f>E37/E43</f>
        <v>3.8818494417050364E-3</v>
      </c>
      <c r="J37" s="462">
        <f>F37/F43</f>
        <v>0</v>
      </c>
    </row>
    <row r="38" spans="2:53" ht="15" x14ac:dyDescent="0.2">
      <c r="B38">
        <v>8</v>
      </c>
      <c r="D38" s="525"/>
      <c r="E38" s="526"/>
      <c r="F38" s="1201"/>
      <c r="G38" s="1202"/>
      <c r="H38" s="1203"/>
      <c r="I38" s="461">
        <f>E38/E43</f>
        <v>0</v>
      </c>
      <c r="J38" s="462">
        <f>F38/F43</f>
        <v>0</v>
      </c>
    </row>
    <row r="39" spans="2:53" ht="15" x14ac:dyDescent="0.2">
      <c r="B39">
        <v>9</v>
      </c>
      <c r="D39" s="525"/>
      <c r="E39" s="526"/>
      <c r="F39" s="1201"/>
      <c r="G39" s="1202"/>
      <c r="H39" s="1203"/>
      <c r="I39" s="461">
        <f>E39/E43</f>
        <v>0</v>
      </c>
      <c r="J39" s="462">
        <f>F39/F43</f>
        <v>0</v>
      </c>
    </row>
    <row r="40" spans="2:53" ht="15.75" thickBot="1" x14ac:dyDescent="0.25">
      <c r="B40">
        <v>10</v>
      </c>
      <c r="D40" s="527" t="s">
        <v>110</v>
      </c>
      <c r="E40" s="489">
        <f>2690+2016+1645+1291+521+400+241+163+126+58</f>
        <v>9151</v>
      </c>
      <c r="F40" s="1151">
        <v>0</v>
      </c>
      <c r="G40" s="1168"/>
      <c r="H40" s="1169"/>
      <c r="I40" s="463">
        <f>E40/E43</f>
        <v>2.1622012442049296E-3</v>
      </c>
      <c r="J40" s="464">
        <f>F40/F43</f>
        <v>0</v>
      </c>
    </row>
    <row r="41" spans="2:53" ht="16.5" thickTop="1" thickBot="1" x14ac:dyDescent="0.25">
      <c r="B41">
        <v>11</v>
      </c>
      <c r="D41" s="471" t="s">
        <v>4</v>
      </c>
      <c r="E41" s="472">
        <f>SUM(E31:E40)</f>
        <v>4209361</v>
      </c>
      <c r="F41" s="1142">
        <f>SUM(F31:F40)</f>
        <v>125</v>
      </c>
      <c r="G41" s="1143"/>
      <c r="H41" s="1144"/>
      <c r="I41" s="474">
        <f>SUM(I31:I40)</f>
        <v>0.99458918058219936</v>
      </c>
      <c r="J41" s="474">
        <f>SUM(J31:J40)</f>
        <v>1</v>
      </c>
    </row>
    <row r="42" spans="2:53" ht="17.25" thickTop="1" thickBot="1" x14ac:dyDescent="0.25">
      <c r="B42">
        <v>12</v>
      </c>
      <c r="D42" s="455" t="s">
        <v>0</v>
      </c>
      <c r="E42" s="522">
        <f>7539+15361</f>
        <v>22900</v>
      </c>
      <c r="F42" s="1133">
        <v>0</v>
      </c>
      <c r="G42" s="1134"/>
      <c r="H42" s="1135"/>
      <c r="I42" s="507">
        <f>E42/E43</f>
        <v>5.4108194178005562E-3</v>
      </c>
      <c r="J42" s="508">
        <f>F42/F43</f>
        <v>0</v>
      </c>
    </row>
    <row r="43" spans="2:53" ht="16.5" thickTop="1" thickBot="1" x14ac:dyDescent="0.25">
      <c r="D43" s="471" t="s">
        <v>3</v>
      </c>
      <c r="E43" s="472">
        <f>E42+E41</f>
        <v>4232261</v>
      </c>
      <c r="F43" s="1142">
        <f>F42+F41</f>
        <v>125</v>
      </c>
      <c r="G43" s="1158"/>
      <c r="H43" s="1159"/>
      <c r="I43" s="506">
        <f>I42+I41</f>
        <v>0.99999999999999989</v>
      </c>
      <c r="J43" s="506">
        <f>J42+J41</f>
        <v>1</v>
      </c>
    </row>
    <row r="44" spans="2:53" ht="13.5" thickTop="1" x14ac:dyDescent="0.2">
      <c r="D44" t="s">
        <v>36</v>
      </c>
    </row>
    <row r="46" spans="2:53" ht="13.5" thickBot="1" x14ac:dyDescent="0.25"/>
    <row r="47" spans="2:53" ht="21" customHeight="1" thickTop="1" thickBot="1" x14ac:dyDescent="0.25">
      <c r="D47" s="1180" t="s">
        <v>35</v>
      </c>
      <c r="E47" s="1181"/>
      <c r="F47" s="1182"/>
      <c r="G47" s="37"/>
      <c r="H47" s="37"/>
    </row>
    <row r="48" spans="2:53" ht="16.5" thickTop="1" thickBot="1" x14ac:dyDescent="0.25">
      <c r="L48" s="1218" t="s">
        <v>114</v>
      </c>
      <c r="M48" s="1218"/>
      <c r="N48" s="1211"/>
      <c r="O48" s="1211" t="s">
        <v>115</v>
      </c>
      <c r="P48" s="1211"/>
      <c r="Q48" s="1211"/>
      <c r="R48" s="1211" t="s">
        <v>117</v>
      </c>
      <c r="S48" s="1211"/>
      <c r="T48" s="1211"/>
      <c r="U48" s="1211" t="s">
        <v>118</v>
      </c>
      <c r="V48" s="1214"/>
      <c r="W48" s="1211"/>
      <c r="X48" s="1211" t="s">
        <v>119</v>
      </c>
      <c r="Y48" s="1211"/>
      <c r="Z48" s="1211"/>
      <c r="AA48" s="1214" t="s">
        <v>120</v>
      </c>
      <c r="AB48" s="1214"/>
      <c r="AC48" s="1211"/>
      <c r="AD48" s="1211" t="s">
        <v>121</v>
      </c>
      <c r="AE48" s="1211"/>
      <c r="AF48" s="1211"/>
      <c r="AG48" s="1211" t="s">
        <v>122</v>
      </c>
      <c r="AH48" s="1211"/>
      <c r="AI48" s="1211"/>
      <c r="AJ48" s="1211" t="s">
        <v>123</v>
      </c>
      <c r="AK48" s="1211"/>
      <c r="AL48" s="1211"/>
      <c r="AM48" s="1211" t="s">
        <v>124</v>
      </c>
      <c r="AN48" s="1211"/>
      <c r="AO48" s="1211"/>
      <c r="AP48" s="1211" t="s">
        <v>125</v>
      </c>
      <c r="AQ48" s="1211"/>
      <c r="AR48" s="1211"/>
      <c r="AS48" s="1211" t="s">
        <v>126</v>
      </c>
      <c r="AT48" s="1211"/>
      <c r="AU48" s="1211"/>
      <c r="AV48" s="1211" t="s">
        <v>127</v>
      </c>
      <c r="AW48" s="1211"/>
      <c r="AX48" s="1211"/>
      <c r="AY48" s="1211" t="s">
        <v>128</v>
      </c>
      <c r="AZ48" s="1211"/>
      <c r="BA48" s="1211"/>
    </row>
    <row r="49" spans="4:55" ht="54" customHeight="1" thickTop="1" thickBot="1" x14ac:dyDescent="0.25">
      <c r="D49" s="455" t="s">
        <v>33</v>
      </c>
      <c r="E49" s="456" t="s">
        <v>13</v>
      </c>
      <c r="F49" s="998" t="s">
        <v>15</v>
      </c>
      <c r="G49" s="1111"/>
      <c r="H49" s="1112"/>
      <c r="I49" s="457" t="s">
        <v>72</v>
      </c>
      <c r="J49" s="458" t="s">
        <v>18</v>
      </c>
      <c r="L49" s="64" t="s">
        <v>72</v>
      </c>
      <c r="M49" s="64" t="s">
        <v>116</v>
      </c>
      <c r="N49" s="66" t="s">
        <v>129</v>
      </c>
      <c r="O49" s="64" t="s">
        <v>72</v>
      </c>
      <c r="P49" s="64" t="s">
        <v>116</v>
      </c>
      <c r="Q49" s="66" t="s">
        <v>129</v>
      </c>
      <c r="R49" s="64" t="s">
        <v>72</v>
      </c>
      <c r="S49" s="69" t="s">
        <v>116</v>
      </c>
      <c r="T49" s="70" t="s">
        <v>129</v>
      </c>
      <c r="U49" s="64" t="s">
        <v>72</v>
      </c>
      <c r="V49" s="64" t="s">
        <v>116</v>
      </c>
      <c r="W49" s="66" t="s">
        <v>129</v>
      </c>
      <c r="X49" s="64" t="s">
        <v>72</v>
      </c>
      <c r="Y49" s="64" t="s">
        <v>116</v>
      </c>
      <c r="Z49" s="66" t="s">
        <v>129</v>
      </c>
      <c r="AA49" s="64" t="s">
        <v>72</v>
      </c>
      <c r="AB49" s="64" t="s">
        <v>116</v>
      </c>
      <c r="AC49" s="66" t="s">
        <v>129</v>
      </c>
      <c r="AD49" s="64" t="s">
        <v>72</v>
      </c>
      <c r="AE49" s="64" t="s">
        <v>116</v>
      </c>
      <c r="AF49" s="66" t="s">
        <v>129</v>
      </c>
      <c r="AG49" s="64" t="s">
        <v>72</v>
      </c>
      <c r="AH49" s="64" t="s">
        <v>116</v>
      </c>
      <c r="AI49" s="66" t="s">
        <v>129</v>
      </c>
      <c r="AJ49" s="64" t="s">
        <v>72</v>
      </c>
      <c r="AK49" s="64" t="s">
        <v>116</v>
      </c>
      <c r="AL49" s="66" t="s">
        <v>129</v>
      </c>
      <c r="AM49" s="64" t="s">
        <v>72</v>
      </c>
      <c r="AN49" s="64" t="s">
        <v>116</v>
      </c>
      <c r="AO49" s="66" t="s">
        <v>129</v>
      </c>
      <c r="AP49" s="64" t="s">
        <v>72</v>
      </c>
      <c r="AQ49" s="64" t="s">
        <v>116</v>
      </c>
      <c r="AR49" s="66" t="s">
        <v>129</v>
      </c>
      <c r="AS49" s="64" t="s">
        <v>72</v>
      </c>
      <c r="AT49" s="64" t="s">
        <v>116</v>
      </c>
      <c r="AU49" s="66" t="s">
        <v>129</v>
      </c>
      <c r="AV49" s="64" t="s">
        <v>72</v>
      </c>
      <c r="AW49" s="64" t="s">
        <v>116</v>
      </c>
      <c r="AX49" s="66" t="s">
        <v>129</v>
      </c>
      <c r="AY49" s="64" t="s">
        <v>72</v>
      </c>
      <c r="AZ49" s="64" t="s">
        <v>116</v>
      </c>
      <c r="BA49" s="66" t="s">
        <v>129</v>
      </c>
      <c r="BC49" s="66" t="s">
        <v>130</v>
      </c>
    </row>
    <row r="50" spans="4:55" ht="15.75" thickTop="1" x14ac:dyDescent="0.2">
      <c r="D50" s="518" t="s">
        <v>24</v>
      </c>
      <c r="E50" s="488">
        <v>5835270</v>
      </c>
      <c r="F50" s="1113">
        <v>166</v>
      </c>
      <c r="G50" s="1114"/>
      <c r="H50" s="1115"/>
      <c r="I50" s="459">
        <f>E50/E$62</f>
        <v>0.39631064426873713</v>
      </c>
      <c r="J50" s="460">
        <f>F50/F$62</f>
        <v>0.53896103896103897</v>
      </c>
      <c r="L50" s="67">
        <v>0.28299999999999997</v>
      </c>
      <c r="M50" s="73">
        <v>1</v>
      </c>
      <c r="N50" s="71">
        <f>L50*M$60</f>
        <v>1.9809999999999999</v>
      </c>
      <c r="O50" s="67">
        <v>0.41199999999999998</v>
      </c>
      <c r="P50" s="73">
        <v>1</v>
      </c>
      <c r="Q50" s="71">
        <f>O50*P$60</f>
        <v>1.6479999999999999</v>
      </c>
      <c r="R50" s="67">
        <v>0.36699999999999999</v>
      </c>
      <c r="S50" s="75">
        <v>4</v>
      </c>
      <c r="T50" s="71">
        <f>R50*S$60</f>
        <v>4.0369999999999999</v>
      </c>
      <c r="U50" s="67">
        <v>0.438</v>
      </c>
      <c r="V50" s="75">
        <v>8</v>
      </c>
      <c r="W50" s="71">
        <f>U50*V$60</f>
        <v>4.38</v>
      </c>
      <c r="X50" s="67">
        <v>0.16500000000000001</v>
      </c>
      <c r="Y50" s="75">
        <v>5</v>
      </c>
      <c r="Z50" s="71">
        <f>X50*Y$60</f>
        <v>12.375</v>
      </c>
      <c r="AA50" s="67">
        <v>0.44400000000000001</v>
      </c>
      <c r="AB50" s="75">
        <v>73</v>
      </c>
      <c r="AC50" s="71">
        <f>AA50*AB$60</f>
        <v>47.064</v>
      </c>
      <c r="AD50" s="67">
        <v>0.53500000000000003</v>
      </c>
      <c r="AE50" s="73">
        <v>11</v>
      </c>
      <c r="AF50" s="71">
        <f>AD50*AE$60</f>
        <v>7.49</v>
      </c>
      <c r="AG50" s="67">
        <v>0.56299999999999994</v>
      </c>
      <c r="AH50" s="73">
        <v>13</v>
      </c>
      <c r="AI50" s="71">
        <f>AG50*AH$60</f>
        <v>7.8819999999999997</v>
      </c>
      <c r="AJ50" s="67">
        <v>0.66800000000000004</v>
      </c>
      <c r="AK50" s="73">
        <v>27</v>
      </c>
      <c r="AL50" s="71">
        <f>AJ50*AK$60</f>
        <v>18.704000000000001</v>
      </c>
      <c r="AM50" s="67">
        <v>0.45600000000000002</v>
      </c>
      <c r="AN50" s="73">
        <v>21</v>
      </c>
      <c r="AO50" s="71">
        <f>AM50*AN$60</f>
        <v>16.416</v>
      </c>
      <c r="AP50" s="67">
        <v>0.33800000000000002</v>
      </c>
      <c r="AQ50" s="73">
        <v>1</v>
      </c>
      <c r="AR50" s="71">
        <f>AP50*AQ$60</f>
        <v>0.33800000000000002</v>
      </c>
      <c r="AS50" s="67">
        <v>0.32100000000000001</v>
      </c>
      <c r="AT50" s="73">
        <v>0</v>
      </c>
      <c r="AU50" s="71">
        <f>AS50*AT$60</f>
        <v>0.32100000000000001</v>
      </c>
      <c r="AV50" s="67">
        <v>0.499</v>
      </c>
      <c r="AW50" s="73">
        <v>1</v>
      </c>
      <c r="AX50" s="71">
        <f>AV50*AW$60</f>
        <v>0.499</v>
      </c>
      <c r="AY50" s="67">
        <v>0.38900000000000001</v>
      </c>
      <c r="AZ50" s="73">
        <v>166</v>
      </c>
      <c r="BA50" s="71">
        <f>AY50*AZ$60</f>
        <v>119.812</v>
      </c>
      <c r="BB50" t="str">
        <f>D50</f>
        <v>Conservative Party</v>
      </c>
      <c r="BC50" s="78">
        <f>HowItWorks!J149</f>
        <v>0</v>
      </c>
    </row>
    <row r="51" spans="4:55" ht="15" x14ac:dyDescent="0.2">
      <c r="D51" s="519" t="s">
        <v>25</v>
      </c>
      <c r="E51" s="520">
        <v>2783076</v>
      </c>
      <c r="F51" s="1116">
        <v>34</v>
      </c>
      <c r="G51" s="1117"/>
      <c r="H51" s="1118"/>
      <c r="I51" s="461">
        <f t="shared" ref="I51:I59" si="2">E51/E$62</f>
        <v>0.18901655666470615</v>
      </c>
      <c r="J51" s="462">
        <f t="shared" ref="J51:J59" si="3">F51/F$62</f>
        <v>0.11038961038961038</v>
      </c>
      <c r="L51" s="67">
        <v>0.379</v>
      </c>
      <c r="M51" s="73">
        <v>4</v>
      </c>
      <c r="N51" s="71">
        <f>L51*M$60</f>
        <v>2.653</v>
      </c>
      <c r="O51" s="67">
        <v>0.41</v>
      </c>
      <c r="P51" s="73">
        <v>3</v>
      </c>
      <c r="Q51" s="71">
        <f>O51*P$60</f>
        <v>1.64</v>
      </c>
      <c r="R51" s="67">
        <v>0.28899999999999998</v>
      </c>
      <c r="S51" s="75">
        <v>4</v>
      </c>
      <c r="T51" s="71">
        <f>R51*S$60</f>
        <v>3.1789999999999998</v>
      </c>
      <c r="U51" s="67">
        <v>0.22600000000000001</v>
      </c>
      <c r="V51" s="75">
        <v>1</v>
      </c>
      <c r="W51" s="71">
        <f>U51*V$60</f>
        <v>2.2600000000000002</v>
      </c>
      <c r="X51" s="67">
        <v>0.14199999999999999</v>
      </c>
      <c r="Y51" s="75">
        <v>7</v>
      </c>
      <c r="Z51" s="71">
        <f>X51*Y$60</f>
        <v>10.649999999999999</v>
      </c>
      <c r="AA51" s="67">
        <v>0.253</v>
      </c>
      <c r="AB51" s="75">
        <v>11</v>
      </c>
      <c r="AC51" s="71">
        <f>AA51*AB$60</f>
        <v>26.818000000000001</v>
      </c>
      <c r="AD51" s="67">
        <v>0.16600000000000001</v>
      </c>
      <c r="AE51" s="73">
        <v>1</v>
      </c>
      <c r="AF51" s="71">
        <f>AD51*AE$60</f>
        <v>2.3240000000000003</v>
      </c>
      <c r="AG51" s="67">
        <v>8.5000000000000006E-2</v>
      </c>
      <c r="AH51" s="73">
        <v>1</v>
      </c>
      <c r="AI51" s="71">
        <f>AG51*AH$60</f>
        <v>1.1900000000000002</v>
      </c>
      <c r="AJ51" s="67">
        <v>9.2999999999999999E-2</v>
      </c>
      <c r="AK51" s="73">
        <v>0</v>
      </c>
      <c r="AL51" s="71">
        <f>AJ51*AK$60</f>
        <v>2.6040000000000001</v>
      </c>
      <c r="AM51" s="67">
        <v>0.13400000000000001</v>
      </c>
      <c r="AN51" s="73">
        <v>2</v>
      </c>
      <c r="AO51" s="71">
        <f>AM51*AN$60</f>
        <v>4.8239999999999998</v>
      </c>
      <c r="AP51" s="67">
        <v>0.32900000000000001</v>
      </c>
      <c r="AQ51" s="73">
        <v>0</v>
      </c>
      <c r="AR51" s="71">
        <f>AP51*AQ$60</f>
        <v>0.32900000000000001</v>
      </c>
      <c r="AS51" s="67">
        <v>0.184</v>
      </c>
      <c r="AT51" s="73">
        <v>0</v>
      </c>
      <c r="AU51" s="71">
        <f>AS51*AT$60</f>
        <v>0.184</v>
      </c>
      <c r="AV51" s="67">
        <v>0.28699999999999998</v>
      </c>
      <c r="AW51" s="73">
        <v>0</v>
      </c>
      <c r="AX51" s="71">
        <f>AV51*AW$60</f>
        <v>0.28699999999999998</v>
      </c>
      <c r="AY51" s="67">
        <v>0.189</v>
      </c>
      <c r="AZ51" s="73">
        <v>34</v>
      </c>
      <c r="BA51" s="71">
        <f>AY51*AZ$60</f>
        <v>58.212000000000003</v>
      </c>
      <c r="BB51" t="str">
        <f t="shared" ref="BB51:BB59" si="4">D51</f>
        <v>Liberal Party</v>
      </c>
      <c r="BC51" s="79">
        <f>HowItWorks!J150</f>
        <v>0</v>
      </c>
    </row>
    <row r="52" spans="4:55" ht="15" x14ac:dyDescent="0.2">
      <c r="D52" s="519" t="s">
        <v>31</v>
      </c>
      <c r="E52" s="520">
        <v>4512411</v>
      </c>
      <c r="F52" s="1116">
        <v>103</v>
      </c>
      <c r="G52" s="1117"/>
      <c r="H52" s="1118"/>
      <c r="I52" s="461">
        <f t="shared" si="2"/>
        <v>0.3064667977000784</v>
      </c>
      <c r="J52" s="462">
        <f t="shared" si="3"/>
        <v>0.33441558441558439</v>
      </c>
      <c r="L52" s="67">
        <v>0.32600000000000001</v>
      </c>
      <c r="M52" s="73">
        <v>2</v>
      </c>
      <c r="N52" s="71">
        <f>L52*M$60</f>
        <v>2.282</v>
      </c>
      <c r="O52" s="67">
        <v>0.154</v>
      </c>
      <c r="P52" s="73">
        <v>0</v>
      </c>
      <c r="Q52" s="71">
        <f>O52*P$60</f>
        <v>0.61599999999999999</v>
      </c>
      <c r="R52" s="67">
        <v>0.30299999999999999</v>
      </c>
      <c r="S52" s="75">
        <v>3</v>
      </c>
      <c r="T52" s="71">
        <f>R52*S$60</f>
        <v>3.3329999999999997</v>
      </c>
      <c r="U52" s="67">
        <v>0.29799999999999999</v>
      </c>
      <c r="V52" s="75">
        <v>1</v>
      </c>
      <c r="W52" s="71">
        <f>U52*V$60</f>
        <v>2.98</v>
      </c>
      <c r="X52" s="67">
        <v>0.42899999999999999</v>
      </c>
      <c r="Y52" s="75">
        <v>59</v>
      </c>
      <c r="Z52" s="71">
        <f>X52*Y$60</f>
        <v>32.174999999999997</v>
      </c>
      <c r="AA52" s="67">
        <v>0.25600000000000001</v>
      </c>
      <c r="AB52" s="75">
        <v>22</v>
      </c>
      <c r="AC52" s="71">
        <f>AA52*AB$60</f>
        <v>27.135999999999999</v>
      </c>
      <c r="AD52" s="67">
        <v>0.25800000000000001</v>
      </c>
      <c r="AE52" s="73">
        <v>2</v>
      </c>
      <c r="AF52" s="71">
        <f>AD52*AE$60</f>
        <v>3.6120000000000001</v>
      </c>
      <c r="AG52" s="67">
        <v>0.32300000000000001</v>
      </c>
      <c r="AH52" s="73">
        <v>0</v>
      </c>
      <c r="AI52" s="71">
        <f>AG52*AH$60</f>
        <v>4.5220000000000002</v>
      </c>
      <c r="AJ52" s="67">
        <v>0.16800000000000001</v>
      </c>
      <c r="AK52" s="73">
        <v>1</v>
      </c>
      <c r="AL52" s="71">
        <f>AJ52*AK$60</f>
        <v>4.7040000000000006</v>
      </c>
      <c r="AM52" s="67">
        <v>0.32500000000000001</v>
      </c>
      <c r="AN52" s="73">
        <v>12</v>
      </c>
      <c r="AO52" s="71">
        <f>AM52*AN$60</f>
        <v>11.700000000000001</v>
      </c>
      <c r="AP52" s="67">
        <v>0.14399999999999999</v>
      </c>
      <c r="AQ52" s="73">
        <v>0</v>
      </c>
      <c r="AR52" s="71">
        <f>AP52*AQ$60</f>
        <v>0.14399999999999999</v>
      </c>
      <c r="AS52" s="67">
        <v>0.45800000000000002</v>
      </c>
      <c r="AT52" s="73">
        <v>1</v>
      </c>
      <c r="AU52" s="71">
        <f>AS52*AT$60</f>
        <v>0.45800000000000002</v>
      </c>
      <c r="AV52" s="67">
        <v>0.19400000000000001</v>
      </c>
      <c r="AW52" s="73">
        <v>0</v>
      </c>
      <c r="AX52" s="71">
        <f>AV52*AW$60</f>
        <v>0.19400000000000001</v>
      </c>
      <c r="AY52" s="67">
        <v>0.30599999999999999</v>
      </c>
      <c r="AZ52" s="73">
        <v>103</v>
      </c>
      <c r="BA52" s="71">
        <f>AY52*AZ$60</f>
        <v>94.248000000000005</v>
      </c>
      <c r="BB52" t="str">
        <f t="shared" si="4"/>
        <v>New Democratic Party</v>
      </c>
      <c r="BC52" s="79">
        <f>HowItWorks!J151</f>
        <v>0</v>
      </c>
    </row>
    <row r="53" spans="4:55" ht="15" x14ac:dyDescent="0.2">
      <c r="D53" s="519" t="s">
        <v>32</v>
      </c>
      <c r="E53" s="520">
        <v>572095</v>
      </c>
      <c r="F53" s="1116">
        <v>1</v>
      </c>
      <c r="G53" s="1117"/>
      <c r="H53" s="1118"/>
      <c r="I53" s="461">
        <f t="shared" si="2"/>
        <v>3.8854643921005051E-2</v>
      </c>
      <c r="J53" s="462">
        <f t="shared" si="3"/>
        <v>3.246753246753247E-3</v>
      </c>
      <c r="L53" s="67">
        <v>8.9999999999999993E-3</v>
      </c>
      <c r="M53" s="73">
        <v>0</v>
      </c>
      <c r="N53" s="71">
        <f>L53*M$60</f>
        <v>6.3E-2</v>
      </c>
      <c r="O53" s="67">
        <v>2.4E-2</v>
      </c>
      <c r="P53" s="73">
        <v>0</v>
      </c>
      <c r="Q53" s="71">
        <f>O53*P$60</f>
        <v>9.6000000000000002E-2</v>
      </c>
      <c r="R53" s="67">
        <v>3.9E-2</v>
      </c>
      <c r="S53" s="75">
        <v>0</v>
      </c>
      <c r="T53" s="71">
        <f>R53*S$60</f>
        <v>0.42899999999999999</v>
      </c>
      <c r="U53" s="67">
        <v>3.2000000000000001E-2</v>
      </c>
      <c r="V53" s="75">
        <v>0</v>
      </c>
      <c r="W53" s="71">
        <f>U53*V$60</f>
        <v>0.32</v>
      </c>
      <c r="X53" s="67">
        <v>2.1000000000000001E-2</v>
      </c>
      <c r="Y53" s="75">
        <v>0</v>
      </c>
      <c r="Z53" s="71">
        <f>X53*Y$60</f>
        <v>1.5750000000000002</v>
      </c>
      <c r="AA53" s="67">
        <v>3.7999999999999999E-2</v>
      </c>
      <c r="AB53" s="75">
        <v>0</v>
      </c>
      <c r="AC53" s="71">
        <f>AA53*AB$60</f>
        <v>4.0279999999999996</v>
      </c>
      <c r="AD53" s="67">
        <v>3.5999999999999997E-2</v>
      </c>
      <c r="AE53" s="73">
        <v>0</v>
      </c>
      <c r="AF53" s="71">
        <f>AD53*AE$60</f>
        <v>0.504</v>
      </c>
      <c r="AG53" s="67">
        <v>2.5999999999999999E-2</v>
      </c>
      <c r="AH53" s="73">
        <v>0</v>
      </c>
      <c r="AI53" s="71">
        <f>AG53*AH$60</f>
        <v>0.36399999999999999</v>
      </c>
      <c r="AJ53" s="67">
        <v>5.1999999999999998E-2</v>
      </c>
      <c r="AK53" s="73">
        <v>0</v>
      </c>
      <c r="AL53" s="71">
        <f>AJ53*AK$60</f>
        <v>1.456</v>
      </c>
      <c r="AM53" s="67">
        <v>7.6999999999999999E-2</v>
      </c>
      <c r="AN53" s="73">
        <v>1</v>
      </c>
      <c r="AO53" s="71">
        <f>AM53*AN$60</f>
        <v>2.7719999999999998</v>
      </c>
      <c r="AP53" s="67">
        <v>0.189</v>
      </c>
      <c r="AQ53" s="73">
        <v>0</v>
      </c>
      <c r="AR53" s="71">
        <f>AP53*AQ$60</f>
        <v>0.189</v>
      </c>
      <c r="AS53" s="67">
        <v>3.1E-2</v>
      </c>
      <c r="AT53" s="73">
        <v>0</v>
      </c>
      <c r="AU53" s="71">
        <f>AS53*AT$60</f>
        <v>3.1E-2</v>
      </c>
      <c r="AV53" s="67">
        <v>0.02</v>
      </c>
      <c r="AW53" s="73">
        <v>0</v>
      </c>
      <c r="AX53" s="71">
        <f>AV53*AW$60</f>
        <v>0.02</v>
      </c>
      <c r="AY53" s="67">
        <v>3.9E-2</v>
      </c>
      <c r="AZ53" s="73">
        <v>1</v>
      </c>
      <c r="BA53" s="71">
        <f>AY53*AZ$60</f>
        <v>12.012</v>
      </c>
      <c r="BB53" t="str">
        <f t="shared" si="4"/>
        <v>Green Party</v>
      </c>
      <c r="BC53" s="79">
        <f>HowItWorks!J152</f>
        <v>15</v>
      </c>
    </row>
    <row r="54" spans="4:55" ht="15" x14ac:dyDescent="0.2">
      <c r="D54" s="519" t="s">
        <v>26</v>
      </c>
      <c r="E54" s="520">
        <v>891425</v>
      </c>
      <c r="F54" s="1116">
        <v>4</v>
      </c>
      <c r="G54" s="1117"/>
      <c r="H54" s="1118"/>
      <c r="I54" s="461">
        <f t="shared" si="2"/>
        <v>6.0542394108114787E-2</v>
      </c>
      <c r="J54" s="462">
        <f t="shared" si="3"/>
        <v>1.2987012987012988E-2</v>
      </c>
      <c r="L54" s="67">
        <v>0</v>
      </c>
      <c r="M54" s="73">
        <v>0</v>
      </c>
      <c r="N54" s="71">
        <f>L54*M$60</f>
        <v>0</v>
      </c>
      <c r="O54" s="67">
        <v>0</v>
      </c>
      <c r="P54" s="73">
        <v>0</v>
      </c>
      <c r="Q54" s="71">
        <f>O54*P$60</f>
        <v>0</v>
      </c>
      <c r="R54" s="67">
        <v>0</v>
      </c>
      <c r="S54" s="75">
        <v>0</v>
      </c>
      <c r="T54" s="71">
        <f>R54*S$60</f>
        <v>0</v>
      </c>
      <c r="U54" s="67">
        <v>0</v>
      </c>
      <c r="V54" s="75">
        <v>0</v>
      </c>
      <c r="W54" s="71">
        <f>U54*V$60</f>
        <v>0</v>
      </c>
      <c r="X54" s="67">
        <v>0.23400000000000001</v>
      </c>
      <c r="Y54" s="75">
        <v>4</v>
      </c>
      <c r="Z54" s="71">
        <f>X54*Y$60</f>
        <v>17.55</v>
      </c>
      <c r="AA54" s="67">
        <v>0</v>
      </c>
      <c r="AB54" s="75">
        <v>0</v>
      </c>
      <c r="AC54" s="71">
        <f>AA54*AB$60</f>
        <v>0</v>
      </c>
      <c r="AD54" s="67">
        <v>0</v>
      </c>
      <c r="AE54" s="73">
        <v>0</v>
      </c>
      <c r="AF54" s="71">
        <f>AD54*AE$60</f>
        <v>0</v>
      </c>
      <c r="AG54" s="67">
        <v>0</v>
      </c>
      <c r="AH54" s="73">
        <v>0</v>
      </c>
      <c r="AI54" s="71">
        <f>AG54*AH$60</f>
        <v>0</v>
      </c>
      <c r="AJ54" s="67">
        <v>0</v>
      </c>
      <c r="AK54" s="73">
        <v>0</v>
      </c>
      <c r="AL54" s="71">
        <f>AJ54*AK$60</f>
        <v>0</v>
      </c>
      <c r="AM54" s="67">
        <v>0</v>
      </c>
      <c r="AN54" s="73">
        <v>0</v>
      </c>
      <c r="AO54" s="71">
        <f>AM54*AN$60</f>
        <v>0</v>
      </c>
      <c r="AP54" s="67">
        <v>0</v>
      </c>
      <c r="AQ54" s="73">
        <v>0</v>
      </c>
      <c r="AR54" s="71">
        <f>AP54*AQ$60</f>
        <v>0</v>
      </c>
      <c r="AS54" s="67">
        <v>0</v>
      </c>
      <c r="AT54" s="73">
        <v>0</v>
      </c>
      <c r="AU54" s="71">
        <f>AS54*AT$60</f>
        <v>0</v>
      </c>
      <c r="AV54" s="67">
        <v>0</v>
      </c>
      <c r="AW54" s="73">
        <v>0</v>
      </c>
      <c r="AX54" s="71">
        <f>AV54*AW$60</f>
        <v>0</v>
      </c>
      <c r="AY54" s="67">
        <v>6.0999999999999999E-2</v>
      </c>
      <c r="AZ54" s="73">
        <v>4</v>
      </c>
      <c r="BA54" s="71">
        <f>AY54*AZ$60</f>
        <v>18.788</v>
      </c>
      <c r="BB54" t="str">
        <f t="shared" si="4"/>
        <v>Bloc Quebecois</v>
      </c>
      <c r="BC54" s="79">
        <f>HowItWorks!J153</f>
        <v>3</v>
      </c>
    </row>
    <row r="55" spans="4:55" ht="15" x14ac:dyDescent="0.2">
      <c r="D55" s="519" t="s">
        <v>27</v>
      </c>
      <c r="E55" s="520">
        <v>18910</v>
      </c>
      <c r="F55" s="1116">
        <v>0</v>
      </c>
      <c r="G55" s="1117"/>
      <c r="H55" s="1118"/>
      <c r="I55" s="461">
        <f t="shared" si="2"/>
        <v>1.284299489676025E-3</v>
      </c>
      <c r="J55" s="462">
        <f t="shared" si="3"/>
        <v>0</v>
      </c>
      <c r="L55" s="67"/>
      <c r="M55" s="73"/>
      <c r="N55" s="77"/>
      <c r="O55" s="67"/>
      <c r="P55" s="73"/>
      <c r="Q55" s="15"/>
      <c r="R55" s="67"/>
      <c r="S55" s="75"/>
      <c r="T55" s="71"/>
      <c r="U55" s="67"/>
      <c r="V55" s="75"/>
      <c r="W55" s="71"/>
      <c r="X55" s="67"/>
      <c r="Y55" s="75"/>
      <c r="Z55" s="71"/>
      <c r="AA55" s="67"/>
      <c r="AB55" s="75"/>
      <c r="AC55" s="71"/>
      <c r="AD55" s="67"/>
      <c r="AE55" s="73"/>
      <c r="AF55" s="71"/>
      <c r="AG55" s="67"/>
      <c r="AH55" s="73"/>
      <c r="AI55" s="71"/>
      <c r="AJ55" s="67"/>
      <c r="AK55" s="73"/>
      <c r="AL55" s="71"/>
      <c r="AM55" s="67"/>
      <c r="AN55" s="73"/>
      <c r="AO55" s="71"/>
      <c r="AP55" s="67"/>
      <c r="AQ55" s="73"/>
      <c r="AR55" s="71"/>
      <c r="AS55" s="67"/>
      <c r="AT55" s="73"/>
      <c r="AU55" s="71"/>
      <c r="AV55" s="67"/>
      <c r="AW55" s="73"/>
      <c r="AX55" s="71"/>
      <c r="AY55" s="67"/>
      <c r="AZ55" s="73"/>
      <c r="BA55" s="71"/>
      <c r="BB55" t="str">
        <f t="shared" si="4"/>
        <v>Christian Heritage Party</v>
      </c>
      <c r="BC55" s="79">
        <f>HowItWorks!J154</f>
        <v>0</v>
      </c>
    </row>
    <row r="56" spans="4:55" ht="15" x14ac:dyDescent="0.2">
      <c r="D56" s="519" t="s">
        <v>28</v>
      </c>
      <c r="E56" s="520">
        <v>9925</v>
      </c>
      <c r="F56" s="1116">
        <v>0</v>
      </c>
      <c r="G56" s="1117"/>
      <c r="H56" s="1118"/>
      <c r="I56" s="461">
        <f t="shared" si="2"/>
        <v>6.7407046192673452E-4</v>
      </c>
      <c r="J56" s="462">
        <f t="shared" si="3"/>
        <v>0</v>
      </c>
      <c r="L56" s="67"/>
      <c r="M56" s="73"/>
      <c r="N56" s="77"/>
      <c r="O56" s="67"/>
      <c r="P56" s="73"/>
      <c r="Q56" s="15"/>
      <c r="R56" s="67"/>
      <c r="S56" s="75"/>
      <c r="T56" s="71"/>
      <c r="U56" s="67"/>
      <c r="V56" s="75"/>
      <c r="W56" s="71"/>
      <c r="X56" s="67"/>
      <c r="Y56" s="75"/>
      <c r="Z56" s="71"/>
      <c r="AA56" s="67"/>
      <c r="AB56" s="75"/>
      <c r="AC56" s="71"/>
      <c r="AD56" s="67"/>
      <c r="AE56" s="73"/>
      <c r="AF56" s="71"/>
      <c r="AG56" s="67"/>
      <c r="AH56" s="73"/>
      <c r="AI56" s="71"/>
      <c r="AJ56" s="67"/>
      <c r="AK56" s="73"/>
      <c r="AL56" s="71"/>
      <c r="AM56" s="67"/>
      <c r="AN56" s="73"/>
      <c r="AO56" s="71"/>
      <c r="AP56" s="67"/>
      <c r="AQ56" s="73"/>
      <c r="AR56" s="71"/>
      <c r="AS56" s="67"/>
      <c r="AT56" s="73"/>
      <c r="AU56" s="71"/>
      <c r="AV56" s="67"/>
      <c r="AW56" s="73"/>
      <c r="AX56" s="71"/>
      <c r="AY56" s="67"/>
      <c r="AZ56" s="73"/>
      <c r="BA56" s="71"/>
      <c r="BB56" t="str">
        <f t="shared" si="4"/>
        <v>Marxist-Leninist Party</v>
      </c>
      <c r="BC56" s="79">
        <f>HowItWorks!J155</f>
        <v>0</v>
      </c>
    </row>
    <row r="57" spans="4:55" ht="15" x14ac:dyDescent="0.2">
      <c r="D57" s="519" t="s">
        <v>29</v>
      </c>
      <c r="E57" s="520">
        <v>5790</v>
      </c>
      <c r="F57" s="1116">
        <v>0</v>
      </c>
      <c r="G57" s="1117"/>
      <c r="H57" s="1118"/>
      <c r="I57" s="461">
        <f t="shared" si="2"/>
        <v>3.9323606796531918E-4</v>
      </c>
      <c r="J57" s="462">
        <f t="shared" si="3"/>
        <v>0</v>
      </c>
      <c r="L57" s="67">
        <f>1-SUM(L50:L54)</f>
        <v>3.0000000000000027E-3</v>
      </c>
      <c r="M57" s="73">
        <v>0</v>
      </c>
      <c r="N57" s="71">
        <f>L57*M$60</f>
        <v>2.1000000000000019E-2</v>
      </c>
      <c r="O57" s="67">
        <f>1-SUM(O50:O54)</f>
        <v>0</v>
      </c>
      <c r="P57" s="73">
        <v>0</v>
      </c>
      <c r="Q57" s="71">
        <f>O57*P$60</f>
        <v>0</v>
      </c>
      <c r="R57" s="67">
        <f>1-SUM(R50:R54)</f>
        <v>2.0000000000001128E-3</v>
      </c>
      <c r="S57" s="73">
        <v>0</v>
      </c>
      <c r="T57" s="71">
        <f>R57*S$60</f>
        <v>2.2000000000001241E-2</v>
      </c>
      <c r="U57" s="67">
        <f>1-SUM(U50:U54)</f>
        <v>6.0000000000000053E-3</v>
      </c>
      <c r="V57" s="73">
        <v>0</v>
      </c>
      <c r="W57" s="71">
        <f>U57*V$60</f>
        <v>6.0000000000000053E-2</v>
      </c>
      <c r="X57" s="67">
        <f>1-SUM(X50:X54)</f>
        <v>9.000000000000008E-3</v>
      </c>
      <c r="Y57" s="73">
        <v>0</v>
      </c>
      <c r="Z57" s="71">
        <f>X57*Y$60</f>
        <v>0.6750000000000006</v>
      </c>
      <c r="AA57" s="67">
        <f>1-SUM(AA50:AA54)</f>
        <v>8.999999999999897E-3</v>
      </c>
      <c r="AB57" s="73">
        <v>0</v>
      </c>
      <c r="AC57" s="71">
        <f>AA57*AB$60</f>
        <v>0.95399999999998908</v>
      </c>
      <c r="AD57" s="67">
        <f>1-SUM(AD50:AD54)</f>
        <v>4.9999999999998934E-3</v>
      </c>
      <c r="AE57" s="73">
        <v>0</v>
      </c>
      <c r="AF57" s="71">
        <f>AD57*AE$60</f>
        <v>6.9999999999998508E-2</v>
      </c>
      <c r="AG57" s="67">
        <f>1-SUM(AG50:AG54)</f>
        <v>3.0000000000001137E-3</v>
      </c>
      <c r="AH57" s="73">
        <v>0</v>
      </c>
      <c r="AI57" s="71">
        <f>AG57*AH$60</f>
        <v>4.2000000000001592E-2</v>
      </c>
      <c r="AJ57" s="67">
        <f>1-SUM(AJ50:AJ54)</f>
        <v>1.8999999999999906E-2</v>
      </c>
      <c r="AK57" s="73">
        <v>0</v>
      </c>
      <c r="AL57" s="71">
        <f>AJ57*AK$60</f>
        <v>0.53199999999999736</v>
      </c>
      <c r="AM57" s="67">
        <f>1-SUM(AM50:AM54)</f>
        <v>8.0000000000000071E-3</v>
      </c>
      <c r="AN57" s="73">
        <v>0</v>
      </c>
      <c r="AO57" s="71">
        <f>AM57*AN$60</f>
        <v>0.28800000000000026</v>
      </c>
      <c r="AP57" s="67">
        <f>1-SUM(AP50:AP54)</f>
        <v>0</v>
      </c>
      <c r="AQ57" s="73">
        <v>0</v>
      </c>
      <c r="AR57" s="71">
        <f>AP57*AQ$60</f>
        <v>0</v>
      </c>
      <c r="AS57" s="67">
        <f>1-SUM(AS50:AS54)</f>
        <v>5.9999999999998943E-3</v>
      </c>
      <c r="AT57" s="73">
        <v>0</v>
      </c>
      <c r="AU57" s="71">
        <f>AS57*AT$60</f>
        <v>5.9999999999998943E-3</v>
      </c>
      <c r="AV57" s="67">
        <f>1-SUM(AV50:AV54)</f>
        <v>0</v>
      </c>
      <c r="AW57" s="73">
        <v>0</v>
      </c>
      <c r="AX57" s="71">
        <f>AV57*AW$60</f>
        <v>0</v>
      </c>
      <c r="AY57" s="67">
        <f>1-SUM(AY50:AY54)</f>
        <v>1.5999999999999792E-2</v>
      </c>
      <c r="AZ57" s="73">
        <v>0</v>
      </c>
      <c r="BA57" s="71">
        <f>AY57*AZ$60</f>
        <v>4.927999999999936</v>
      </c>
      <c r="BB57" t="str">
        <f t="shared" si="4"/>
        <v>Progressive Canadian Party</v>
      </c>
      <c r="BC57" s="79">
        <f>HowItWorks!J156</f>
        <v>0</v>
      </c>
    </row>
    <row r="58" spans="4:55" ht="15" x14ac:dyDescent="0.2">
      <c r="D58" s="519" t="s">
        <v>30</v>
      </c>
      <c r="E58" s="520">
        <v>6002</v>
      </c>
      <c r="F58" s="1116">
        <v>0</v>
      </c>
      <c r="G58" s="1117"/>
      <c r="H58" s="1118"/>
      <c r="I58" s="461">
        <f t="shared" si="2"/>
        <v>4.076343488649129E-4</v>
      </c>
      <c r="J58" s="462">
        <f t="shared" si="3"/>
        <v>0</v>
      </c>
      <c r="L58" s="67"/>
      <c r="M58" s="73"/>
      <c r="N58" s="77"/>
      <c r="O58" s="67"/>
      <c r="P58" s="73"/>
      <c r="Q58" s="15"/>
      <c r="R58" s="67"/>
      <c r="S58" s="75"/>
      <c r="T58" s="71"/>
      <c r="U58" s="67"/>
      <c r="V58" s="75"/>
      <c r="W58" s="71"/>
      <c r="X58" s="67"/>
      <c r="Y58" s="75"/>
      <c r="Z58" s="71"/>
      <c r="AA58" s="67"/>
      <c r="AB58" s="75"/>
      <c r="AC58" s="71"/>
      <c r="AD58" s="67"/>
      <c r="AE58" s="73"/>
      <c r="AF58" s="71"/>
      <c r="AG58" s="67"/>
      <c r="AH58" s="73"/>
      <c r="AI58" s="71"/>
      <c r="AJ58" s="67"/>
      <c r="AK58" s="73"/>
      <c r="AL58" s="71"/>
      <c r="AM58" s="67"/>
      <c r="AN58" s="73"/>
      <c r="AO58" s="71"/>
      <c r="AP58" s="67"/>
      <c r="AQ58" s="73"/>
      <c r="AR58" s="71"/>
      <c r="AS58" s="67"/>
      <c r="AT58" s="73"/>
      <c r="AU58" s="71"/>
      <c r="AV58" s="67"/>
      <c r="AW58" s="73"/>
      <c r="AX58" s="71"/>
      <c r="AY58" s="67"/>
      <c r="AZ58" s="73"/>
      <c r="BA58" s="71"/>
      <c r="BB58" t="str">
        <f t="shared" si="4"/>
        <v>Libertarian Party</v>
      </c>
      <c r="BC58" s="79">
        <f>HowItWorks!J157</f>
        <v>0</v>
      </c>
    </row>
    <row r="59" spans="4:55" ht="15.75" thickBot="1" x14ac:dyDescent="0.25">
      <c r="D59" s="521" t="s">
        <v>17</v>
      </c>
      <c r="E59" s="489">
        <v>16215</v>
      </c>
      <c r="F59" s="1151"/>
      <c r="G59" s="1168"/>
      <c r="H59" s="1169"/>
      <c r="I59" s="463">
        <f t="shared" si="2"/>
        <v>1.1012647395609067E-3</v>
      </c>
      <c r="J59" s="464">
        <f t="shared" si="3"/>
        <v>0</v>
      </c>
      <c r="L59" s="67"/>
      <c r="M59" s="73"/>
      <c r="N59" s="77"/>
      <c r="O59" s="67"/>
      <c r="P59" s="73"/>
      <c r="Q59" s="15"/>
      <c r="R59" s="67"/>
      <c r="S59" s="75"/>
      <c r="T59" s="71"/>
      <c r="U59" s="67"/>
      <c r="V59" s="75"/>
      <c r="W59" s="71"/>
      <c r="X59" s="67"/>
      <c r="Y59" s="75"/>
      <c r="Z59" s="71"/>
      <c r="AA59" s="67"/>
      <c r="AB59" s="75"/>
      <c r="AC59" s="71"/>
      <c r="AD59" s="67"/>
      <c r="AE59" s="73"/>
      <c r="AF59" s="71"/>
      <c r="AG59" s="67"/>
      <c r="AH59" s="73"/>
      <c r="AI59" s="71"/>
      <c r="AJ59" s="67"/>
      <c r="AK59" s="73"/>
      <c r="AL59" s="71"/>
      <c r="AM59" s="67"/>
      <c r="AN59" s="73"/>
      <c r="AO59" s="71"/>
      <c r="AP59" s="67"/>
      <c r="AQ59" s="73"/>
      <c r="AR59" s="71"/>
      <c r="AS59" s="67"/>
      <c r="AT59" s="73"/>
      <c r="AU59" s="71"/>
      <c r="AV59" s="67"/>
      <c r="AW59" s="73"/>
      <c r="AX59" s="71"/>
      <c r="AY59" s="67"/>
      <c r="AZ59" s="73"/>
      <c r="BA59" s="71"/>
      <c r="BB59" t="str">
        <f t="shared" si="4"/>
        <v>Other parties</v>
      </c>
      <c r="BC59" s="79">
        <f>HowItWorks!J160</f>
        <v>0</v>
      </c>
    </row>
    <row r="60" spans="4:55" ht="16.5" thickTop="1" thickBot="1" x14ac:dyDescent="0.25">
      <c r="D60" s="471" t="s">
        <v>4</v>
      </c>
      <c r="E60" s="472">
        <f>SUM(E50:E59)</f>
        <v>14651119</v>
      </c>
      <c r="F60" s="1142">
        <f>SUM(F50:F59)</f>
        <v>308</v>
      </c>
      <c r="G60" s="1143"/>
      <c r="H60" s="1144"/>
      <c r="I60" s="517">
        <f>SUM(I50:I59)</f>
        <v>0.99505154177063548</v>
      </c>
      <c r="J60" s="517">
        <f>SUM(J50:J59)</f>
        <v>1</v>
      </c>
      <c r="L60" s="68">
        <f t="shared" ref="L60:BA60" si="5">SUM(L50:L59)</f>
        <v>1</v>
      </c>
      <c r="M60" s="74">
        <f t="shared" si="5"/>
        <v>7</v>
      </c>
      <c r="N60" s="72">
        <f t="shared" si="5"/>
        <v>7</v>
      </c>
      <c r="O60" s="68">
        <f t="shared" si="5"/>
        <v>1</v>
      </c>
      <c r="P60" s="74">
        <f t="shared" si="5"/>
        <v>4</v>
      </c>
      <c r="Q60" s="72">
        <f t="shared" si="5"/>
        <v>4</v>
      </c>
      <c r="R60" s="68">
        <f t="shared" si="5"/>
        <v>1</v>
      </c>
      <c r="S60" s="76">
        <f t="shared" si="5"/>
        <v>11</v>
      </c>
      <c r="T60" s="72">
        <f t="shared" si="5"/>
        <v>11.000000000000002</v>
      </c>
      <c r="U60" s="68">
        <f t="shared" si="5"/>
        <v>1</v>
      </c>
      <c r="V60" s="76">
        <f t="shared" si="5"/>
        <v>10</v>
      </c>
      <c r="W60" s="72">
        <f t="shared" si="5"/>
        <v>10.000000000000002</v>
      </c>
      <c r="X60" s="68">
        <f t="shared" si="5"/>
        <v>1</v>
      </c>
      <c r="Y60" s="76">
        <f t="shared" si="5"/>
        <v>75</v>
      </c>
      <c r="Z60" s="72">
        <f t="shared" si="5"/>
        <v>75</v>
      </c>
      <c r="AA60" s="68">
        <f t="shared" si="5"/>
        <v>1</v>
      </c>
      <c r="AB60" s="76">
        <f t="shared" si="5"/>
        <v>106</v>
      </c>
      <c r="AC60" s="72">
        <f t="shared" si="5"/>
        <v>106</v>
      </c>
      <c r="AD60" s="68">
        <f t="shared" si="5"/>
        <v>1</v>
      </c>
      <c r="AE60" s="74">
        <f t="shared" si="5"/>
        <v>14</v>
      </c>
      <c r="AF60" s="72">
        <f t="shared" si="5"/>
        <v>13.999999999999998</v>
      </c>
      <c r="AG60" s="68">
        <f t="shared" si="5"/>
        <v>1</v>
      </c>
      <c r="AH60" s="74">
        <f t="shared" si="5"/>
        <v>14</v>
      </c>
      <c r="AI60" s="72">
        <f t="shared" si="5"/>
        <v>14.000000000000002</v>
      </c>
      <c r="AJ60" s="68">
        <f t="shared" si="5"/>
        <v>1</v>
      </c>
      <c r="AK60" s="74">
        <f t="shared" si="5"/>
        <v>28</v>
      </c>
      <c r="AL60" s="72">
        <f t="shared" si="5"/>
        <v>27.999999999999996</v>
      </c>
      <c r="AM60" s="68">
        <f t="shared" si="5"/>
        <v>1</v>
      </c>
      <c r="AN60" s="74">
        <f t="shared" si="5"/>
        <v>36</v>
      </c>
      <c r="AO60" s="72">
        <f t="shared" si="5"/>
        <v>36</v>
      </c>
      <c r="AP60" s="68">
        <f t="shared" si="5"/>
        <v>1</v>
      </c>
      <c r="AQ60" s="74">
        <f t="shared" si="5"/>
        <v>1</v>
      </c>
      <c r="AR60" s="72">
        <f t="shared" si="5"/>
        <v>1</v>
      </c>
      <c r="AS60" s="68">
        <f t="shared" si="5"/>
        <v>1</v>
      </c>
      <c r="AT60" s="74">
        <f t="shared" si="5"/>
        <v>1</v>
      </c>
      <c r="AU60" s="72">
        <f t="shared" si="5"/>
        <v>1</v>
      </c>
      <c r="AV60" s="68">
        <f t="shared" si="5"/>
        <v>1</v>
      </c>
      <c r="AW60" s="74">
        <f t="shared" si="5"/>
        <v>1</v>
      </c>
      <c r="AX60" s="72">
        <f t="shared" si="5"/>
        <v>1</v>
      </c>
      <c r="AY60" s="68">
        <f t="shared" si="5"/>
        <v>1</v>
      </c>
      <c r="AZ60" s="74">
        <f t="shared" si="5"/>
        <v>308</v>
      </c>
      <c r="BA60" s="72">
        <f t="shared" si="5"/>
        <v>307.99999999999994</v>
      </c>
      <c r="BC60" s="80">
        <f>HowItWorks!J161</f>
        <v>18</v>
      </c>
    </row>
    <row r="61" spans="4:55" ht="17.25" thickTop="1" thickBot="1" x14ac:dyDescent="0.25">
      <c r="D61" s="455" t="s">
        <v>0</v>
      </c>
      <c r="E61" s="522">
        <v>72861</v>
      </c>
      <c r="F61" s="1133">
        <v>0</v>
      </c>
      <c r="G61" s="1134"/>
      <c r="H61" s="1135"/>
      <c r="I61" s="502">
        <f>E61/E$60</f>
        <v>4.9730672448978133E-3</v>
      </c>
      <c r="J61" s="504">
        <f>F61/F62</f>
        <v>0</v>
      </c>
      <c r="O61" s="65"/>
      <c r="P61" s="65"/>
    </row>
    <row r="62" spans="4:55" ht="16.5" thickTop="1" thickBot="1" x14ac:dyDescent="0.25">
      <c r="D62" s="17" t="s">
        <v>3</v>
      </c>
      <c r="E62" s="29">
        <f>E61+E60</f>
        <v>14723980</v>
      </c>
      <c r="F62" s="922">
        <f>F61+F60</f>
        <v>308</v>
      </c>
      <c r="G62" s="1162"/>
      <c r="H62" s="1163"/>
      <c r="I62" s="42">
        <f>I61+I60</f>
        <v>1.0000246090155334</v>
      </c>
      <c r="J62" s="44">
        <f>J61+J60</f>
        <v>1</v>
      </c>
      <c r="K62" s="48">
        <v>0.61099999999999999</v>
      </c>
      <c r="L62" s="4" t="s">
        <v>112</v>
      </c>
      <c r="M62" s="4"/>
    </row>
    <row r="63" spans="4:55" ht="13.5" thickTop="1" x14ac:dyDescent="0.2">
      <c r="K63" s="49">
        <f>I50*K62</f>
        <v>0.24214580364819838</v>
      </c>
      <c r="L63" s="4" t="s">
        <v>113</v>
      </c>
      <c r="M63" s="4"/>
    </row>
    <row r="64" spans="4:55" x14ac:dyDescent="0.2">
      <c r="K64" s="49"/>
      <c r="L64" s="4"/>
      <c r="M64" s="4"/>
    </row>
    <row r="65" spans="2:13" ht="13.5" thickBot="1" x14ac:dyDescent="0.25">
      <c r="D65" t="s">
        <v>36</v>
      </c>
      <c r="L65" s="4"/>
      <c r="M65" s="4"/>
    </row>
    <row r="66" spans="2:13" ht="18" customHeight="1" thickTop="1" thickBot="1" x14ac:dyDescent="0.25">
      <c r="D66" s="1249" t="s">
        <v>309</v>
      </c>
      <c r="E66" s="1207"/>
      <c r="F66" s="1208"/>
      <c r="G66" s="47"/>
      <c r="H66" s="47"/>
      <c r="I66" s="47"/>
      <c r="J66" s="47"/>
      <c r="L66" s="4"/>
      <c r="M66" s="4"/>
    </row>
    <row r="67" spans="2:13" ht="14.25" thickTop="1" thickBot="1" x14ac:dyDescent="0.25">
      <c r="L67" s="4"/>
      <c r="M67" s="4"/>
    </row>
    <row r="68" spans="2:13" ht="46.5" customHeight="1" thickTop="1" thickBot="1" x14ac:dyDescent="0.25">
      <c r="D68" s="455" t="s">
        <v>33</v>
      </c>
      <c r="E68" s="456" t="s">
        <v>13</v>
      </c>
      <c r="F68" s="998" t="s">
        <v>15</v>
      </c>
      <c r="G68" s="1111"/>
      <c r="H68" s="1112"/>
      <c r="I68" s="457" t="s">
        <v>72</v>
      </c>
      <c r="J68" s="458" t="s">
        <v>71</v>
      </c>
      <c r="L68" s="4"/>
      <c r="M68" s="4"/>
    </row>
    <row r="69" spans="2:13" ht="15.75" thickTop="1" x14ac:dyDescent="0.2">
      <c r="B69">
        <v>1</v>
      </c>
      <c r="D69" s="525" t="s">
        <v>105</v>
      </c>
      <c r="E69" s="524">
        <v>1509455</v>
      </c>
      <c r="F69" s="1209">
        <v>74</v>
      </c>
      <c r="G69" s="1107"/>
      <c r="H69" s="1108"/>
      <c r="I69" s="459">
        <f>E69/E81</f>
        <v>0.3742260516697748</v>
      </c>
      <c r="J69" s="460">
        <f>F69/F81</f>
        <v>0.59199999999999997</v>
      </c>
      <c r="K69" s="756" t="s">
        <v>406</v>
      </c>
      <c r="L69" s="4"/>
      <c r="M69" s="4"/>
    </row>
    <row r="70" spans="2:13" ht="15" x14ac:dyDescent="0.2">
      <c r="B70">
        <v>2</v>
      </c>
      <c r="D70" s="537" t="s">
        <v>318</v>
      </c>
      <c r="E70" s="526">
        <v>1001037</v>
      </c>
      <c r="F70" s="1201">
        <v>31</v>
      </c>
      <c r="G70" s="1202"/>
      <c r="H70" s="1203"/>
      <c r="I70" s="461">
        <f>E70/E81</f>
        <v>0.24817839822012339</v>
      </c>
      <c r="J70" s="462">
        <f>F70/F81</f>
        <v>0.248</v>
      </c>
      <c r="L70" s="4"/>
      <c r="M70" s="4"/>
    </row>
    <row r="71" spans="2:13" ht="15.75" thickBot="1" x14ac:dyDescent="0.25">
      <c r="B71">
        <v>3</v>
      </c>
      <c r="D71" s="525" t="s">
        <v>106</v>
      </c>
      <c r="E71" s="526">
        <v>649503</v>
      </c>
      <c r="F71" s="1201">
        <v>10</v>
      </c>
      <c r="G71" s="1202"/>
      <c r="H71" s="1203"/>
      <c r="I71" s="461">
        <f>E71/E81</f>
        <v>0.16102563060023234</v>
      </c>
      <c r="J71" s="462">
        <f>F71/F81</f>
        <v>0.08</v>
      </c>
      <c r="L71" s="4"/>
      <c r="M71" s="4"/>
    </row>
    <row r="72" spans="2:13" ht="15.75" thickTop="1" x14ac:dyDescent="0.2">
      <c r="B72">
        <v>4</v>
      </c>
      <c r="D72" s="523" t="s">
        <v>43</v>
      </c>
      <c r="E72" s="526">
        <v>687995</v>
      </c>
      <c r="F72" s="1201">
        <v>10</v>
      </c>
      <c r="G72" s="1202"/>
      <c r="H72" s="1203"/>
      <c r="I72" s="461">
        <f>E72/E81</f>
        <v>0.1705686174271818</v>
      </c>
      <c r="J72" s="462">
        <f>F72/F81</f>
        <v>0.08</v>
      </c>
      <c r="L72" s="4"/>
      <c r="M72" s="4"/>
    </row>
    <row r="73" spans="2:13" ht="15" x14ac:dyDescent="0.2">
      <c r="B73">
        <v>5</v>
      </c>
      <c r="D73" s="537" t="s">
        <v>32</v>
      </c>
      <c r="E73" s="526">
        <v>67870</v>
      </c>
      <c r="F73" s="1201">
        <v>0</v>
      </c>
      <c r="G73" s="1202"/>
      <c r="H73" s="1203"/>
      <c r="I73" s="461">
        <f>E73/E81</f>
        <v>1.6826418890810005E-2</v>
      </c>
      <c r="J73" s="462">
        <f>F73/F81</f>
        <v>0</v>
      </c>
      <c r="L73" s="4"/>
      <c r="M73" s="4"/>
    </row>
    <row r="74" spans="2:13" ht="15" x14ac:dyDescent="0.2">
      <c r="B74">
        <v>6</v>
      </c>
      <c r="D74" s="525" t="s">
        <v>109</v>
      </c>
      <c r="E74" s="526">
        <v>59055</v>
      </c>
      <c r="F74" s="1201">
        <v>0</v>
      </c>
      <c r="G74" s="1202"/>
      <c r="H74" s="1203"/>
      <c r="I74" s="461">
        <f>E74/E81</f>
        <v>1.4640992597565711E-2</v>
      </c>
      <c r="J74" s="462">
        <f>F74/F81</f>
        <v>0</v>
      </c>
      <c r="L74" s="4"/>
      <c r="M74" s="4"/>
    </row>
    <row r="75" spans="2:13" ht="15" x14ac:dyDescent="0.2">
      <c r="B75">
        <v>7</v>
      </c>
      <c r="D75" s="537" t="s">
        <v>99</v>
      </c>
      <c r="E75" s="526">
        <v>22863</v>
      </c>
      <c r="F75" s="1201">
        <v>0</v>
      </c>
      <c r="G75" s="1202"/>
      <c r="H75" s="1203"/>
      <c r="I75" s="461">
        <f>E75/E81</f>
        <v>5.6682247694207913E-3</v>
      </c>
      <c r="J75" s="462">
        <f>F75/F81</f>
        <v>0</v>
      </c>
      <c r="L75" s="4"/>
      <c r="M75" s="4"/>
    </row>
    <row r="76" spans="2:13" ht="15" x14ac:dyDescent="0.2">
      <c r="B76">
        <v>8</v>
      </c>
      <c r="D76" s="525"/>
      <c r="E76" s="526"/>
      <c r="F76" s="1201"/>
      <c r="G76" s="1202"/>
      <c r="H76" s="1203"/>
      <c r="I76" s="461">
        <f>E76/E81</f>
        <v>0</v>
      </c>
      <c r="J76" s="462">
        <f>F76/F81</f>
        <v>0</v>
      </c>
      <c r="L76" s="4"/>
      <c r="M76" s="4"/>
    </row>
    <row r="77" spans="2:13" ht="15" x14ac:dyDescent="0.2">
      <c r="B77">
        <v>9</v>
      </c>
      <c r="D77" s="525"/>
      <c r="E77" s="526"/>
      <c r="F77" s="1201"/>
      <c r="G77" s="1202"/>
      <c r="H77" s="1203"/>
      <c r="I77" s="461">
        <f>E77/E81</f>
        <v>0</v>
      </c>
      <c r="J77" s="462">
        <f>F77/F81</f>
        <v>0</v>
      </c>
      <c r="L77" s="4"/>
      <c r="M77" s="4"/>
    </row>
    <row r="78" spans="2:13" ht="15.75" thickBot="1" x14ac:dyDescent="0.25">
      <c r="B78">
        <v>10</v>
      </c>
      <c r="D78" s="527" t="s">
        <v>110</v>
      </c>
      <c r="E78" s="489">
        <v>29298</v>
      </c>
      <c r="F78" s="1151">
        <v>0</v>
      </c>
      <c r="G78" s="1168"/>
      <c r="H78" s="1169"/>
      <c r="I78" s="463">
        <f>E78/E81</f>
        <v>7.2635983595543165E-3</v>
      </c>
      <c r="J78" s="464">
        <f>F78/F81</f>
        <v>0</v>
      </c>
      <c r="L78" s="4"/>
      <c r="M78" s="4"/>
    </row>
    <row r="79" spans="2:13" ht="16.5" thickTop="1" thickBot="1" x14ac:dyDescent="0.25">
      <c r="B79">
        <v>11</v>
      </c>
      <c r="D79" s="471" t="s">
        <v>4</v>
      </c>
      <c r="E79" s="472">
        <f>SUM(E69:E78)</f>
        <v>4027076</v>
      </c>
      <c r="F79" s="1142">
        <f>SUM(F69:F78)</f>
        <v>125</v>
      </c>
      <c r="G79" s="1143"/>
      <c r="H79" s="1144"/>
      <c r="I79" s="474">
        <f>SUM(I69:I78)</f>
        <v>0.99839793253466314</v>
      </c>
      <c r="J79" s="474">
        <f>SUM(J69:J78)</f>
        <v>0.99999999999999989</v>
      </c>
      <c r="L79" s="4"/>
      <c r="M79" s="4"/>
    </row>
    <row r="80" spans="2:13" ht="17.25" thickTop="1" thickBot="1" x14ac:dyDescent="0.25">
      <c r="B80">
        <v>12</v>
      </c>
      <c r="D80" s="455" t="s">
        <v>0</v>
      </c>
      <c r="E80" s="522">
        <v>6462</v>
      </c>
      <c r="F80" s="1133">
        <v>0</v>
      </c>
      <c r="G80" s="1134"/>
      <c r="H80" s="1135"/>
      <c r="I80" s="507">
        <f>E80/E81</f>
        <v>1.6020674653368829E-3</v>
      </c>
      <c r="J80" s="508">
        <f>F80/F81</f>
        <v>0</v>
      </c>
      <c r="L80" s="4"/>
      <c r="M80" s="4"/>
    </row>
    <row r="81" spans="4:13" ht="16.5" thickTop="1" thickBot="1" x14ac:dyDescent="0.25">
      <c r="D81" s="471" t="s">
        <v>3</v>
      </c>
      <c r="E81" s="472">
        <f>E80+E79</f>
        <v>4033538</v>
      </c>
      <c r="F81" s="1142">
        <f>F80+F79</f>
        <v>125</v>
      </c>
      <c r="G81" s="1158"/>
      <c r="H81" s="1159"/>
      <c r="I81" s="506">
        <f>I80+I79</f>
        <v>1</v>
      </c>
      <c r="J81" s="506">
        <f>J80+J79</f>
        <v>0.99999999999999989</v>
      </c>
      <c r="L81" s="4"/>
      <c r="M81" s="4"/>
    </row>
    <row r="82" spans="4:13" ht="13.5" thickTop="1" x14ac:dyDescent="0.2">
      <c r="E82" s="21"/>
      <c r="L82" s="4"/>
      <c r="M82" s="4"/>
    </row>
    <row r="83" spans="4:13" x14ac:dyDescent="0.2">
      <c r="L83" s="31">
        <f>SUM(L50:L54)</f>
        <v>0.997</v>
      </c>
    </row>
    <row r="84" spans="4:13" ht="13.5" thickBot="1" x14ac:dyDescent="0.25">
      <c r="D84" t="s">
        <v>36</v>
      </c>
    </row>
    <row r="85" spans="4:13" ht="17.25" thickTop="1" thickBot="1" x14ac:dyDescent="0.25">
      <c r="D85" s="1180" t="s">
        <v>41</v>
      </c>
      <c r="E85" s="1181"/>
      <c r="F85" s="1182"/>
      <c r="G85" s="37"/>
      <c r="H85" s="37"/>
    </row>
    <row r="86" spans="4:13" ht="14.25" thickTop="1" thickBot="1" x14ac:dyDescent="0.25"/>
    <row r="87" spans="4:13" ht="46.5" thickTop="1" thickBot="1" x14ac:dyDescent="0.25">
      <c r="D87" s="455" t="s">
        <v>33</v>
      </c>
      <c r="E87" s="456" t="s">
        <v>13</v>
      </c>
      <c r="F87" s="1189" t="s">
        <v>15</v>
      </c>
      <c r="G87" s="1190"/>
      <c r="H87" s="1191"/>
      <c r="I87" s="515" t="s">
        <v>72</v>
      </c>
      <c r="J87" s="516" t="s">
        <v>18</v>
      </c>
    </row>
    <row r="88" spans="4:13" ht="15.75" thickTop="1" x14ac:dyDescent="0.2">
      <c r="D88" s="518" t="s">
        <v>37</v>
      </c>
      <c r="E88" s="488">
        <v>9524</v>
      </c>
      <c r="F88" s="1113">
        <v>0</v>
      </c>
      <c r="G88" s="1114"/>
      <c r="H88" s="1115"/>
      <c r="I88" s="459">
        <f>E88/E$100</f>
        <v>2.2064775545815917E-3</v>
      </c>
      <c r="J88" s="460">
        <f>F88/F$100</f>
        <v>0</v>
      </c>
    </row>
    <row r="89" spans="4:13" ht="15" x14ac:dyDescent="0.2">
      <c r="D89" s="519" t="s">
        <v>38</v>
      </c>
      <c r="E89" s="520">
        <v>9253</v>
      </c>
      <c r="F89" s="1116">
        <v>0</v>
      </c>
      <c r="G89" s="1117"/>
      <c r="H89" s="1118"/>
      <c r="I89" s="461">
        <f t="shared" ref="I89:I99" si="6">E89/E$100</f>
        <v>2.1436934914472352E-3</v>
      </c>
      <c r="J89" s="462">
        <f t="shared" ref="J89:J97" si="7">F89/F$100</f>
        <v>0</v>
      </c>
    </row>
    <row r="90" spans="4:13" ht="15" x14ac:dyDescent="0.2">
      <c r="D90" s="519" t="s">
        <v>32</v>
      </c>
      <c r="E90" s="520">
        <v>126021</v>
      </c>
      <c r="F90" s="1116">
        <v>0</v>
      </c>
      <c r="G90" s="1117"/>
      <c r="H90" s="1118"/>
      <c r="I90" s="461">
        <f t="shared" si="6"/>
        <v>2.91959794105341E-2</v>
      </c>
      <c r="J90" s="462">
        <f t="shared" si="7"/>
        <v>0</v>
      </c>
    </row>
    <row r="91" spans="4:13" ht="15" x14ac:dyDescent="0.2">
      <c r="D91" s="519" t="s">
        <v>30</v>
      </c>
      <c r="E91" s="520">
        <v>19447</v>
      </c>
      <c r="F91" s="1116">
        <v>0</v>
      </c>
      <c r="G91" s="1117"/>
      <c r="H91" s="1118"/>
      <c r="I91" s="461">
        <f t="shared" si="6"/>
        <v>4.5053936375418118E-3</v>
      </c>
      <c r="J91" s="462">
        <f t="shared" si="7"/>
        <v>0</v>
      </c>
    </row>
    <row r="92" spans="4:13" ht="15" x14ac:dyDescent="0.2">
      <c r="D92" s="519" t="s">
        <v>31</v>
      </c>
      <c r="E92" s="520">
        <v>981508</v>
      </c>
      <c r="F92" s="1116">
        <v>17</v>
      </c>
      <c r="G92" s="1117"/>
      <c r="H92" s="1118"/>
      <c r="I92" s="461">
        <f t="shared" si="6"/>
        <v>0.22739136619511433</v>
      </c>
      <c r="J92" s="462">
        <f t="shared" si="7"/>
        <v>0.15887850467289719</v>
      </c>
    </row>
    <row r="93" spans="4:13" ht="15" x14ac:dyDescent="0.2">
      <c r="D93" s="519" t="s">
        <v>39</v>
      </c>
      <c r="E93" s="520">
        <v>1625102</v>
      </c>
      <c r="F93" s="1116">
        <v>53</v>
      </c>
      <c r="G93" s="1117"/>
      <c r="H93" s="1118"/>
      <c r="I93" s="461">
        <f t="shared" si="6"/>
        <v>0.37649633419840967</v>
      </c>
      <c r="J93" s="462">
        <f t="shared" si="7"/>
        <v>0.49532710280373832</v>
      </c>
    </row>
    <row r="94" spans="4:13" ht="15" x14ac:dyDescent="0.2">
      <c r="D94" s="519" t="s">
        <v>40</v>
      </c>
      <c r="E94" s="520">
        <v>1530076</v>
      </c>
      <c r="F94" s="1116">
        <v>37</v>
      </c>
      <c r="G94" s="1117"/>
      <c r="H94" s="1118"/>
      <c r="I94" s="461">
        <f t="shared" si="6"/>
        <v>0.35448113721167401</v>
      </c>
      <c r="J94" s="462">
        <f t="shared" si="7"/>
        <v>0.34579439252336447</v>
      </c>
    </row>
    <row r="95" spans="4:13" ht="15" x14ac:dyDescent="0.2">
      <c r="D95" s="519" t="s">
        <v>17</v>
      </c>
      <c r="E95" s="520">
        <v>6430</v>
      </c>
      <c r="F95" s="1116">
        <v>0</v>
      </c>
      <c r="G95" s="1117"/>
      <c r="H95" s="1118"/>
      <c r="I95" s="461">
        <f t="shared" si="6"/>
        <v>1.4896735275052116E-3</v>
      </c>
      <c r="J95" s="462">
        <f t="shared" si="7"/>
        <v>0</v>
      </c>
    </row>
    <row r="96" spans="4:13" ht="15" x14ac:dyDescent="0.2">
      <c r="D96" s="519"/>
      <c r="E96" s="520"/>
      <c r="F96" s="1116">
        <v>0</v>
      </c>
      <c r="G96" s="1117"/>
      <c r="H96" s="1118"/>
      <c r="I96" s="461">
        <f t="shared" si="6"/>
        <v>0</v>
      </c>
      <c r="J96" s="462">
        <f t="shared" si="7"/>
        <v>0</v>
      </c>
    </row>
    <row r="97" spans="2:11" ht="15.75" thickBot="1" x14ac:dyDescent="0.25">
      <c r="D97" s="521"/>
      <c r="E97" s="489"/>
      <c r="F97" s="1119">
        <v>0</v>
      </c>
      <c r="G97" s="1192"/>
      <c r="H97" s="1193"/>
      <c r="I97" s="463">
        <f t="shared" si="6"/>
        <v>0</v>
      </c>
      <c r="J97" s="464">
        <f t="shared" si="7"/>
        <v>0</v>
      </c>
    </row>
    <row r="98" spans="2:11" ht="16.5" thickTop="1" thickBot="1" x14ac:dyDescent="0.25">
      <c r="D98" s="471" t="s">
        <v>4</v>
      </c>
      <c r="E98" s="472">
        <f>SUM(E88:E97)</f>
        <v>4307361</v>
      </c>
      <c r="F98" s="1142">
        <f>SUM(F88:F97)</f>
        <v>107</v>
      </c>
      <c r="G98" s="1158"/>
      <c r="H98" s="1159"/>
      <c r="I98" s="505">
        <f>SUM(I88:I97)</f>
        <v>0.99791005522680787</v>
      </c>
      <c r="J98" s="504">
        <f>F98/F100</f>
        <v>1</v>
      </c>
    </row>
    <row r="99" spans="2:11" ht="17.25" thickTop="1" thickBot="1" x14ac:dyDescent="0.25">
      <c r="D99" s="455" t="s">
        <v>0</v>
      </c>
      <c r="E99" s="522">
        <v>9021</v>
      </c>
      <c r="F99" s="1183">
        <v>0</v>
      </c>
      <c r="G99" s="1184"/>
      <c r="H99" s="1185"/>
      <c r="I99" s="505">
        <f t="shared" si="6"/>
        <v>2.0899447731919929E-3</v>
      </c>
      <c r="J99" s="507">
        <f>F99/F100</f>
        <v>0</v>
      </c>
    </row>
    <row r="100" spans="2:11" ht="16.5" thickTop="1" thickBot="1" x14ac:dyDescent="0.25">
      <c r="D100" s="471" t="s">
        <v>3</v>
      </c>
      <c r="E100" s="472">
        <f>E99+E98</f>
        <v>4316382</v>
      </c>
      <c r="F100" s="1186">
        <f>F99+F98</f>
        <v>107</v>
      </c>
      <c r="G100" s="1187"/>
      <c r="H100" s="1188"/>
      <c r="I100" s="517">
        <f>I99+I98</f>
        <v>0.99999999999999989</v>
      </c>
      <c r="J100" s="517">
        <f>J99+J98</f>
        <v>1</v>
      </c>
    </row>
    <row r="101" spans="2:11" ht="13.5" thickTop="1" x14ac:dyDescent="0.2">
      <c r="E101" s="21"/>
    </row>
    <row r="103" spans="2:11" ht="13.5" thickBot="1" x14ac:dyDescent="0.25">
      <c r="D103" t="s">
        <v>36</v>
      </c>
    </row>
    <row r="104" spans="2:11" ht="17.25" thickTop="1" thickBot="1" x14ac:dyDescent="0.25">
      <c r="D104" s="1180" t="s">
        <v>42</v>
      </c>
      <c r="E104" s="1245"/>
      <c r="F104" s="1246"/>
      <c r="G104" s="37"/>
      <c r="H104" s="37"/>
    </row>
    <row r="105" spans="2:11" ht="14.25" thickTop="1" thickBot="1" x14ac:dyDescent="0.25"/>
    <row r="106" spans="2:11" ht="46.5" thickTop="1" thickBot="1" x14ac:dyDescent="0.25">
      <c r="D106" s="455" t="s">
        <v>33</v>
      </c>
      <c r="E106" s="456" t="s">
        <v>13</v>
      </c>
      <c r="F106" s="998" t="s">
        <v>15</v>
      </c>
      <c r="G106" s="1111"/>
      <c r="H106" s="1112"/>
      <c r="I106" s="457" t="s">
        <v>72</v>
      </c>
      <c r="J106" s="458" t="s">
        <v>18</v>
      </c>
    </row>
    <row r="107" spans="2:11" ht="15.75" thickTop="1" x14ac:dyDescent="0.2">
      <c r="B107">
        <v>1</v>
      </c>
      <c r="D107" s="523" t="s">
        <v>43</v>
      </c>
      <c r="E107" s="528">
        <v>1393703</v>
      </c>
      <c r="F107" s="1148">
        <v>54</v>
      </c>
      <c r="G107" s="1149"/>
      <c r="H107" s="1150"/>
      <c r="I107" s="459">
        <f>E107/E$121</f>
        <v>0.31945970007481628</v>
      </c>
      <c r="J107" s="460">
        <f>F107/F$121</f>
        <v>0.432</v>
      </c>
      <c r="K107" s="12"/>
    </row>
    <row r="108" spans="2:11" ht="31.5" customHeight="1" x14ac:dyDescent="0.2">
      <c r="B108">
        <f>1+B107</f>
        <v>2</v>
      </c>
      <c r="D108" s="525" t="s">
        <v>44</v>
      </c>
      <c r="E108" s="529">
        <v>1360968</v>
      </c>
      <c r="F108" s="1136">
        <v>50</v>
      </c>
      <c r="G108" s="1137"/>
      <c r="H108" s="1138"/>
      <c r="I108" s="461">
        <f t="shared" ref="I108:I118" si="8">E108/E$121</f>
        <v>0.3119562985022078</v>
      </c>
      <c r="J108" s="462">
        <f t="shared" ref="J108:J118" si="9">F108/F$121</f>
        <v>0.4</v>
      </c>
      <c r="K108" s="12"/>
    </row>
    <row r="109" spans="2:11" ht="31.5" customHeight="1" x14ac:dyDescent="0.2">
      <c r="B109">
        <f t="shared" ref="B109:B118" si="10">1+B108</f>
        <v>3</v>
      </c>
      <c r="D109" s="525" t="s">
        <v>45</v>
      </c>
      <c r="E109" s="529">
        <v>1180235</v>
      </c>
      <c r="F109" s="1136">
        <v>19</v>
      </c>
      <c r="G109" s="1137"/>
      <c r="H109" s="1138"/>
      <c r="I109" s="461">
        <f t="shared" si="8"/>
        <v>0.27052931587131601</v>
      </c>
      <c r="J109" s="462">
        <f t="shared" si="9"/>
        <v>0.152</v>
      </c>
      <c r="K109" s="12"/>
    </row>
    <row r="110" spans="2:11" ht="15" x14ac:dyDescent="0.2">
      <c r="B110">
        <f t="shared" si="10"/>
        <v>4</v>
      </c>
      <c r="D110" s="525" t="s">
        <v>46</v>
      </c>
      <c r="E110" s="529">
        <v>263111</v>
      </c>
      <c r="F110" s="1136">
        <v>2</v>
      </c>
      <c r="G110" s="1137"/>
      <c r="H110" s="1138"/>
      <c r="I110" s="461">
        <f t="shared" si="8"/>
        <v>6.0309378071500871E-2</v>
      </c>
      <c r="J110" s="462">
        <f t="shared" si="9"/>
        <v>1.6E-2</v>
      </c>
      <c r="K110" s="12"/>
    </row>
    <row r="111" spans="2:11" ht="15" x14ac:dyDescent="0.2">
      <c r="B111">
        <f t="shared" si="10"/>
        <v>5</v>
      </c>
      <c r="D111" s="525" t="s">
        <v>47</v>
      </c>
      <c r="E111" s="529">
        <v>82539</v>
      </c>
      <c r="F111" s="1136">
        <v>0</v>
      </c>
      <c r="G111" s="1137"/>
      <c r="H111" s="1138"/>
      <c r="I111" s="461">
        <f t="shared" si="8"/>
        <v>1.8919299294379979E-2</v>
      </c>
      <c r="J111" s="462">
        <f t="shared" si="9"/>
        <v>0</v>
      </c>
      <c r="K111" s="12"/>
    </row>
    <row r="112" spans="2:11" ht="30.75" customHeight="1" x14ac:dyDescent="0.2">
      <c r="B112">
        <f t="shared" si="10"/>
        <v>6</v>
      </c>
      <c r="D112" s="525" t="s">
        <v>48</v>
      </c>
      <c r="E112" s="529">
        <v>43394</v>
      </c>
      <c r="F112" s="1136">
        <v>0</v>
      </c>
      <c r="G112" s="1137"/>
      <c r="H112" s="1138"/>
      <c r="I112" s="461">
        <f t="shared" si="8"/>
        <v>9.9466200654275538E-3</v>
      </c>
      <c r="J112" s="462">
        <f t="shared" si="9"/>
        <v>0</v>
      </c>
      <c r="K112" s="12"/>
    </row>
    <row r="113" spans="2:11" ht="30" x14ac:dyDescent="0.2">
      <c r="B113">
        <f t="shared" si="10"/>
        <v>7</v>
      </c>
      <c r="D113" s="525" t="s">
        <v>49</v>
      </c>
      <c r="E113" s="529">
        <v>7654</v>
      </c>
      <c r="F113" s="1136">
        <v>0</v>
      </c>
      <c r="G113" s="1137"/>
      <c r="H113" s="1138"/>
      <c r="I113" s="461">
        <f t="shared" si="8"/>
        <v>1.7544229612569131E-3</v>
      </c>
      <c r="J113" s="462">
        <f t="shared" si="9"/>
        <v>0</v>
      </c>
    </row>
    <row r="114" spans="2:11" ht="16.899999999999999" customHeight="1" x14ac:dyDescent="0.2">
      <c r="B114">
        <f t="shared" si="10"/>
        <v>8</v>
      </c>
      <c r="D114" s="525" t="s">
        <v>50</v>
      </c>
      <c r="E114" s="529">
        <v>5197</v>
      </c>
      <c r="F114" s="1136">
        <v>0</v>
      </c>
      <c r="G114" s="1137"/>
      <c r="H114" s="1138"/>
      <c r="I114" s="461">
        <f t="shared" si="8"/>
        <v>1.1912380624055628E-3</v>
      </c>
      <c r="J114" s="462">
        <f t="shared" si="9"/>
        <v>0</v>
      </c>
    </row>
    <row r="115" spans="2:11" ht="15" x14ac:dyDescent="0.2">
      <c r="B115">
        <f t="shared" si="10"/>
        <v>9</v>
      </c>
      <c r="D115" s="525" t="s">
        <v>51</v>
      </c>
      <c r="E115" s="529">
        <v>2743</v>
      </c>
      <c r="F115" s="1136">
        <v>0</v>
      </c>
      <c r="G115" s="1137"/>
      <c r="H115" s="1138"/>
      <c r="I115" s="461">
        <f t="shared" si="8"/>
        <v>6.2874081300335943E-4</v>
      </c>
      <c r="J115" s="462">
        <f t="shared" si="9"/>
        <v>0</v>
      </c>
    </row>
    <row r="116" spans="2:11" ht="15" x14ac:dyDescent="0.2">
      <c r="B116">
        <f t="shared" si="10"/>
        <v>10</v>
      </c>
      <c r="D116" s="519" t="s">
        <v>17</v>
      </c>
      <c r="E116" s="520">
        <v>11566</v>
      </c>
      <c r="F116" s="1116">
        <v>0</v>
      </c>
      <c r="G116" s="1117"/>
      <c r="H116" s="1118"/>
      <c r="I116" s="461">
        <f t="shared" ref="I116:I117" si="11">E116/E$121</f>
        <v>2.6511178429445333E-3</v>
      </c>
      <c r="J116" s="462">
        <f t="shared" ref="J116:J117" si="12">F116/F$121</f>
        <v>0</v>
      </c>
    </row>
    <row r="117" spans="2:11" ht="15" x14ac:dyDescent="0.2">
      <c r="B117">
        <f t="shared" si="10"/>
        <v>11</v>
      </c>
      <c r="D117" s="525"/>
      <c r="E117" s="529"/>
      <c r="F117" s="530"/>
      <c r="G117" s="531"/>
      <c r="H117" s="532"/>
      <c r="I117" s="461">
        <f t="shared" si="11"/>
        <v>0</v>
      </c>
      <c r="J117" s="462">
        <f t="shared" si="12"/>
        <v>0</v>
      </c>
    </row>
    <row r="118" spans="2:11" ht="15.75" thickBot="1" x14ac:dyDescent="0.25">
      <c r="B118">
        <f t="shared" si="10"/>
        <v>12</v>
      </c>
      <c r="D118" s="521"/>
      <c r="E118" s="489"/>
      <c r="F118" s="1151"/>
      <c r="G118" s="1168"/>
      <c r="H118" s="1169"/>
      <c r="I118" s="463">
        <f t="shared" si="8"/>
        <v>0</v>
      </c>
      <c r="J118" s="464">
        <f t="shared" si="9"/>
        <v>0</v>
      </c>
    </row>
    <row r="119" spans="2:11" ht="16.5" thickTop="1" thickBot="1" x14ac:dyDescent="0.25">
      <c r="D119" s="471" t="s">
        <v>4</v>
      </c>
      <c r="E119" s="472">
        <f>SUM(E107:E118)</f>
        <v>4351110</v>
      </c>
      <c r="F119" s="1142">
        <f>SUM(F107:F118)</f>
        <v>125</v>
      </c>
      <c r="G119" s="1143"/>
      <c r="H119" s="1144"/>
      <c r="I119" s="474">
        <f>SUM(I107:I118)</f>
        <v>0.99734613155925878</v>
      </c>
      <c r="J119" s="474">
        <f>SUM(J107:J118)</f>
        <v>1</v>
      </c>
      <c r="K119" s="31"/>
    </row>
    <row r="120" spans="2:11" ht="17.25" thickTop="1" thickBot="1" x14ac:dyDescent="0.25">
      <c r="D120" s="455" t="s">
        <v>0</v>
      </c>
      <c r="E120" s="522">
        <v>11578</v>
      </c>
      <c r="F120" s="1133">
        <v>0</v>
      </c>
      <c r="G120" s="1134"/>
      <c r="H120" s="1135"/>
      <c r="I120" s="507">
        <f>E120/E121</f>
        <v>2.6538684407411209E-3</v>
      </c>
      <c r="J120" s="508">
        <f>F120/F121</f>
        <v>0</v>
      </c>
    </row>
    <row r="121" spans="2:11" ht="16.5" thickTop="1" thickBot="1" x14ac:dyDescent="0.25">
      <c r="D121" s="17" t="s">
        <v>3</v>
      </c>
      <c r="E121" s="29">
        <v>4362688</v>
      </c>
      <c r="F121" s="922">
        <f>F120+F119</f>
        <v>125</v>
      </c>
      <c r="G121" s="1162"/>
      <c r="H121" s="1163"/>
      <c r="I121" s="43">
        <f>I120+I119</f>
        <v>0.99999999999999989</v>
      </c>
      <c r="J121" s="43">
        <f>J120+J119</f>
        <v>1</v>
      </c>
    </row>
    <row r="122" spans="2:11" ht="13.5" thickTop="1" x14ac:dyDescent="0.2">
      <c r="E122" s="21"/>
    </row>
    <row r="123" spans="2:11" x14ac:dyDescent="0.2">
      <c r="E123" s="21"/>
    </row>
    <row r="124" spans="2:11" ht="13.5" thickBot="1" x14ac:dyDescent="0.25">
      <c r="D124" t="s">
        <v>36</v>
      </c>
    </row>
    <row r="125" spans="2:11" ht="17.25" thickTop="1" thickBot="1" x14ac:dyDescent="0.25">
      <c r="D125" s="1180" t="s">
        <v>52</v>
      </c>
      <c r="E125" s="1181"/>
      <c r="F125" s="1182"/>
      <c r="G125" s="37"/>
      <c r="H125" s="37"/>
    </row>
    <row r="126" spans="2:11" ht="14.25" thickTop="1" thickBot="1" x14ac:dyDescent="0.25"/>
    <row r="127" spans="2:11" ht="46.5" thickTop="1" thickBot="1" x14ac:dyDescent="0.25">
      <c r="D127" s="455" t="s">
        <v>33</v>
      </c>
      <c r="E127" s="456" t="s">
        <v>13</v>
      </c>
      <c r="F127" s="998" t="s">
        <v>15</v>
      </c>
      <c r="G127" s="1111"/>
      <c r="H127" s="1112"/>
      <c r="I127" s="457" t="s">
        <v>72</v>
      </c>
      <c r="J127" s="458" t="s">
        <v>18</v>
      </c>
    </row>
    <row r="128" spans="2:11" ht="15.75" thickTop="1" x14ac:dyDescent="0.2">
      <c r="D128" s="518" t="s">
        <v>53</v>
      </c>
      <c r="E128" s="488">
        <v>127662</v>
      </c>
      <c r="F128" s="1148">
        <v>5</v>
      </c>
      <c r="G128" s="1149"/>
      <c r="H128" s="1150"/>
      <c r="I128" s="498">
        <f>E128/E$140</f>
        <v>9.8932497413582662E-2</v>
      </c>
      <c r="J128" s="460">
        <f>F128/F$140</f>
        <v>5.7471264367816091E-2</v>
      </c>
    </row>
    <row r="129" spans="4:11" ht="15" x14ac:dyDescent="0.2">
      <c r="D129" s="519" t="s">
        <v>54</v>
      </c>
      <c r="E129" s="520">
        <v>126742</v>
      </c>
      <c r="F129" s="1136">
        <v>4</v>
      </c>
      <c r="G129" s="1137"/>
      <c r="H129" s="1138"/>
      <c r="I129" s="499">
        <f t="shared" ref="I129:I139" si="13">E129/E$140</f>
        <v>9.8219537428461831E-2</v>
      </c>
      <c r="J129" s="462">
        <f t="shared" ref="J129:J137" si="14">F129/F$140</f>
        <v>4.5977011494252873E-2</v>
      </c>
    </row>
    <row r="130" spans="4:11" ht="15" x14ac:dyDescent="0.2">
      <c r="D130" s="519" t="s">
        <v>55</v>
      </c>
      <c r="E130" s="520">
        <v>17171</v>
      </c>
      <c r="F130" s="1136">
        <v>0</v>
      </c>
      <c r="G130" s="1137"/>
      <c r="H130" s="1138"/>
      <c r="I130" s="499">
        <f t="shared" si="13"/>
        <v>1.3306778157075934E-2</v>
      </c>
      <c r="J130" s="462">
        <f t="shared" si="14"/>
        <v>0</v>
      </c>
    </row>
    <row r="131" spans="4:11" ht="15" x14ac:dyDescent="0.2">
      <c r="D131" s="519" t="s">
        <v>56</v>
      </c>
      <c r="E131" s="520">
        <v>5079</v>
      </c>
      <c r="F131" s="1136">
        <v>0</v>
      </c>
      <c r="G131" s="1137"/>
      <c r="H131" s="1138"/>
      <c r="I131" s="499">
        <f t="shared" si="13"/>
        <v>3.936004091770349E-3</v>
      </c>
      <c r="J131" s="462">
        <f t="shared" si="14"/>
        <v>0</v>
      </c>
    </row>
    <row r="132" spans="4:11" ht="15" x14ac:dyDescent="0.2">
      <c r="D132" s="519" t="s">
        <v>57</v>
      </c>
      <c r="E132" s="520">
        <v>567191</v>
      </c>
      <c r="F132" s="1136">
        <v>61</v>
      </c>
      <c r="G132" s="1137"/>
      <c r="H132" s="1138"/>
      <c r="I132" s="499">
        <f t="shared" si="13"/>
        <v>0.43954835534855607</v>
      </c>
      <c r="J132" s="462">
        <f t="shared" si="14"/>
        <v>0.70114942528735635</v>
      </c>
      <c r="K132" s="756" t="s">
        <v>406</v>
      </c>
    </row>
    <row r="133" spans="4:11" ht="15" x14ac:dyDescent="0.2">
      <c r="D133" s="519" t="s">
        <v>58</v>
      </c>
      <c r="E133" s="520">
        <v>442467</v>
      </c>
      <c r="F133" s="1136">
        <v>17</v>
      </c>
      <c r="G133" s="1137"/>
      <c r="H133" s="1138"/>
      <c r="I133" s="499">
        <f t="shared" si="13"/>
        <v>0.34289268014832669</v>
      </c>
      <c r="J133" s="462">
        <f t="shared" si="14"/>
        <v>0.19540229885057472</v>
      </c>
      <c r="K133" s="756" t="s">
        <v>406</v>
      </c>
    </row>
    <row r="134" spans="4:11" ht="15" x14ac:dyDescent="0.2">
      <c r="D134" s="519" t="s">
        <v>59</v>
      </c>
      <c r="E134" s="520">
        <v>294</v>
      </c>
      <c r="F134" s="1136">
        <v>0</v>
      </c>
      <c r="G134" s="1137"/>
      <c r="H134" s="1138"/>
      <c r="I134" s="499">
        <f t="shared" si="13"/>
        <v>2.2783721263644078E-4</v>
      </c>
      <c r="J134" s="462">
        <f t="shared" si="14"/>
        <v>0</v>
      </c>
    </row>
    <row r="135" spans="4:11" ht="15" x14ac:dyDescent="0.2">
      <c r="D135" s="519" t="s">
        <v>60</v>
      </c>
      <c r="E135" s="520">
        <v>210</v>
      </c>
      <c r="F135" s="1136">
        <v>0</v>
      </c>
      <c r="G135" s="1137"/>
      <c r="H135" s="1138"/>
      <c r="I135" s="499">
        <f t="shared" si="13"/>
        <v>1.6274086616888627E-4</v>
      </c>
      <c r="J135" s="462">
        <f t="shared" si="14"/>
        <v>0</v>
      </c>
    </row>
    <row r="136" spans="4:11" ht="15" x14ac:dyDescent="0.2">
      <c r="D136" s="519" t="s">
        <v>61</v>
      </c>
      <c r="E136" s="520">
        <v>68</v>
      </c>
      <c r="F136" s="1136">
        <v>0</v>
      </c>
      <c r="G136" s="1137"/>
      <c r="H136" s="1138"/>
      <c r="I136" s="499">
        <f t="shared" si="13"/>
        <v>5.2697042378496505E-5</v>
      </c>
      <c r="J136" s="462">
        <f t="shared" si="14"/>
        <v>0</v>
      </c>
    </row>
    <row r="137" spans="4:11" ht="15.75" thickBot="1" x14ac:dyDescent="0.25">
      <c r="D137" s="521" t="s">
        <v>62</v>
      </c>
      <c r="E137" s="489">
        <v>0</v>
      </c>
      <c r="F137" s="1151">
        <v>0</v>
      </c>
      <c r="G137" s="1168"/>
      <c r="H137" s="1169"/>
      <c r="I137" s="500">
        <f t="shared" si="13"/>
        <v>0</v>
      </c>
      <c r="J137" s="464">
        <f t="shared" si="14"/>
        <v>0</v>
      </c>
    </row>
    <row r="138" spans="4:11" ht="16.5" thickTop="1" thickBot="1" x14ac:dyDescent="0.25">
      <c r="D138" s="471" t="s">
        <v>4</v>
      </c>
      <c r="E138" s="472">
        <f>SUM(E128:E137)</f>
        <v>1286884</v>
      </c>
      <c r="F138" s="1142">
        <f>SUM(F128:F137)</f>
        <v>87</v>
      </c>
      <c r="G138" s="1143"/>
      <c r="H138" s="1144"/>
      <c r="I138" s="501">
        <f>SUM(I128:I137)</f>
        <v>0.99727912770895744</v>
      </c>
      <c r="J138" s="474">
        <f>F138/F140</f>
        <v>1</v>
      </c>
    </row>
    <row r="139" spans="4:11" ht="17.25" thickTop="1" thickBot="1" x14ac:dyDescent="0.25">
      <c r="D139" s="455" t="s">
        <v>0</v>
      </c>
      <c r="E139" s="522">
        <v>3511</v>
      </c>
      <c r="F139" s="1133">
        <v>0</v>
      </c>
      <c r="G139" s="1134"/>
      <c r="H139" s="1135"/>
      <c r="I139" s="502">
        <f t="shared" si="13"/>
        <v>2.7208722910426653E-3</v>
      </c>
      <c r="J139" s="504">
        <f>F139/F$140</f>
        <v>0</v>
      </c>
    </row>
    <row r="140" spans="4:11" ht="16.5" thickTop="1" thickBot="1" x14ac:dyDescent="0.25">
      <c r="D140" s="471" t="s">
        <v>3</v>
      </c>
      <c r="E140" s="472">
        <v>1290395</v>
      </c>
      <c r="F140" s="1142">
        <f>F139+F138</f>
        <v>87</v>
      </c>
      <c r="G140" s="1158"/>
      <c r="H140" s="1159"/>
      <c r="I140" s="506">
        <f>I139+I138</f>
        <v>1</v>
      </c>
      <c r="J140" s="506">
        <f>J139+J138</f>
        <v>1</v>
      </c>
    </row>
    <row r="141" spans="4:11" ht="13.5" thickTop="1" x14ac:dyDescent="0.2">
      <c r="E141" s="21"/>
    </row>
    <row r="142" spans="4:11" x14ac:dyDescent="0.2">
      <c r="E142" s="21"/>
    </row>
    <row r="143" spans="4:11" ht="13.5" thickBot="1" x14ac:dyDescent="0.25">
      <c r="D143" t="s">
        <v>36</v>
      </c>
    </row>
    <row r="144" spans="4:11" ht="17.25" thickTop="1" thickBot="1" x14ac:dyDescent="0.25">
      <c r="D144" s="1180" t="s">
        <v>63</v>
      </c>
      <c r="E144" s="1181"/>
      <c r="F144" s="1182"/>
      <c r="G144" s="37"/>
      <c r="H144" s="37"/>
    </row>
    <row r="145" spans="2:11" ht="14.25" thickTop="1" thickBot="1" x14ac:dyDescent="0.25"/>
    <row r="146" spans="2:11" ht="46.5" thickTop="1" thickBot="1" x14ac:dyDescent="0.25">
      <c r="D146" s="455" t="s">
        <v>33</v>
      </c>
      <c r="E146" s="456" t="s">
        <v>13</v>
      </c>
      <c r="F146" s="998" t="s">
        <v>15</v>
      </c>
      <c r="G146" s="1111"/>
      <c r="H146" s="1112"/>
      <c r="I146" s="457" t="s">
        <v>72</v>
      </c>
      <c r="J146" s="458" t="s">
        <v>18</v>
      </c>
    </row>
    <row r="147" spans="2:11" ht="15.75" thickTop="1" x14ac:dyDescent="0.2">
      <c r="B147">
        <v>1</v>
      </c>
      <c r="D147" s="518" t="s">
        <v>24</v>
      </c>
      <c r="E147" s="488">
        <v>10703654</v>
      </c>
      <c r="F147" s="1148">
        <v>306</v>
      </c>
      <c r="G147" s="1149"/>
      <c r="H147" s="1150"/>
      <c r="I147" s="498">
        <f t="shared" ref="I147:I160" si="15">E147/E$163</f>
        <v>0.36054287169823473</v>
      </c>
      <c r="J147" s="460">
        <f t="shared" ref="J147:J160" si="16">F147/F$163</f>
        <v>0.47076923076923077</v>
      </c>
    </row>
    <row r="148" spans="2:11" ht="15" x14ac:dyDescent="0.2">
      <c r="B148">
        <f>1+B147</f>
        <v>2</v>
      </c>
      <c r="D148" s="519" t="s">
        <v>64</v>
      </c>
      <c r="E148" s="520">
        <v>8606517</v>
      </c>
      <c r="F148" s="1136">
        <v>258</v>
      </c>
      <c r="G148" s="1137"/>
      <c r="H148" s="1138"/>
      <c r="I148" s="499">
        <f t="shared" si="15"/>
        <v>0.28990271495133119</v>
      </c>
      <c r="J148" s="462">
        <f t="shared" si="16"/>
        <v>0.39692307692307693</v>
      </c>
    </row>
    <row r="149" spans="2:11" ht="15" x14ac:dyDescent="0.2">
      <c r="B149">
        <f t="shared" ref="B149:B160" si="17">1+B148</f>
        <v>3</v>
      </c>
      <c r="D149" s="519" t="s">
        <v>65</v>
      </c>
      <c r="E149" s="520">
        <v>6836248</v>
      </c>
      <c r="F149" s="1136">
        <v>57</v>
      </c>
      <c r="G149" s="1137"/>
      <c r="H149" s="1138"/>
      <c r="I149" s="499">
        <f t="shared" si="15"/>
        <v>0.23027281016009241</v>
      </c>
      <c r="J149" s="462">
        <f t="shared" si="16"/>
        <v>8.7692307692307694E-2</v>
      </c>
      <c r="K149" s="756" t="s">
        <v>406</v>
      </c>
    </row>
    <row r="150" spans="2:11" ht="15" x14ac:dyDescent="0.2">
      <c r="B150">
        <f t="shared" si="17"/>
        <v>4</v>
      </c>
      <c r="D150" s="519" t="s">
        <v>75</v>
      </c>
      <c r="E150" s="520">
        <v>919471</v>
      </c>
      <c r="F150" s="1136">
        <v>0</v>
      </c>
      <c r="G150" s="1137"/>
      <c r="H150" s="1138"/>
      <c r="I150" s="499">
        <f t="shared" si="15"/>
        <v>3.0971546238625386E-2</v>
      </c>
      <c r="J150" s="462">
        <f t="shared" si="16"/>
        <v>0</v>
      </c>
    </row>
    <row r="151" spans="2:11" ht="15" x14ac:dyDescent="0.2">
      <c r="B151">
        <f t="shared" si="17"/>
        <v>5</v>
      </c>
      <c r="D151" s="519" t="s">
        <v>77</v>
      </c>
      <c r="E151" s="520">
        <v>564321</v>
      </c>
      <c r="F151" s="1136">
        <v>0</v>
      </c>
      <c r="G151" s="1137"/>
      <c r="H151" s="1138"/>
      <c r="I151" s="499">
        <f t="shared" si="15"/>
        <v>1.9008640778151044E-2</v>
      </c>
      <c r="J151" s="462">
        <f t="shared" si="16"/>
        <v>0</v>
      </c>
    </row>
    <row r="152" spans="2:11" ht="15" x14ac:dyDescent="0.2">
      <c r="B152">
        <f t="shared" si="17"/>
        <v>6</v>
      </c>
      <c r="D152" s="519" t="s">
        <v>73</v>
      </c>
      <c r="E152" s="520">
        <v>491386</v>
      </c>
      <c r="F152" s="1136">
        <v>6</v>
      </c>
      <c r="G152" s="1137"/>
      <c r="H152" s="1138"/>
      <c r="I152" s="499">
        <f t="shared" si="15"/>
        <v>1.6551891489794864E-2</v>
      </c>
      <c r="J152" s="462">
        <f t="shared" si="16"/>
        <v>9.2307692307692316E-3</v>
      </c>
    </row>
    <row r="153" spans="2:11" ht="15" x14ac:dyDescent="0.2">
      <c r="B153">
        <f t="shared" si="17"/>
        <v>7</v>
      </c>
      <c r="D153" s="519" t="s">
        <v>32</v>
      </c>
      <c r="E153" s="520">
        <v>285612</v>
      </c>
      <c r="F153" s="1136">
        <v>1</v>
      </c>
      <c r="G153" s="1137"/>
      <c r="H153" s="1138"/>
      <c r="I153" s="499">
        <f t="shared" si="15"/>
        <v>9.6205810344277033E-3</v>
      </c>
      <c r="J153" s="462">
        <f t="shared" si="16"/>
        <v>1.5384615384615385E-3</v>
      </c>
    </row>
    <row r="154" spans="2:11" ht="15" x14ac:dyDescent="0.2">
      <c r="B154">
        <f t="shared" si="17"/>
        <v>8</v>
      </c>
      <c r="D154" s="519" t="s">
        <v>67</v>
      </c>
      <c r="E154" s="520">
        <v>171942</v>
      </c>
      <c r="F154" s="1136">
        <v>5</v>
      </c>
      <c r="G154" s="1137"/>
      <c r="H154" s="1138"/>
      <c r="I154" s="499">
        <f t="shared" si="15"/>
        <v>5.7917102370403485E-3</v>
      </c>
      <c r="J154" s="462">
        <f t="shared" si="16"/>
        <v>7.6923076923076927E-3</v>
      </c>
    </row>
    <row r="155" spans="2:11" ht="15" x14ac:dyDescent="0.2">
      <c r="B155">
        <f t="shared" si="17"/>
        <v>9</v>
      </c>
      <c r="D155" s="519" t="s">
        <v>66</v>
      </c>
      <c r="E155" s="520">
        <v>168216</v>
      </c>
      <c r="F155" s="1136">
        <v>8</v>
      </c>
      <c r="G155" s="1137"/>
      <c r="H155" s="1138"/>
      <c r="I155" s="499">
        <f t="shared" si="15"/>
        <v>5.6662033082898839E-3</v>
      </c>
      <c r="J155" s="462">
        <f t="shared" si="16"/>
        <v>1.2307692307692308E-2</v>
      </c>
    </row>
    <row r="156" spans="2:11" ht="15" x14ac:dyDescent="0.2">
      <c r="B156">
        <f t="shared" si="17"/>
        <v>10</v>
      </c>
      <c r="D156" s="519" t="s">
        <v>68</v>
      </c>
      <c r="E156" s="520">
        <v>110970</v>
      </c>
      <c r="F156" s="1116">
        <v>3</v>
      </c>
      <c r="G156" s="1117"/>
      <c r="H156" s="1118"/>
      <c r="I156" s="499">
        <f t="shared" si="15"/>
        <v>3.7379237475681768E-3</v>
      </c>
      <c r="J156" s="462">
        <f t="shared" si="16"/>
        <v>4.6153846153846158E-3</v>
      </c>
    </row>
    <row r="157" spans="2:11" ht="15" x14ac:dyDescent="0.2">
      <c r="B157">
        <f t="shared" si="17"/>
        <v>11</v>
      </c>
      <c r="D157" s="519" t="s">
        <v>76</v>
      </c>
      <c r="E157" s="520">
        <v>165394</v>
      </c>
      <c r="F157" s="1139">
        <v>0</v>
      </c>
      <c r="G157" s="1140"/>
      <c r="H157" s="1141"/>
      <c r="I157" s="511">
        <f t="shared" si="15"/>
        <v>5.5711467991825811E-3</v>
      </c>
      <c r="J157" s="512">
        <f t="shared" si="16"/>
        <v>0</v>
      </c>
    </row>
    <row r="158" spans="2:11" ht="15" x14ac:dyDescent="0.2">
      <c r="B158">
        <f t="shared" si="17"/>
        <v>12</v>
      </c>
      <c r="C158" s="59"/>
      <c r="D158" s="519" t="s">
        <v>74</v>
      </c>
      <c r="E158" s="520">
        <v>42762</v>
      </c>
      <c r="F158" s="1139">
        <v>4</v>
      </c>
      <c r="G158" s="1164"/>
      <c r="H158" s="1165"/>
      <c r="I158" s="499">
        <f t="shared" si="15"/>
        <v>1.4403991645806108E-3</v>
      </c>
      <c r="J158" s="462">
        <f t="shared" si="16"/>
        <v>6.1538461538461538E-3</v>
      </c>
    </row>
    <row r="159" spans="2:11" ht="15" x14ac:dyDescent="0.2">
      <c r="B159">
        <f t="shared" si="17"/>
        <v>13</v>
      </c>
      <c r="C159" s="59"/>
      <c r="D159" s="519" t="s">
        <v>81</v>
      </c>
      <c r="E159" s="520">
        <v>405288</v>
      </c>
      <c r="F159" s="1139">
        <v>0</v>
      </c>
      <c r="G159" s="1164"/>
      <c r="H159" s="1165"/>
      <c r="I159" s="513">
        <f t="shared" si="15"/>
        <v>1.3651758491523938E-2</v>
      </c>
      <c r="J159" s="513">
        <f t="shared" si="16"/>
        <v>0</v>
      </c>
    </row>
    <row r="160" spans="2:11" ht="15.75" thickBot="1" x14ac:dyDescent="0.25">
      <c r="B160">
        <f t="shared" si="17"/>
        <v>14</v>
      </c>
      <c r="D160" s="521" t="s">
        <v>69</v>
      </c>
      <c r="E160" s="489">
        <v>22860</v>
      </c>
      <c r="F160" s="1151">
        <v>1</v>
      </c>
      <c r="G160" s="1168"/>
      <c r="H160" s="1169"/>
      <c r="I160" s="500">
        <f t="shared" si="15"/>
        <v>7.7001835513569909E-4</v>
      </c>
      <c r="J160" s="464">
        <f t="shared" si="16"/>
        <v>1.5384615384615385E-3</v>
      </c>
    </row>
    <row r="161" spans="4:13" ht="16.5" thickTop="1" thickBot="1" x14ac:dyDescent="0.25">
      <c r="D161" s="471" t="s">
        <v>4</v>
      </c>
      <c r="E161" s="472">
        <f>SUM(E147:E160)</f>
        <v>29494641</v>
      </c>
      <c r="F161" s="1142">
        <f>SUM(F147:F160)</f>
        <v>649</v>
      </c>
      <c r="G161" s="1143"/>
      <c r="H161" s="1144"/>
      <c r="I161" s="501">
        <f>SUM(I147:I160)</f>
        <v>0.99350021645397868</v>
      </c>
      <c r="J161" s="473">
        <f>SUM(J147:J160)</f>
        <v>0.99846153846153851</v>
      </c>
    </row>
    <row r="162" spans="4:13" ht="17.25" thickTop="1" thickBot="1" x14ac:dyDescent="0.25">
      <c r="D162" s="455" t="s">
        <v>78</v>
      </c>
      <c r="E162" s="522">
        <f>175604+17359</f>
        <v>192963</v>
      </c>
      <c r="F162" s="1133">
        <v>1</v>
      </c>
      <c r="G162" s="1134"/>
      <c r="H162" s="1135"/>
      <c r="I162" s="502">
        <f>E162/E$163</f>
        <v>6.4997835460214306E-3</v>
      </c>
      <c r="J162" s="504">
        <f>F162/F163</f>
        <v>1.5384615384615385E-3</v>
      </c>
    </row>
    <row r="163" spans="4:13" ht="31.5" thickTop="1" thickBot="1" x14ac:dyDescent="0.25">
      <c r="D163" s="471" t="s">
        <v>70</v>
      </c>
      <c r="E163" s="472">
        <v>29687604</v>
      </c>
      <c r="F163" s="1142">
        <f>F162+F161</f>
        <v>650</v>
      </c>
      <c r="G163" s="1143"/>
      <c r="H163" s="1144"/>
      <c r="I163" s="514">
        <f>I162+I161</f>
        <v>1</v>
      </c>
      <c r="J163" s="514">
        <f>J162+J161</f>
        <v>1</v>
      </c>
      <c r="K163">
        <v>29687604</v>
      </c>
      <c r="L163" t="s">
        <v>80</v>
      </c>
    </row>
    <row r="164" spans="4:13" ht="13.5" thickTop="1" x14ac:dyDescent="0.2">
      <c r="D164" t="s">
        <v>79</v>
      </c>
      <c r="I164" s="21"/>
    </row>
    <row r="165" spans="4:13" x14ac:dyDescent="0.2">
      <c r="I165" s="21"/>
    </row>
    <row r="166" spans="4:13" ht="13.5" thickBot="1" x14ac:dyDescent="0.25">
      <c r="D166" t="s">
        <v>36</v>
      </c>
    </row>
    <row r="167" spans="4:13" ht="16.5" thickBot="1" x14ac:dyDescent="0.25">
      <c r="D167" s="1176" t="s">
        <v>84</v>
      </c>
      <c r="E167" s="1177"/>
      <c r="F167" s="1177"/>
      <c r="G167" s="1178"/>
      <c r="H167" s="1179"/>
    </row>
    <row r="168" spans="4:13" ht="13.5" thickBot="1" x14ac:dyDescent="0.25"/>
    <row r="169" spans="4:13" ht="46.5" customHeight="1" thickTop="1" thickBot="1" x14ac:dyDescent="0.25">
      <c r="D169" s="455" t="s">
        <v>33</v>
      </c>
      <c r="E169" s="456" t="s">
        <v>13</v>
      </c>
      <c r="F169" s="998" t="s">
        <v>15</v>
      </c>
      <c r="G169" s="1172"/>
      <c r="H169" s="1173"/>
      <c r="I169" s="457" t="s">
        <v>72</v>
      </c>
      <c r="J169" s="458" t="s">
        <v>71</v>
      </c>
      <c r="L169" s="150" t="s">
        <v>94</v>
      </c>
      <c r="M169" s="61"/>
    </row>
    <row r="170" spans="4:13" ht="15.75" thickTop="1" x14ac:dyDescent="0.2">
      <c r="D170" s="518" t="s">
        <v>85</v>
      </c>
      <c r="E170" s="488">
        <v>13856674</v>
      </c>
      <c r="F170" s="1113">
        <v>173</v>
      </c>
      <c r="G170" s="1174"/>
      <c r="H170" s="1175"/>
      <c r="I170" s="498">
        <f>E170/E$182</f>
        <v>0.31588426650982643</v>
      </c>
      <c r="J170" s="460">
        <f>F170/F$182</f>
        <v>0.57859531772575246</v>
      </c>
      <c r="K170" s="756" t="s">
        <v>406</v>
      </c>
      <c r="L170" s="118">
        <v>21</v>
      </c>
      <c r="M170" s="62"/>
    </row>
    <row r="171" spans="4:13" ht="15" x14ac:dyDescent="0.2">
      <c r="D171" s="519" t="s">
        <v>86</v>
      </c>
      <c r="E171" s="520">
        <v>12079758</v>
      </c>
      <c r="F171" s="1116">
        <v>64</v>
      </c>
      <c r="G171" s="1170"/>
      <c r="H171" s="1171"/>
      <c r="I171" s="499">
        <f t="shared" ref="I171:I179" si="18">E171/E$182</f>
        <v>0.27537672427353116</v>
      </c>
      <c r="J171" s="462">
        <f t="shared" ref="J171:J179" si="19">F171/F$182</f>
        <v>0.21404682274247491</v>
      </c>
      <c r="L171" s="118">
        <v>82</v>
      </c>
      <c r="M171" s="62"/>
    </row>
    <row r="172" spans="4:13" ht="15" x14ac:dyDescent="0.2">
      <c r="D172" s="519" t="s">
        <v>87</v>
      </c>
      <c r="E172" s="520">
        <v>4076498</v>
      </c>
      <c r="F172" s="1116">
        <v>0</v>
      </c>
      <c r="G172" s="1170"/>
      <c r="H172" s="1171"/>
      <c r="I172" s="499">
        <f t="shared" si="18"/>
        <v>9.2930062485324719E-2</v>
      </c>
      <c r="J172" s="462">
        <f t="shared" si="19"/>
        <v>0</v>
      </c>
      <c r="K172" s="756" t="s">
        <v>406</v>
      </c>
      <c r="L172" s="118">
        <v>93</v>
      </c>
      <c r="M172" s="62"/>
    </row>
    <row r="173" spans="4:13" ht="15" x14ac:dyDescent="0.2">
      <c r="D173" s="519" t="s">
        <v>88</v>
      </c>
      <c r="E173" s="520">
        <v>4791124</v>
      </c>
      <c r="F173" s="1116">
        <v>16</v>
      </c>
      <c r="G173" s="1170"/>
      <c r="H173" s="1171"/>
      <c r="I173" s="499">
        <f t="shared" si="18"/>
        <v>0.10922106491771588</v>
      </c>
      <c r="J173" s="462">
        <f t="shared" si="19"/>
        <v>5.3511705685618728E-2</v>
      </c>
      <c r="K173" s="756" t="s">
        <v>406</v>
      </c>
      <c r="L173" s="118">
        <v>60</v>
      </c>
      <c r="M173" s="62"/>
    </row>
    <row r="174" spans="4:13" ht="15" x14ac:dyDescent="0.2">
      <c r="D174" s="519" t="s">
        <v>89</v>
      </c>
      <c r="E174" s="520">
        <v>3977125</v>
      </c>
      <c r="F174" s="1116">
        <v>1</v>
      </c>
      <c r="G174" s="1170"/>
      <c r="H174" s="1171"/>
      <c r="I174" s="499">
        <f t="shared" si="18"/>
        <v>9.0664701604648665E-2</v>
      </c>
      <c r="J174" s="462">
        <f t="shared" si="19"/>
        <v>3.3444816053511705E-3</v>
      </c>
      <c r="L174" s="118">
        <v>67</v>
      </c>
      <c r="M174" s="62"/>
    </row>
    <row r="175" spans="4:13" ht="15" x14ac:dyDescent="0.2">
      <c r="D175" s="519" t="s">
        <v>90</v>
      </c>
      <c r="E175" s="520">
        <v>3191000</v>
      </c>
      <c r="F175" s="1116">
        <v>45</v>
      </c>
      <c r="G175" s="1170"/>
      <c r="H175" s="1171"/>
      <c r="I175" s="499">
        <f t="shared" si="18"/>
        <v>7.2743769134848396E-2</v>
      </c>
      <c r="J175" s="462">
        <f t="shared" si="19"/>
        <v>0.15050167224080269</v>
      </c>
      <c r="L175" s="118">
        <v>0</v>
      </c>
      <c r="M175" s="62"/>
    </row>
    <row r="176" spans="4:13" ht="15" x14ac:dyDescent="0.2">
      <c r="D176" s="519" t="s">
        <v>91</v>
      </c>
      <c r="E176" s="520">
        <v>768442</v>
      </c>
      <c r="F176" s="1116">
        <v>0</v>
      </c>
      <c r="G176" s="1170"/>
      <c r="H176" s="1171"/>
      <c r="I176" s="499">
        <f t="shared" si="18"/>
        <v>1.7517821197593597E-2</v>
      </c>
      <c r="J176" s="462">
        <f t="shared" si="19"/>
        <v>0</v>
      </c>
      <c r="L176" s="118">
        <v>0</v>
      </c>
      <c r="M176" s="62"/>
    </row>
    <row r="177" spans="3:13" ht="15" x14ac:dyDescent="0.2">
      <c r="D177" s="519" t="s">
        <v>92</v>
      </c>
      <c r="E177" s="520">
        <v>105653</v>
      </c>
      <c r="F177" s="1116">
        <v>0</v>
      </c>
      <c r="G177" s="1170"/>
      <c r="H177" s="1171"/>
      <c r="I177" s="499">
        <f t="shared" si="18"/>
        <v>2.4085231715462669E-3</v>
      </c>
      <c r="J177" s="462">
        <f t="shared" si="19"/>
        <v>0</v>
      </c>
      <c r="L177" s="118">
        <v>0</v>
      </c>
      <c r="M177" s="62"/>
    </row>
    <row r="178" spans="3:13" ht="15" x14ac:dyDescent="0.2">
      <c r="D178" s="519" t="s">
        <v>17</v>
      </c>
      <c r="E178" s="520">
        <v>262451</v>
      </c>
      <c r="F178" s="1116">
        <v>0</v>
      </c>
      <c r="G178" s="1170"/>
      <c r="H178" s="1171"/>
      <c r="I178" s="499">
        <f t="shared" si="18"/>
        <v>5.9829755415888733E-3</v>
      </c>
      <c r="J178" s="462">
        <f t="shared" si="19"/>
        <v>0</v>
      </c>
      <c r="L178" s="118">
        <v>0</v>
      </c>
      <c r="M178" s="62"/>
    </row>
    <row r="179" spans="3:13" ht="15.75" thickBot="1" x14ac:dyDescent="0.25">
      <c r="D179" s="521"/>
      <c r="E179" s="489"/>
      <c r="F179" s="1151">
        <v>0</v>
      </c>
      <c r="G179" s="1152"/>
      <c r="H179" s="1153"/>
      <c r="I179" s="500">
        <f t="shared" si="18"/>
        <v>0</v>
      </c>
      <c r="J179" s="464">
        <f t="shared" si="19"/>
        <v>0</v>
      </c>
      <c r="L179" s="118">
        <v>0</v>
      </c>
      <c r="M179" s="62"/>
    </row>
    <row r="180" spans="3:13" ht="16.5" thickTop="1" thickBot="1" x14ac:dyDescent="0.25">
      <c r="D180" s="471" t="s">
        <v>4</v>
      </c>
      <c r="E180" s="472">
        <f>SUM(E170:E179)</f>
        <v>43108725</v>
      </c>
      <c r="F180" s="1142">
        <f>SUM(F170:F179)</f>
        <v>299</v>
      </c>
      <c r="G180" s="1154"/>
      <c r="H180" s="1155"/>
      <c r="I180" s="501">
        <f>SUM(I170:I179)</f>
        <v>0.98272990883662403</v>
      </c>
      <c r="J180" s="474">
        <f>SUM(J170:J179)</f>
        <v>0.99999999999999989</v>
      </c>
      <c r="L180" s="118"/>
      <c r="M180" s="62"/>
    </row>
    <row r="181" spans="3:13" ht="17.25" thickTop="1" thickBot="1" x14ac:dyDescent="0.25">
      <c r="D181" s="455" t="s">
        <v>0</v>
      </c>
      <c r="E181" s="522">
        <v>757575</v>
      </c>
      <c r="F181" s="1133">
        <v>0</v>
      </c>
      <c r="G181" s="1156"/>
      <c r="H181" s="1157"/>
      <c r="I181" s="502">
        <f>E181/E$182</f>
        <v>1.7270091163375984E-2</v>
      </c>
      <c r="J181" s="504">
        <f>F181/F$182</f>
        <v>0</v>
      </c>
      <c r="L181" s="118">
        <v>0</v>
      </c>
      <c r="M181" s="62"/>
    </row>
    <row r="182" spans="3:13" ht="16.5" thickTop="1" thickBot="1" x14ac:dyDescent="0.25">
      <c r="D182" s="471" t="s">
        <v>3</v>
      </c>
      <c r="E182" s="472">
        <f>E181+E180</f>
        <v>43866300</v>
      </c>
      <c r="F182" s="1142">
        <f>F181+F180</f>
        <v>299</v>
      </c>
      <c r="G182" s="1158"/>
      <c r="H182" s="1159"/>
      <c r="I182" s="509">
        <f>I181+I180</f>
        <v>1</v>
      </c>
      <c r="J182" s="510">
        <f>J181+J180</f>
        <v>0.99999999999999989</v>
      </c>
      <c r="L182" s="118">
        <f>SUM(L170:L179)</f>
        <v>323</v>
      </c>
      <c r="M182" s="62"/>
    </row>
    <row r="183" spans="3:13" ht="13.5" thickTop="1" x14ac:dyDescent="0.2">
      <c r="D183" s="20" t="s">
        <v>93</v>
      </c>
      <c r="E183" s="46">
        <v>139275</v>
      </c>
      <c r="L183" s="63"/>
      <c r="M183" s="63"/>
    </row>
    <row r="184" spans="3:13" x14ac:dyDescent="0.2">
      <c r="L184" s="63"/>
      <c r="M184" s="63"/>
    </row>
    <row r="185" spans="3:13" ht="13.5" thickBot="1" x14ac:dyDescent="0.25">
      <c r="D185" t="s">
        <v>36</v>
      </c>
      <c r="L185" s="63"/>
      <c r="M185" s="63"/>
    </row>
    <row r="186" spans="3:13" ht="16.5" thickBot="1" x14ac:dyDescent="0.25">
      <c r="D186" s="1194" t="s">
        <v>95</v>
      </c>
      <c r="E186" s="1195"/>
      <c r="F186" s="1195"/>
      <c r="G186" s="1196"/>
      <c r="H186" s="1197"/>
      <c r="L186" s="63"/>
      <c r="M186" s="63"/>
    </row>
    <row r="187" spans="3:13" ht="13.5" thickBot="1" x14ac:dyDescent="0.25">
      <c r="L187" s="63"/>
      <c r="M187" s="63"/>
    </row>
    <row r="188" spans="3:13" ht="46.5" thickTop="1" thickBot="1" x14ac:dyDescent="0.25">
      <c r="D188" s="455" t="s">
        <v>33</v>
      </c>
      <c r="E188" s="456" t="s">
        <v>13</v>
      </c>
      <c r="F188" s="998" t="s">
        <v>15</v>
      </c>
      <c r="G188" s="1111"/>
      <c r="H188" s="1112"/>
      <c r="I188" s="457" t="s">
        <v>72</v>
      </c>
      <c r="J188" s="458" t="s">
        <v>71</v>
      </c>
      <c r="L188" s="150" t="s">
        <v>94</v>
      </c>
      <c r="M188" s="61"/>
    </row>
    <row r="189" spans="3:13" ht="15.75" thickTop="1" x14ac:dyDescent="0.2">
      <c r="C189" s="46">
        <v>1</v>
      </c>
      <c r="D189" s="518" t="s">
        <v>85</v>
      </c>
      <c r="E189" s="488">
        <v>16233642</v>
      </c>
      <c r="F189" s="1113">
        <v>191</v>
      </c>
      <c r="G189" s="1174"/>
      <c r="H189" s="1175"/>
      <c r="I189" s="459">
        <f>E189/E203</f>
        <v>0.37469420110429436</v>
      </c>
      <c r="J189" s="460">
        <f>F189/F203</f>
        <v>0.6387959866220736</v>
      </c>
      <c r="K189" s="756" t="s">
        <v>406</v>
      </c>
      <c r="L189" s="118">
        <v>64</v>
      </c>
      <c r="M189" s="62"/>
    </row>
    <row r="190" spans="3:13" ht="15" x14ac:dyDescent="0.2">
      <c r="C190" s="46">
        <f>1+C189</f>
        <v>2</v>
      </c>
      <c r="D190" s="519" t="s">
        <v>86</v>
      </c>
      <c r="E190" s="520">
        <v>12843458</v>
      </c>
      <c r="F190" s="1116">
        <v>58</v>
      </c>
      <c r="G190" s="1170"/>
      <c r="H190" s="1171"/>
      <c r="I190" s="461">
        <f>E190/E203</f>
        <v>0.29644421348743299</v>
      </c>
      <c r="J190" s="462">
        <f>F190/F203</f>
        <v>0.1939799331103679</v>
      </c>
      <c r="L190" s="118">
        <v>135</v>
      </c>
      <c r="M190" s="62"/>
    </row>
    <row r="191" spans="3:13" ht="15" x14ac:dyDescent="0.2">
      <c r="C191" s="46">
        <f t="shared" ref="C191:C200" si="20">1+C190</f>
        <v>3</v>
      </c>
      <c r="D191" s="519" t="s">
        <v>87</v>
      </c>
      <c r="E191" s="520">
        <v>1028645</v>
      </c>
      <c r="F191" s="1116">
        <v>0</v>
      </c>
      <c r="G191" s="1170"/>
      <c r="H191" s="1171"/>
      <c r="I191" s="461">
        <f>E191/E203</f>
        <v>2.3742504392725114E-2</v>
      </c>
      <c r="J191" s="462">
        <f>F191/F203</f>
        <v>0</v>
      </c>
      <c r="L191" s="118">
        <v>0</v>
      </c>
      <c r="M191" s="62"/>
    </row>
    <row r="192" spans="3:13" ht="15" x14ac:dyDescent="0.2">
      <c r="C192" s="46">
        <f t="shared" si="20"/>
        <v>4</v>
      </c>
      <c r="D192" s="519" t="s">
        <v>88</v>
      </c>
      <c r="E192" s="520">
        <v>3585178</v>
      </c>
      <c r="F192" s="1116">
        <v>4</v>
      </c>
      <c r="G192" s="1170"/>
      <c r="H192" s="1171"/>
      <c r="I192" s="461">
        <f>E192/E203</f>
        <v>8.2750710316680132E-2</v>
      </c>
      <c r="J192" s="462">
        <f>F192/F203</f>
        <v>1.3377926421404682E-2</v>
      </c>
      <c r="K192" s="756" t="s">
        <v>406</v>
      </c>
      <c r="L192" s="118">
        <v>60</v>
      </c>
      <c r="M192" s="62"/>
    </row>
    <row r="193" spans="3:13" ht="15" x14ac:dyDescent="0.2">
      <c r="C193" s="46">
        <f t="shared" si="20"/>
        <v>5</v>
      </c>
      <c r="D193" s="519" t="s">
        <v>89</v>
      </c>
      <c r="E193" s="520">
        <v>3180299</v>
      </c>
      <c r="F193" s="1116">
        <v>1</v>
      </c>
      <c r="G193" s="1170"/>
      <c r="H193" s="1171"/>
      <c r="I193" s="461">
        <f>E193/E203</f>
        <v>7.3405560691666497E-2</v>
      </c>
      <c r="J193" s="462">
        <f>F193/F203</f>
        <v>3.3444816053511705E-3</v>
      </c>
      <c r="K193" s="756" t="s">
        <v>406</v>
      </c>
      <c r="L193" s="118">
        <v>62</v>
      </c>
      <c r="M193" s="62"/>
    </row>
    <row r="194" spans="3:13" ht="15" x14ac:dyDescent="0.2">
      <c r="C194" s="46">
        <f t="shared" si="20"/>
        <v>6</v>
      </c>
      <c r="D194" s="519" t="s">
        <v>90</v>
      </c>
      <c r="E194" s="520">
        <v>3544079</v>
      </c>
      <c r="F194" s="1116">
        <v>45</v>
      </c>
      <c r="G194" s="1170"/>
      <c r="H194" s="1171"/>
      <c r="I194" s="461">
        <f>E194/E203</f>
        <v>8.1802090347656217E-2</v>
      </c>
      <c r="J194" s="462">
        <f>F194/F203</f>
        <v>0.15050167224080269</v>
      </c>
      <c r="L194" s="118">
        <v>11</v>
      </c>
      <c r="M194" s="62"/>
    </row>
    <row r="195" spans="3:13" ht="15" x14ac:dyDescent="0.2">
      <c r="C195" s="46">
        <f t="shared" si="20"/>
        <v>7</v>
      </c>
      <c r="D195" s="519" t="s">
        <v>91</v>
      </c>
      <c r="E195" s="520">
        <v>635135</v>
      </c>
      <c r="F195" s="1116">
        <v>0</v>
      </c>
      <c r="G195" s="1170"/>
      <c r="H195" s="1171"/>
      <c r="I195" s="461">
        <f>E195/E203</f>
        <v>1.4659766515633152E-2</v>
      </c>
      <c r="J195" s="462">
        <f>F195/F203</f>
        <v>0</v>
      </c>
      <c r="L195" s="118">
        <v>0</v>
      </c>
      <c r="M195" s="62"/>
    </row>
    <row r="196" spans="3:13" ht="15" x14ac:dyDescent="0.2">
      <c r="C196" s="46">
        <f t="shared" si="20"/>
        <v>8</v>
      </c>
      <c r="D196" s="519" t="s">
        <v>96</v>
      </c>
      <c r="E196" s="520">
        <v>963623</v>
      </c>
      <c r="F196" s="1116">
        <v>0</v>
      </c>
      <c r="G196" s="1170"/>
      <c r="H196" s="1171"/>
      <c r="I196" s="461">
        <f>E196/E203</f>
        <v>2.2241709540639337E-2</v>
      </c>
      <c r="J196" s="462">
        <f>F196/F203</f>
        <v>0</v>
      </c>
      <c r="L196" s="118">
        <v>0</v>
      </c>
      <c r="M196" s="62"/>
    </row>
    <row r="197" spans="3:13" ht="15" x14ac:dyDescent="0.2">
      <c r="C197" s="46">
        <f t="shared" si="20"/>
        <v>9</v>
      </c>
      <c r="D197" s="519" t="s">
        <v>97</v>
      </c>
      <c r="E197" s="520">
        <v>810915</v>
      </c>
      <c r="F197" s="1116">
        <v>0</v>
      </c>
      <c r="G197" s="1170"/>
      <c r="H197" s="1171"/>
      <c r="I197" s="461">
        <f>E197/E$203</f>
        <v>1.8717004359741878E-2</v>
      </c>
      <c r="J197" s="462">
        <f>F197/F$203</f>
        <v>0</v>
      </c>
      <c r="L197" s="118">
        <v>0</v>
      </c>
      <c r="M197" s="62"/>
    </row>
    <row r="198" spans="3:13" ht="15" x14ac:dyDescent="0.2">
      <c r="C198" s="46">
        <f t="shared" si="20"/>
        <v>10</v>
      </c>
      <c r="D198" s="519"/>
      <c r="E198" s="520"/>
      <c r="F198" s="1116">
        <v>0</v>
      </c>
      <c r="G198" s="1170"/>
      <c r="H198" s="1171"/>
      <c r="I198" s="461">
        <f t="shared" ref="I198:I200" si="21">E198/E$203</f>
        <v>0</v>
      </c>
      <c r="J198" s="462">
        <f t="shared" ref="J198:J200" si="22">F198/F$203</f>
        <v>0</v>
      </c>
      <c r="L198" s="118"/>
      <c r="M198" s="62"/>
    </row>
    <row r="199" spans="3:13" ht="15" x14ac:dyDescent="0.2">
      <c r="C199" s="46">
        <f t="shared" si="20"/>
        <v>11</v>
      </c>
      <c r="D199" s="519"/>
      <c r="E199" s="520"/>
      <c r="F199" s="1116">
        <v>0</v>
      </c>
      <c r="G199" s="1170"/>
      <c r="H199" s="1171"/>
      <c r="I199" s="461">
        <f t="shared" si="21"/>
        <v>0</v>
      </c>
      <c r="J199" s="462">
        <f t="shared" si="22"/>
        <v>0</v>
      </c>
      <c r="L199" s="118"/>
      <c r="M199" s="62"/>
    </row>
    <row r="200" spans="3:13" ht="15.75" thickBot="1" x14ac:dyDescent="0.25">
      <c r="C200" s="46">
        <f t="shared" si="20"/>
        <v>12</v>
      </c>
      <c r="D200" s="521" t="s">
        <v>98</v>
      </c>
      <c r="E200" s="489">
        <v>368195</v>
      </c>
      <c r="F200" s="1151">
        <v>0</v>
      </c>
      <c r="G200" s="1152"/>
      <c r="H200" s="1153"/>
      <c r="I200" s="463">
        <f t="shared" si="21"/>
        <v>8.4984337695506451E-3</v>
      </c>
      <c r="J200" s="464">
        <f t="shared" si="22"/>
        <v>0</v>
      </c>
      <c r="L200" s="118">
        <v>0</v>
      </c>
      <c r="M200" s="62"/>
    </row>
    <row r="201" spans="3:13" ht="16.5" thickTop="1" thickBot="1" x14ac:dyDescent="0.25">
      <c r="D201" s="471" t="s">
        <v>4</v>
      </c>
      <c r="E201" s="472">
        <f>SUM(E189:E200)</f>
        <v>43193169</v>
      </c>
      <c r="F201" s="1142">
        <f>SUM(F189:F200)</f>
        <v>299</v>
      </c>
      <c r="G201" s="1143"/>
      <c r="H201" s="1144"/>
      <c r="I201" s="474">
        <f>SUM(I189:I200)</f>
        <v>0.99695619452602025</v>
      </c>
      <c r="J201" s="474">
        <f>SUM(J189:J200)</f>
        <v>1</v>
      </c>
      <c r="L201" s="118"/>
      <c r="M201" s="62"/>
    </row>
    <row r="202" spans="3:13" ht="17.25" thickTop="1" thickBot="1" x14ac:dyDescent="0.25">
      <c r="D202" s="455" t="s">
        <v>0</v>
      </c>
      <c r="E202" s="522">
        <v>131873</v>
      </c>
      <c r="F202" s="1133">
        <v>0</v>
      </c>
      <c r="G202" s="1134"/>
      <c r="H202" s="1135"/>
      <c r="I202" s="507">
        <f>E202/E203</f>
        <v>3.0438054739796907E-3</v>
      </c>
      <c r="J202" s="508">
        <f>F202/F203</f>
        <v>0</v>
      </c>
      <c r="L202" s="118">
        <v>0</v>
      </c>
      <c r="M202" s="62"/>
    </row>
    <row r="203" spans="3:13" ht="16.5" thickTop="1" thickBot="1" x14ac:dyDescent="0.25">
      <c r="D203" s="17" t="s">
        <v>3</v>
      </c>
      <c r="E203" s="29">
        <f>E202+E201</f>
        <v>43325042</v>
      </c>
      <c r="F203" s="922">
        <f>F202+F201</f>
        <v>299</v>
      </c>
      <c r="G203" s="1162"/>
      <c r="H203" s="1163"/>
      <c r="I203" s="43">
        <f>I202+I201</f>
        <v>0.99999999999999989</v>
      </c>
      <c r="J203" s="43">
        <f>J202+J201</f>
        <v>1</v>
      </c>
      <c r="L203" s="118">
        <f>SUM(L189:L202)</f>
        <v>332</v>
      </c>
      <c r="M203" s="62"/>
    </row>
    <row r="204" spans="3:13" ht="13.5" thickTop="1" x14ac:dyDescent="0.2">
      <c r="D204" s="117" t="s">
        <v>161</v>
      </c>
    </row>
    <row r="205" spans="3:13" x14ac:dyDescent="0.2">
      <c r="D205" s="117"/>
    </row>
    <row r="207" spans="3:13" ht="13.5" thickBot="1" x14ac:dyDescent="0.25">
      <c r="D207" t="s">
        <v>36</v>
      </c>
    </row>
    <row r="208" spans="3:13" ht="17.25" thickTop="1" thickBot="1" x14ac:dyDescent="0.25">
      <c r="D208" s="1180" t="s">
        <v>101</v>
      </c>
      <c r="E208" s="1181"/>
      <c r="F208" s="1182"/>
      <c r="G208" s="37"/>
      <c r="H208" s="37"/>
    </row>
    <row r="209" spans="4:16" ht="14.25" thickTop="1" thickBot="1" x14ac:dyDescent="0.25"/>
    <row r="210" spans="4:16" ht="46.5" thickTop="1" thickBot="1" x14ac:dyDescent="0.25">
      <c r="D210" s="455" t="s">
        <v>33</v>
      </c>
      <c r="E210" s="456" t="s">
        <v>13</v>
      </c>
      <c r="F210" s="998" t="s">
        <v>15</v>
      </c>
      <c r="G210" s="1111"/>
      <c r="H210" s="1112"/>
      <c r="I210" s="457" t="s">
        <v>72</v>
      </c>
      <c r="J210" s="458" t="s">
        <v>71</v>
      </c>
    </row>
    <row r="211" spans="4:16" ht="15.75" thickTop="1" x14ac:dyDescent="0.2">
      <c r="D211" s="518" t="s">
        <v>25</v>
      </c>
      <c r="E211" s="488">
        <v>795943</v>
      </c>
      <c r="F211" s="1113">
        <v>49</v>
      </c>
      <c r="G211" s="1198"/>
      <c r="H211" s="1199"/>
      <c r="I211" s="459">
        <f>E211/E223</f>
        <v>0.44143741427819538</v>
      </c>
      <c r="J211" s="460">
        <f>F211/F223</f>
        <v>0.57647058823529407</v>
      </c>
    </row>
    <row r="212" spans="4:16" ht="15" x14ac:dyDescent="0.2">
      <c r="D212" s="519" t="s">
        <v>99</v>
      </c>
      <c r="E212" s="520">
        <v>716018</v>
      </c>
      <c r="F212" s="1116">
        <v>34</v>
      </c>
      <c r="G212" s="1166"/>
      <c r="H212" s="1167"/>
      <c r="I212" s="461">
        <f>E212/E223</f>
        <v>0.39711026354480772</v>
      </c>
      <c r="J212" s="462">
        <f>F212/F223</f>
        <v>0.4</v>
      </c>
    </row>
    <row r="213" spans="4:16" ht="15" x14ac:dyDescent="0.2">
      <c r="D213" s="519" t="s">
        <v>32</v>
      </c>
      <c r="E213" s="520">
        <v>146608</v>
      </c>
      <c r="F213" s="1116">
        <v>1</v>
      </c>
      <c r="G213" s="1117"/>
      <c r="H213" s="1118"/>
      <c r="I213" s="461">
        <f>E213/E223</f>
        <v>8.1310164713425045E-2</v>
      </c>
      <c r="J213" s="462">
        <f>F213/F223</f>
        <v>1.1764705882352941E-2</v>
      </c>
      <c r="K213" s="756" t="s">
        <v>406</v>
      </c>
    </row>
    <row r="214" spans="4:16" ht="15" x14ac:dyDescent="0.2">
      <c r="D214" s="519" t="s">
        <v>100</v>
      </c>
      <c r="E214" s="520">
        <v>85784</v>
      </c>
      <c r="F214" s="1116">
        <v>0</v>
      </c>
      <c r="G214" s="1117"/>
      <c r="H214" s="1118"/>
      <c r="I214" s="461">
        <f>E214/E223</f>
        <v>4.7576606800286844E-2</v>
      </c>
      <c r="J214" s="462">
        <f>F214/F223</f>
        <v>0</v>
      </c>
    </row>
    <row r="215" spans="4:16" ht="15" x14ac:dyDescent="0.2">
      <c r="D215" s="519" t="s">
        <v>30</v>
      </c>
      <c r="E215" s="520">
        <v>2049</v>
      </c>
      <c r="F215" s="1116">
        <v>0</v>
      </c>
      <c r="G215" s="1164"/>
      <c r="H215" s="1165"/>
      <c r="I215" s="461">
        <f>E215/E223</f>
        <v>1.1363945180195344E-3</v>
      </c>
      <c r="J215" s="462">
        <f>F215/F223</f>
        <v>0</v>
      </c>
    </row>
    <row r="216" spans="4:16" ht="15" x14ac:dyDescent="0.2">
      <c r="D216" s="519" t="s">
        <v>17</v>
      </c>
      <c r="E216" s="520">
        <f>56669-11376</f>
        <v>45293</v>
      </c>
      <c r="F216" s="1116">
        <v>0</v>
      </c>
      <c r="G216" s="1164"/>
      <c r="H216" s="1165"/>
      <c r="I216" s="461">
        <f>E216/E223</f>
        <v>2.5119920402468899E-2</v>
      </c>
      <c r="J216" s="462">
        <f>F216/F223</f>
        <v>0</v>
      </c>
      <c r="L216" s="1219" t="s">
        <v>102</v>
      </c>
      <c r="M216" s="1219"/>
      <c r="N216" s="976"/>
      <c r="O216" s="976"/>
      <c r="P216" s="12"/>
    </row>
    <row r="217" spans="4:16" ht="15" x14ac:dyDescent="0.2">
      <c r="D217" s="519" t="s">
        <v>1</v>
      </c>
      <c r="E217" s="520"/>
      <c r="F217" s="1116">
        <v>0</v>
      </c>
      <c r="G217" s="1164"/>
      <c r="H217" s="1165"/>
      <c r="I217" s="461">
        <f>E217/E223</f>
        <v>0</v>
      </c>
      <c r="J217" s="462">
        <f>F217/F223</f>
        <v>0</v>
      </c>
      <c r="L217" s="976"/>
      <c r="M217" s="976"/>
      <c r="N217" s="976"/>
      <c r="O217" s="976"/>
      <c r="P217" s="12"/>
    </row>
    <row r="218" spans="4:16" ht="15" x14ac:dyDescent="0.2">
      <c r="D218" s="519" t="s">
        <v>1</v>
      </c>
      <c r="E218" s="520"/>
      <c r="F218" s="1116">
        <v>0</v>
      </c>
      <c r="G218" s="1164"/>
      <c r="H218" s="1165"/>
      <c r="I218" s="461">
        <f>E218/E223</f>
        <v>0</v>
      </c>
      <c r="J218" s="462">
        <f>F218/F223</f>
        <v>0</v>
      </c>
      <c r="L218" s="976"/>
      <c r="M218" s="976"/>
      <c r="N218" s="976"/>
      <c r="O218" s="976"/>
      <c r="P218" s="12"/>
    </row>
    <row r="219" spans="4:16" ht="15" x14ac:dyDescent="0.2">
      <c r="D219" s="519" t="s">
        <v>1</v>
      </c>
      <c r="E219" s="520"/>
      <c r="F219" s="1116">
        <v>0</v>
      </c>
      <c r="G219" s="1166"/>
      <c r="H219" s="1167"/>
      <c r="I219" s="461">
        <f>E219/E223</f>
        <v>0</v>
      </c>
      <c r="J219" s="462">
        <f>F219/F223</f>
        <v>0</v>
      </c>
    </row>
    <row r="220" spans="4:16" ht="15.75" thickBot="1" x14ac:dyDescent="0.25">
      <c r="D220" s="521" t="s">
        <v>1</v>
      </c>
      <c r="E220" s="489"/>
      <c r="F220" s="1151"/>
      <c r="G220" s="1168"/>
      <c r="H220" s="1169"/>
      <c r="I220" s="463">
        <f>E220/E223</f>
        <v>0</v>
      </c>
      <c r="J220" s="464">
        <f>F220/F223</f>
        <v>0</v>
      </c>
    </row>
    <row r="221" spans="4:16" ht="16.5" thickTop="1" thickBot="1" x14ac:dyDescent="0.25">
      <c r="D221" s="471" t="s">
        <v>4</v>
      </c>
      <c r="E221" s="472">
        <f>SUM(E211:E220)</f>
        <v>1791695</v>
      </c>
      <c r="F221" s="1142">
        <f>SUM(F211:F220)</f>
        <v>84</v>
      </c>
      <c r="G221" s="1143"/>
      <c r="H221" s="1144"/>
      <c r="I221" s="474">
        <f>SUM(I211:I220)</f>
        <v>0.99369076425720337</v>
      </c>
      <c r="J221" s="474">
        <f>SUM(J211:J220)</f>
        <v>0.98823529411764699</v>
      </c>
    </row>
    <row r="222" spans="4:16" ht="17.25" thickTop="1" thickBot="1" x14ac:dyDescent="0.25">
      <c r="D222" s="455" t="s">
        <v>0</v>
      </c>
      <c r="E222" s="522">
        <v>11376</v>
      </c>
      <c r="F222" s="1133">
        <v>1</v>
      </c>
      <c r="G222" s="1160"/>
      <c r="H222" s="1161"/>
      <c r="I222" s="507">
        <f>E222/E223</f>
        <v>6.3092357427965958E-3</v>
      </c>
      <c r="J222" s="508">
        <f>F222/F223</f>
        <v>1.1764705882352941E-2</v>
      </c>
      <c r="L222" s="1210" t="s">
        <v>103</v>
      </c>
      <c r="M222" s="1210"/>
      <c r="N222" s="874"/>
      <c r="O222" s="874"/>
      <c r="P222" s="11"/>
    </row>
    <row r="223" spans="4:16" ht="16.5" thickTop="1" thickBot="1" x14ac:dyDescent="0.25">
      <c r="D223" s="17" t="s">
        <v>3</v>
      </c>
      <c r="E223" s="29">
        <f>E222+E221</f>
        <v>1803071</v>
      </c>
      <c r="F223" s="922">
        <f>F222+F221</f>
        <v>85</v>
      </c>
      <c r="G223" s="1162"/>
      <c r="H223" s="1163"/>
      <c r="I223" s="43">
        <f>I222+I221</f>
        <v>1</v>
      </c>
      <c r="J223" s="43">
        <f>J222+J221</f>
        <v>0.99999999999999989</v>
      </c>
      <c r="L223" s="874"/>
      <c r="M223" s="874"/>
      <c r="N223" s="874"/>
      <c r="O223" s="874"/>
      <c r="P223" s="11"/>
    </row>
    <row r="224" spans="4:16" ht="16.5" customHeight="1" thickTop="1" x14ac:dyDescent="0.2">
      <c r="L224" s="874"/>
      <c r="M224" s="874"/>
      <c r="N224" s="874"/>
      <c r="O224" s="874"/>
      <c r="P224" s="11"/>
    </row>
    <row r="226" spans="2:21" ht="13.5" thickBot="1" x14ac:dyDescent="0.25">
      <c r="D226" t="s">
        <v>36</v>
      </c>
    </row>
    <row r="227" spans="2:21" ht="17.25" thickTop="1" thickBot="1" x14ac:dyDescent="0.25">
      <c r="D227" s="1180" t="s">
        <v>131</v>
      </c>
      <c r="E227" s="1247"/>
      <c r="F227" s="1248"/>
      <c r="G227" s="37"/>
      <c r="H227" s="37"/>
      <c r="L227" s="1215" t="s">
        <v>154</v>
      </c>
      <c r="M227" s="1216"/>
      <c r="N227" s="1216"/>
      <c r="O227" s="1217"/>
      <c r="P227" s="1217"/>
      <c r="Q227" s="1217"/>
      <c r="R227" s="1217"/>
      <c r="S227" s="1205"/>
    </row>
    <row r="228" spans="2:21" ht="14.25" thickTop="1" thickBot="1" x14ac:dyDescent="0.25">
      <c r="L228" s="1204" t="s">
        <v>136</v>
      </c>
      <c r="M228" s="1205"/>
      <c r="N228" s="1212" t="s">
        <v>140</v>
      </c>
      <c r="O228" s="1213"/>
      <c r="P228" s="1214"/>
      <c r="Q228" s="1212" t="s">
        <v>139</v>
      </c>
      <c r="R228" s="1213"/>
      <c r="S228" s="1214"/>
      <c r="T228" s="96" t="s">
        <v>141</v>
      </c>
      <c r="U228" s="97"/>
    </row>
    <row r="229" spans="2:21" ht="46.5" thickTop="1" thickBot="1" x14ac:dyDescent="0.25">
      <c r="D229" s="455" t="s">
        <v>33</v>
      </c>
      <c r="E229" s="456" t="s">
        <v>13</v>
      </c>
      <c r="F229" s="998" t="s">
        <v>15</v>
      </c>
      <c r="G229" s="1111"/>
      <c r="H229" s="1112"/>
      <c r="I229" s="457" t="s">
        <v>72</v>
      </c>
      <c r="J229" s="458" t="s">
        <v>71</v>
      </c>
      <c r="L229" s="95" t="s">
        <v>137</v>
      </c>
      <c r="M229" s="101" t="s">
        <v>138</v>
      </c>
      <c r="N229" s="96"/>
      <c r="O229" s="95" t="s">
        <v>137</v>
      </c>
      <c r="P229" s="101" t="s">
        <v>138</v>
      </c>
      <c r="Q229" s="96"/>
      <c r="R229" s="95" t="s">
        <v>137</v>
      </c>
      <c r="S229" s="101" t="s">
        <v>138</v>
      </c>
      <c r="T229" s="95" t="s">
        <v>137</v>
      </c>
      <c r="U229" s="101" t="s">
        <v>138</v>
      </c>
    </row>
    <row r="230" spans="2:21" ht="17.45" customHeight="1" thickTop="1" x14ac:dyDescent="0.2">
      <c r="B230">
        <v>1</v>
      </c>
      <c r="D230" s="518" t="s">
        <v>39</v>
      </c>
      <c r="E230" s="488">
        <v>1863974</v>
      </c>
      <c r="F230" s="1148">
        <v>58</v>
      </c>
      <c r="G230" s="1149"/>
      <c r="H230" s="1150"/>
      <c r="I230" s="459">
        <f t="shared" ref="I230:I240" si="23">E230/E$244</f>
        <v>0.38667271577271212</v>
      </c>
      <c r="J230" s="460">
        <f t="shared" ref="J230:J240" si="24">F230/F$244</f>
        <v>0.54205607476635509</v>
      </c>
      <c r="L230" s="94">
        <v>1863974</v>
      </c>
      <c r="M230" s="15">
        <v>58</v>
      </c>
      <c r="N230" s="16" t="s">
        <v>144</v>
      </c>
      <c r="O230">
        <v>13296</v>
      </c>
      <c r="P230" s="15"/>
      <c r="Q230" s="16" t="s">
        <v>148</v>
      </c>
      <c r="R230">
        <v>10626</v>
      </c>
      <c r="S230" s="15">
        <v>1</v>
      </c>
      <c r="T230" s="99">
        <f t="shared" ref="T230:U232" si="25">L230-O230+R230</f>
        <v>1861304</v>
      </c>
      <c r="U230" s="100">
        <f t="shared" si="25"/>
        <v>59</v>
      </c>
    </row>
    <row r="231" spans="2:21" ht="15" x14ac:dyDescent="0.2">
      <c r="B231">
        <f>1+B230</f>
        <v>2</v>
      </c>
      <c r="D231" s="519" t="s">
        <v>135</v>
      </c>
      <c r="E231" s="520">
        <v>1508811</v>
      </c>
      <c r="F231" s="1136">
        <v>28</v>
      </c>
      <c r="G231" s="1137"/>
      <c r="H231" s="1138"/>
      <c r="I231" s="461">
        <f t="shared" si="23"/>
        <v>0.31299580732228105</v>
      </c>
      <c r="J231" s="462">
        <f t="shared" si="24"/>
        <v>0.26168224299065418</v>
      </c>
      <c r="L231" s="94">
        <v>1508811</v>
      </c>
      <c r="M231" s="15">
        <v>28</v>
      </c>
      <c r="N231" s="16" t="s">
        <v>146</v>
      </c>
      <c r="O231">
        <v>4663</v>
      </c>
      <c r="P231" s="15"/>
      <c r="Q231" s="16" t="s">
        <v>153</v>
      </c>
      <c r="R231">
        <v>1933</v>
      </c>
      <c r="S231" s="15"/>
      <c r="T231" s="99">
        <f t="shared" si="25"/>
        <v>1506081</v>
      </c>
      <c r="U231" s="100">
        <f t="shared" si="25"/>
        <v>28</v>
      </c>
    </row>
    <row r="232" spans="2:21" ht="15" x14ac:dyDescent="0.2">
      <c r="B232">
        <f t="shared" ref="B232:B241" si="26">1+B231</f>
        <v>3</v>
      </c>
      <c r="D232" s="519" t="s">
        <v>31</v>
      </c>
      <c r="E232" s="520">
        <v>1144822</v>
      </c>
      <c r="F232" s="1136">
        <v>21</v>
      </c>
      <c r="G232" s="1137"/>
      <c r="H232" s="1138"/>
      <c r="I232" s="461">
        <f t="shared" si="23"/>
        <v>0.23748798632188423</v>
      </c>
      <c r="J232" s="462">
        <f t="shared" si="24"/>
        <v>0.19626168224299065</v>
      </c>
      <c r="L232" s="94">
        <v>1144822</v>
      </c>
      <c r="M232" s="15">
        <v>21</v>
      </c>
      <c r="N232" s="16" t="s">
        <v>143</v>
      </c>
      <c r="O232">
        <v>14274</v>
      </c>
      <c r="P232" s="15">
        <v>1</v>
      </c>
      <c r="Q232" s="16" t="s">
        <v>149</v>
      </c>
      <c r="R232">
        <v>8985</v>
      </c>
      <c r="S232" s="15">
        <v>0</v>
      </c>
      <c r="T232" s="99">
        <f t="shared" si="25"/>
        <v>1139533</v>
      </c>
      <c r="U232" s="100">
        <f t="shared" si="25"/>
        <v>20</v>
      </c>
    </row>
    <row r="233" spans="2:21" ht="15" x14ac:dyDescent="0.2">
      <c r="B233">
        <f t="shared" si="26"/>
        <v>4</v>
      </c>
      <c r="D233" s="519" t="s">
        <v>32</v>
      </c>
      <c r="E233" s="520">
        <v>232536</v>
      </c>
      <c r="F233" s="1136">
        <v>0</v>
      </c>
      <c r="G233" s="1137"/>
      <c r="H233" s="1138"/>
      <c r="I233" s="461">
        <f t="shared" si="23"/>
        <v>4.8238509032273724E-2</v>
      </c>
      <c r="J233" s="462">
        <f t="shared" si="24"/>
        <v>0</v>
      </c>
      <c r="L233" s="94">
        <v>232536</v>
      </c>
      <c r="M233" s="15">
        <v>0</v>
      </c>
      <c r="N233" s="16" t="s">
        <v>142</v>
      </c>
      <c r="O233">
        <v>1212</v>
      </c>
      <c r="P233" s="15"/>
      <c r="Q233" s="16" t="s">
        <v>150</v>
      </c>
      <c r="R233">
        <v>824</v>
      </c>
      <c r="S233" s="15"/>
      <c r="T233" s="99">
        <f t="shared" ref="T233" si="27">L233-O233+R233</f>
        <v>232148</v>
      </c>
      <c r="U233" s="100">
        <f t="shared" ref="U233" si="28">M233-P233+S233</f>
        <v>0</v>
      </c>
    </row>
    <row r="234" spans="2:21" ht="15" x14ac:dyDescent="0.2">
      <c r="B234">
        <f t="shared" si="26"/>
        <v>5</v>
      </c>
      <c r="D234" s="519" t="s">
        <v>134</v>
      </c>
      <c r="E234" s="520">
        <v>37696</v>
      </c>
      <c r="F234" s="1136">
        <v>0</v>
      </c>
      <c r="G234" s="1137"/>
      <c r="H234" s="1138"/>
      <c r="I234" s="461">
        <f t="shared" si="23"/>
        <v>7.8198594474859391E-3</v>
      </c>
      <c r="J234" s="462">
        <f t="shared" si="24"/>
        <v>0</v>
      </c>
      <c r="L234" s="94">
        <v>37696</v>
      </c>
      <c r="M234" s="15">
        <v>0</v>
      </c>
      <c r="N234" s="16" t="s">
        <v>145</v>
      </c>
      <c r="O234">
        <v>243</v>
      </c>
      <c r="P234" s="15"/>
      <c r="Q234" s="16"/>
      <c r="S234" s="15"/>
      <c r="T234" s="99">
        <f t="shared" ref="T234:U239" si="29">L234-O234+R234</f>
        <v>37453</v>
      </c>
      <c r="U234" s="100">
        <f t="shared" si="29"/>
        <v>0</v>
      </c>
    </row>
    <row r="235" spans="2:21" ht="15" x14ac:dyDescent="0.2">
      <c r="B235">
        <f t="shared" si="26"/>
        <v>6</v>
      </c>
      <c r="D235" s="519" t="s">
        <v>38</v>
      </c>
      <c r="E235" s="520">
        <v>11835</v>
      </c>
      <c r="F235" s="1136">
        <v>0</v>
      </c>
      <c r="G235" s="1137"/>
      <c r="H235" s="1138"/>
      <c r="I235" s="461">
        <f t="shared" si="23"/>
        <v>2.4551155709092764E-3</v>
      </c>
      <c r="J235" s="462">
        <f t="shared" si="24"/>
        <v>0</v>
      </c>
      <c r="L235" s="94">
        <v>11835</v>
      </c>
      <c r="M235" s="15">
        <v>0</v>
      </c>
      <c r="N235" s="16">
        <v>0</v>
      </c>
      <c r="O235">
        <v>0</v>
      </c>
      <c r="P235" s="15"/>
      <c r="Q235" s="16"/>
      <c r="S235" s="15"/>
      <c r="T235" s="99">
        <f t="shared" si="29"/>
        <v>11835</v>
      </c>
      <c r="U235" s="100">
        <f t="shared" si="29"/>
        <v>0</v>
      </c>
    </row>
    <row r="236" spans="2:21" ht="15" x14ac:dyDescent="0.2">
      <c r="B236">
        <f t="shared" si="26"/>
        <v>7</v>
      </c>
      <c r="D236" s="519" t="s">
        <v>37</v>
      </c>
      <c r="E236" s="520">
        <v>4287</v>
      </c>
      <c r="F236" s="1136">
        <v>0</v>
      </c>
      <c r="G236" s="1137"/>
      <c r="H236" s="1138"/>
      <c r="I236" s="461">
        <f t="shared" si="23"/>
        <v>8.8931816244090139E-4</v>
      </c>
      <c r="J236" s="462">
        <f t="shared" si="24"/>
        <v>0</v>
      </c>
      <c r="L236" s="94">
        <v>4287</v>
      </c>
      <c r="M236" s="15">
        <v>0</v>
      </c>
      <c r="N236" s="16">
        <v>0</v>
      </c>
      <c r="O236">
        <v>0</v>
      </c>
      <c r="P236" s="15"/>
      <c r="Q236" s="16"/>
      <c r="S236" s="15"/>
      <c r="T236" s="99">
        <f t="shared" si="29"/>
        <v>4287</v>
      </c>
      <c r="U236" s="100">
        <f t="shared" si="29"/>
        <v>0</v>
      </c>
    </row>
    <row r="237" spans="2:21" ht="15" x14ac:dyDescent="0.2">
      <c r="B237">
        <f t="shared" si="26"/>
        <v>8</v>
      </c>
      <c r="D237" s="519" t="s">
        <v>133</v>
      </c>
      <c r="E237" s="520">
        <v>4092</v>
      </c>
      <c r="F237" s="1136">
        <v>0</v>
      </c>
      <c r="G237" s="1137"/>
      <c r="H237" s="1138"/>
      <c r="I237" s="461">
        <f t="shared" si="23"/>
        <v>8.4886632160209206E-4</v>
      </c>
      <c r="J237" s="462">
        <f t="shared" si="24"/>
        <v>0</v>
      </c>
      <c r="L237" s="94">
        <v>4092</v>
      </c>
      <c r="M237" s="15">
        <v>0</v>
      </c>
      <c r="N237" s="16">
        <v>0</v>
      </c>
      <c r="O237">
        <v>0</v>
      </c>
      <c r="P237" s="15"/>
      <c r="Q237" s="16"/>
      <c r="S237" s="15"/>
      <c r="T237" s="99">
        <f t="shared" si="29"/>
        <v>4092</v>
      </c>
      <c r="U237" s="100">
        <f t="shared" si="29"/>
        <v>0</v>
      </c>
    </row>
    <row r="238" spans="2:21" ht="15" x14ac:dyDescent="0.2">
      <c r="B238">
        <f t="shared" si="26"/>
        <v>9</v>
      </c>
      <c r="D238" s="519" t="s">
        <v>132</v>
      </c>
      <c r="E238" s="520">
        <v>2081</v>
      </c>
      <c r="F238" s="1136">
        <v>0</v>
      </c>
      <c r="G238" s="1137"/>
      <c r="H238" s="1138"/>
      <c r="I238" s="461">
        <f t="shared" si="23"/>
        <v>4.3169374761826821E-4</v>
      </c>
      <c r="J238" s="462">
        <f t="shared" si="24"/>
        <v>0</v>
      </c>
      <c r="L238" s="94">
        <v>2081</v>
      </c>
      <c r="M238" s="15">
        <v>0</v>
      </c>
      <c r="N238" s="16">
        <v>0</v>
      </c>
      <c r="O238">
        <v>0</v>
      </c>
      <c r="P238" s="15"/>
      <c r="Q238" s="16"/>
      <c r="S238" s="15"/>
      <c r="T238" s="99">
        <f t="shared" si="29"/>
        <v>2081</v>
      </c>
      <c r="U238" s="21">
        <f t="shared" si="29"/>
        <v>0</v>
      </c>
    </row>
    <row r="239" spans="2:21" ht="15" x14ac:dyDescent="0.2">
      <c r="B239">
        <f t="shared" si="26"/>
        <v>10</v>
      </c>
      <c r="D239" s="519" t="s">
        <v>98</v>
      </c>
      <c r="E239" s="520">
        <v>6597</v>
      </c>
      <c r="F239" s="1116">
        <v>0</v>
      </c>
      <c r="G239" s="1117"/>
      <c r="H239" s="1118"/>
      <c r="I239" s="461">
        <f t="shared" si="23"/>
        <v>1.3685168923775663E-3</v>
      </c>
      <c r="J239" s="462">
        <f t="shared" si="24"/>
        <v>0</v>
      </c>
      <c r="L239" s="94">
        <v>6597</v>
      </c>
      <c r="M239" s="15">
        <v>0</v>
      </c>
      <c r="N239" s="16">
        <v>0</v>
      </c>
      <c r="O239">
        <v>0</v>
      </c>
      <c r="P239" s="15"/>
      <c r="Q239" s="16" t="s">
        <v>151</v>
      </c>
      <c r="R239">
        <v>156</v>
      </c>
      <c r="S239" s="15"/>
      <c r="T239" s="99">
        <f t="shared" si="29"/>
        <v>6753</v>
      </c>
      <c r="U239" s="100">
        <f t="shared" si="29"/>
        <v>0</v>
      </c>
    </row>
    <row r="240" spans="2:21" ht="15" x14ac:dyDescent="0.2">
      <c r="B240">
        <f t="shared" si="26"/>
        <v>11</v>
      </c>
      <c r="D240" s="519"/>
      <c r="E240" s="520">
        <v>0</v>
      </c>
      <c r="F240" s="1136">
        <v>0</v>
      </c>
      <c r="G240" s="1137"/>
      <c r="H240" s="1138"/>
      <c r="I240" s="461">
        <f t="shared" si="23"/>
        <v>0</v>
      </c>
      <c r="J240" s="462">
        <f t="shared" si="24"/>
        <v>0</v>
      </c>
      <c r="L240" s="94"/>
      <c r="M240" s="15"/>
      <c r="N240" s="16"/>
      <c r="P240" s="15"/>
      <c r="Q240" s="16"/>
      <c r="S240" s="15"/>
      <c r="T240" s="99"/>
      <c r="U240" s="100"/>
    </row>
    <row r="241" spans="2:21" ht="15.75" thickBot="1" x14ac:dyDescent="0.25">
      <c r="B241">
        <f t="shared" si="26"/>
        <v>12</v>
      </c>
      <c r="D241" s="521"/>
      <c r="E241" s="489">
        <v>0</v>
      </c>
      <c r="F241" s="1145">
        <v>0</v>
      </c>
      <c r="G241" s="1146"/>
      <c r="H241" s="1147"/>
      <c r="I241" s="463">
        <f t="shared" ref="I241" si="30">E241/E$244</f>
        <v>0</v>
      </c>
      <c r="J241" s="464">
        <f t="shared" ref="J241" si="31">F241/F$244</f>
        <v>0</v>
      </c>
      <c r="L241" s="94"/>
      <c r="M241" s="15"/>
      <c r="N241" s="16"/>
      <c r="P241" s="15"/>
      <c r="Q241" s="16"/>
      <c r="S241" s="15"/>
      <c r="T241" s="99"/>
      <c r="U241" s="100"/>
    </row>
    <row r="242" spans="2:21" ht="16.5" thickTop="1" thickBot="1" x14ac:dyDescent="0.25">
      <c r="D242" s="471" t="s">
        <v>4</v>
      </c>
      <c r="E242" s="472">
        <f>SUM(E230:E241)</f>
        <v>4816731</v>
      </c>
      <c r="F242" s="1142">
        <f>SUM(F230:H241)</f>
        <v>107</v>
      </c>
      <c r="G242" s="1143"/>
      <c r="H242" s="1144"/>
      <c r="I242" s="474">
        <f>SUM(I230:I240)</f>
        <v>0.99920838859158523</v>
      </c>
      <c r="J242" s="474">
        <f>SUM(J230:J240)</f>
        <v>0.99999999999999989</v>
      </c>
      <c r="L242" s="102">
        <f>SUM(L231:L240)</f>
        <v>2952757</v>
      </c>
      <c r="M242" s="97">
        <v>107</v>
      </c>
      <c r="N242" s="96"/>
      <c r="O242" s="98">
        <f>SUM(O230:O240)</f>
        <v>33688</v>
      </c>
      <c r="P242" s="98">
        <f>SUM(P230:P240)</f>
        <v>1</v>
      </c>
      <c r="Q242" s="96"/>
      <c r="R242" s="98">
        <f>SUM(R230:R240)</f>
        <v>22524</v>
      </c>
      <c r="S242" s="97">
        <f>SUM(S230:S240)</f>
        <v>1</v>
      </c>
      <c r="T242" s="96">
        <f>SUM(T230:T240)</f>
        <v>4805567</v>
      </c>
      <c r="U242" s="97">
        <f>SUM(U230:U240)</f>
        <v>107</v>
      </c>
    </row>
    <row r="243" spans="2:21" ht="17.25" thickTop="1" thickBot="1" x14ac:dyDescent="0.25">
      <c r="D243" s="455" t="s">
        <v>0</v>
      </c>
      <c r="E243" s="522">
        <v>3816</v>
      </c>
      <c r="F243" s="1133">
        <v>0</v>
      </c>
      <c r="G243" s="1134"/>
      <c r="H243" s="1135"/>
      <c r="I243" s="505">
        <f>E243/E$244</f>
        <v>7.9161140841485414E-4</v>
      </c>
      <c r="J243" s="504">
        <f>F243/F$244</f>
        <v>0</v>
      </c>
      <c r="L243" s="102">
        <v>3816</v>
      </c>
      <c r="M243" s="97">
        <v>0</v>
      </c>
      <c r="N243" s="96" t="s">
        <v>147</v>
      </c>
      <c r="O243" s="98">
        <v>105</v>
      </c>
      <c r="P243" s="98"/>
      <c r="Q243" s="96" t="s">
        <v>152</v>
      </c>
      <c r="R243" s="98">
        <v>3256</v>
      </c>
      <c r="S243" s="97"/>
      <c r="T243" s="99">
        <f>L243-O243+R243</f>
        <v>6967</v>
      </c>
      <c r="U243" s="100">
        <f>M243-P243+S243</f>
        <v>0</v>
      </c>
    </row>
    <row r="244" spans="2:21" ht="16.5" thickTop="1" thickBot="1" x14ac:dyDescent="0.25">
      <c r="D244" s="471" t="s">
        <v>3</v>
      </c>
      <c r="E244" s="472">
        <f>E243+E242</f>
        <v>4820547</v>
      </c>
      <c r="F244" s="1142">
        <f>F243+F242</f>
        <v>107</v>
      </c>
      <c r="G244" s="1158"/>
      <c r="H244" s="1159"/>
      <c r="I244" s="506">
        <f>I243+I242</f>
        <v>1</v>
      </c>
      <c r="J244" s="506">
        <f>J243+J242</f>
        <v>0.99999999999999989</v>
      </c>
      <c r="L244" s="102">
        <f>L243+L242</f>
        <v>2956573</v>
      </c>
      <c r="M244" s="97">
        <v>107</v>
      </c>
      <c r="N244" s="96"/>
      <c r="O244" s="98">
        <f>O243+O242</f>
        <v>33793</v>
      </c>
      <c r="P244" s="98">
        <f>P243+P242</f>
        <v>1</v>
      </c>
      <c r="Q244" s="96"/>
      <c r="R244" s="98">
        <f>R243+R242</f>
        <v>25780</v>
      </c>
      <c r="S244" s="97">
        <f>S243+S242</f>
        <v>1</v>
      </c>
      <c r="T244" s="96">
        <f>T243+T242</f>
        <v>4812534</v>
      </c>
      <c r="U244" s="97">
        <f>U243+U242</f>
        <v>107</v>
      </c>
    </row>
    <row r="245" spans="2:21" ht="13.5" thickTop="1" x14ac:dyDescent="0.2"/>
    <row r="247" spans="2:21" ht="13.5" thickBot="1" x14ac:dyDescent="0.25"/>
    <row r="248" spans="2:21" ht="17.25" thickTop="1" thickBot="1" x14ac:dyDescent="0.25">
      <c r="D248" s="1180" t="s">
        <v>158</v>
      </c>
      <c r="E248" s="1245"/>
      <c r="F248" s="1246"/>
      <c r="G248" s="37"/>
      <c r="H248" s="37"/>
    </row>
    <row r="249" spans="2:21" ht="14.25" thickTop="1" thickBot="1" x14ac:dyDescent="0.25"/>
    <row r="250" spans="2:21" ht="46.5" thickTop="1" thickBot="1" x14ac:dyDescent="0.25">
      <c r="D250" s="455" t="s">
        <v>33</v>
      </c>
      <c r="E250" s="456" t="s">
        <v>13</v>
      </c>
      <c r="F250" s="998" t="s">
        <v>15</v>
      </c>
      <c r="G250" s="1111"/>
      <c r="H250" s="1112"/>
      <c r="I250" s="457" t="s">
        <v>72</v>
      </c>
      <c r="J250" s="458" t="s">
        <v>18</v>
      </c>
    </row>
    <row r="251" spans="2:21" ht="15.75" thickTop="1" x14ac:dyDescent="0.2">
      <c r="B251">
        <v>1</v>
      </c>
      <c r="D251" s="518" t="s">
        <v>24</v>
      </c>
      <c r="E251" s="488">
        <v>11300109</v>
      </c>
      <c r="F251" s="1148">
        <v>330</v>
      </c>
      <c r="G251" s="1149"/>
      <c r="H251" s="1150"/>
      <c r="I251" s="498">
        <f>E251/E$265</f>
        <v>0.36818150717067294</v>
      </c>
      <c r="J251" s="460">
        <f>F251/F$265</f>
        <v>0.50769230769230766</v>
      </c>
    </row>
    <row r="252" spans="2:21" ht="15" x14ac:dyDescent="0.2">
      <c r="B252">
        <f>1+B251</f>
        <v>2</v>
      </c>
      <c r="D252" s="519" t="s">
        <v>64</v>
      </c>
      <c r="E252" s="520">
        <v>9347324</v>
      </c>
      <c r="F252" s="1136">
        <v>232</v>
      </c>
      <c r="G252" s="1137"/>
      <c r="H252" s="1138"/>
      <c r="I252" s="499">
        <f t="shared" ref="I252:I262" si="32">E252/E$265</f>
        <v>0.30455563201493041</v>
      </c>
      <c r="J252" s="462">
        <f t="shared" ref="J252:J262" si="33">F252/F$265</f>
        <v>0.3569230769230769</v>
      </c>
    </row>
    <row r="253" spans="2:21" ht="15" x14ac:dyDescent="0.2">
      <c r="B253">
        <f t="shared" ref="B253:B262" si="34">1+B252</f>
        <v>3</v>
      </c>
      <c r="D253" s="519" t="s">
        <v>65</v>
      </c>
      <c r="E253" s="520">
        <v>2415802</v>
      </c>
      <c r="F253" s="1136">
        <v>8</v>
      </c>
      <c r="G253" s="1137"/>
      <c r="H253" s="1138"/>
      <c r="I253" s="499">
        <f t="shared" si="32"/>
        <v>7.8711950600292985E-2</v>
      </c>
      <c r="J253" s="462">
        <f t="shared" si="33"/>
        <v>1.2307692307692308E-2</v>
      </c>
    </row>
    <row r="254" spans="2:21" ht="15" x14ac:dyDescent="0.2">
      <c r="B254">
        <f t="shared" si="34"/>
        <v>4</v>
      </c>
      <c r="D254" s="519" t="s">
        <v>75</v>
      </c>
      <c r="E254" s="520">
        <v>3881099</v>
      </c>
      <c r="F254" s="1136">
        <v>1</v>
      </c>
      <c r="G254" s="1137"/>
      <c r="H254" s="1138"/>
      <c r="I254" s="499">
        <f t="shared" si="32"/>
        <v>0.12645443325357231</v>
      </c>
      <c r="J254" s="462">
        <f t="shared" si="33"/>
        <v>1.5384615384615385E-3</v>
      </c>
      <c r="K254" s="756" t="s">
        <v>406</v>
      </c>
    </row>
    <row r="255" spans="2:21" ht="15" x14ac:dyDescent="0.2">
      <c r="B255">
        <f t="shared" si="34"/>
        <v>5</v>
      </c>
      <c r="D255" s="519" t="s">
        <v>66</v>
      </c>
      <c r="E255" s="520">
        <v>184260</v>
      </c>
      <c r="F255" s="1136">
        <v>8</v>
      </c>
      <c r="G255" s="1137"/>
      <c r="H255" s="1138"/>
      <c r="I255" s="499">
        <f t="shared" si="32"/>
        <v>6.0035814266276724E-3</v>
      </c>
      <c r="J255" s="462">
        <f t="shared" si="33"/>
        <v>1.2307692307692308E-2</v>
      </c>
    </row>
    <row r="256" spans="2:21" ht="15" x14ac:dyDescent="0.2">
      <c r="B256">
        <f t="shared" si="34"/>
        <v>6</v>
      </c>
      <c r="D256" s="519" t="s">
        <v>73</v>
      </c>
      <c r="E256" s="520">
        <v>1454436</v>
      </c>
      <c r="F256" s="1136">
        <v>56</v>
      </c>
      <c r="G256" s="1137"/>
      <c r="H256" s="1138"/>
      <c r="I256" s="499">
        <f t="shared" si="32"/>
        <v>4.7388608248228839E-2</v>
      </c>
      <c r="J256" s="462">
        <f t="shared" si="33"/>
        <v>8.615384615384615E-2</v>
      </c>
    </row>
    <row r="257" spans="2:10" ht="15" x14ac:dyDescent="0.2">
      <c r="B257">
        <f t="shared" si="34"/>
        <v>7</v>
      </c>
      <c r="D257" s="519" t="s">
        <v>32</v>
      </c>
      <c r="E257" s="520">
        <v>1157613</v>
      </c>
      <c r="F257" s="1136">
        <v>1</v>
      </c>
      <c r="G257" s="1137"/>
      <c r="H257" s="1138"/>
      <c r="I257" s="499">
        <f t="shared" si="32"/>
        <v>3.7717485650834361E-2</v>
      </c>
      <c r="J257" s="462">
        <f t="shared" si="33"/>
        <v>1.5384615384615385E-3</v>
      </c>
    </row>
    <row r="258" spans="2:10" ht="15" x14ac:dyDescent="0.2">
      <c r="B258">
        <f t="shared" si="34"/>
        <v>8</v>
      </c>
      <c r="D258" s="519" t="s">
        <v>67</v>
      </c>
      <c r="E258" s="520">
        <v>176232</v>
      </c>
      <c r="F258" s="1136">
        <v>4</v>
      </c>
      <c r="G258" s="1137"/>
      <c r="H258" s="1138"/>
      <c r="I258" s="499">
        <f t="shared" si="32"/>
        <v>5.7420121674668836E-3</v>
      </c>
      <c r="J258" s="462">
        <f t="shared" si="33"/>
        <v>6.1538461538461538E-3</v>
      </c>
    </row>
    <row r="259" spans="2:10" ht="15" x14ac:dyDescent="0.2">
      <c r="B259">
        <f t="shared" si="34"/>
        <v>9</v>
      </c>
      <c r="D259" s="519" t="s">
        <v>157</v>
      </c>
      <c r="E259" s="520">
        <v>111935</v>
      </c>
      <c r="F259" s="1136">
        <v>2</v>
      </c>
      <c r="G259" s="1137"/>
      <c r="H259" s="1138"/>
      <c r="I259" s="499">
        <f t="shared" si="32"/>
        <v>3.6470795994223842E-3</v>
      </c>
      <c r="J259" s="462">
        <f t="shared" si="33"/>
        <v>3.0769230769230769E-3</v>
      </c>
    </row>
    <row r="260" spans="2:10" ht="15" x14ac:dyDescent="0.2">
      <c r="B260">
        <f t="shared" si="34"/>
        <v>10</v>
      </c>
      <c r="D260" s="519" t="s">
        <v>68</v>
      </c>
      <c r="E260" s="520">
        <v>99809</v>
      </c>
      <c r="F260" s="1116">
        <v>3</v>
      </c>
      <c r="G260" s="1117"/>
      <c r="H260" s="1118"/>
      <c r="I260" s="499">
        <f t="shared" si="32"/>
        <v>3.2519888126032854E-3</v>
      </c>
      <c r="J260" s="462">
        <f t="shared" si="33"/>
        <v>4.6153846153846158E-3</v>
      </c>
    </row>
    <row r="261" spans="2:10" ht="15" x14ac:dyDescent="0.2">
      <c r="B261">
        <f t="shared" si="34"/>
        <v>11</v>
      </c>
      <c r="D261" s="519" t="s">
        <v>76</v>
      </c>
      <c r="E261" s="520">
        <v>181704</v>
      </c>
      <c r="F261" s="1139">
        <v>3</v>
      </c>
      <c r="G261" s="1140"/>
      <c r="H261" s="1141"/>
      <c r="I261" s="499">
        <f t="shared" si="32"/>
        <v>5.9203015279710985E-3</v>
      </c>
      <c r="J261" s="462">
        <f t="shared" si="33"/>
        <v>4.6153846153846158E-3</v>
      </c>
    </row>
    <row r="262" spans="2:10" ht="15.75" thickBot="1" x14ac:dyDescent="0.25">
      <c r="B262">
        <f t="shared" si="34"/>
        <v>12</v>
      </c>
      <c r="D262" s="521" t="s">
        <v>17</v>
      </c>
      <c r="E262" s="489">
        <v>229051</v>
      </c>
      <c r="F262" s="1119">
        <v>0</v>
      </c>
      <c r="G262" s="1120"/>
      <c r="H262" s="1121"/>
      <c r="I262" s="500">
        <f t="shared" si="32"/>
        <v>7.4629671624362043E-3</v>
      </c>
      <c r="J262" s="464">
        <f t="shared" si="33"/>
        <v>0</v>
      </c>
    </row>
    <row r="263" spans="2:10" ht="16.5" thickTop="1" thickBot="1" x14ac:dyDescent="0.25">
      <c r="D263" s="471" t="s">
        <v>4</v>
      </c>
      <c r="E263" s="472">
        <f>SUM(E251:E262)</f>
        <v>30539374</v>
      </c>
      <c r="F263" s="1142">
        <f>SUM(F251:F262)</f>
        <v>648</v>
      </c>
      <c r="G263" s="1143"/>
      <c r="H263" s="1144"/>
      <c r="I263" s="501">
        <f>SUM(I251:I262)</f>
        <v>0.99503754763505936</v>
      </c>
      <c r="J263" s="473">
        <f>SUM(J251:J262)</f>
        <v>0.9969230769230768</v>
      </c>
    </row>
    <row r="264" spans="2:10" ht="17.25" thickTop="1" thickBot="1" x14ac:dyDescent="0.25">
      <c r="D264" s="455" t="s">
        <v>160</v>
      </c>
      <c r="E264" s="522">
        <f>17689+34617</f>
        <v>52306</v>
      </c>
      <c r="F264" s="1133">
        <v>2</v>
      </c>
      <c r="G264" s="1134"/>
      <c r="H264" s="1135"/>
      <c r="I264" s="502">
        <f>E264/E$265</f>
        <v>1.7042403674220506E-3</v>
      </c>
      <c r="J264" s="504">
        <f>F264/F$265</f>
        <v>3.0769230769230769E-3</v>
      </c>
    </row>
    <row r="265" spans="2:10" ht="16.5" thickTop="1" thickBot="1" x14ac:dyDescent="0.25">
      <c r="D265" s="17" t="s">
        <v>159</v>
      </c>
      <c r="E265" s="29">
        <v>30691680</v>
      </c>
      <c r="F265" s="922">
        <f>F264+F263</f>
        <v>650</v>
      </c>
      <c r="G265" s="923"/>
      <c r="H265" s="924"/>
      <c r="I265" s="34">
        <f>I264+I263</f>
        <v>0.99674178800248137</v>
      </c>
      <c r="J265" s="116">
        <f>J264+J263</f>
        <v>0.99999999999999989</v>
      </c>
    </row>
    <row r="266" spans="2:10" ht="13.5" thickTop="1" x14ac:dyDescent="0.2">
      <c r="D266" s="117" t="s">
        <v>162</v>
      </c>
    </row>
    <row r="267" spans="2:10" x14ac:dyDescent="0.2">
      <c r="E267" s="21"/>
    </row>
    <row r="268" spans="2:10" ht="13.5" thickBot="1" x14ac:dyDescent="0.25">
      <c r="E268" s="21"/>
    </row>
    <row r="269" spans="2:10" ht="17.25" thickTop="1" thickBot="1" x14ac:dyDescent="0.25">
      <c r="D269" s="1244" t="s">
        <v>166</v>
      </c>
      <c r="E269" s="1247"/>
      <c r="F269" s="1248"/>
      <c r="G269" s="37"/>
      <c r="H269" s="37"/>
    </row>
    <row r="270" spans="2:10" ht="14.25" thickTop="1" thickBot="1" x14ac:dyDescent="0.25"/>
    <row r="271" spans="2:10" ht="46.5" thickTop="1" thickBot="1" x14ac:dyDescent="0.25">
      <c r="D271" s="455" t="s">
        <v>33</v>
      </c>
      <c r="E271" s="456" t="s">
        <v>209</v>
      </c>
      <c r="F271" s="998" t="s">
        <v>15</v>
      </c>
      <c r="G271" s="1111"/>
      <c r="H271" s="1112"/>
      <c r="I271" s="457" t="s">
        <v>72</v>
      </c>
      <c r="J271" s="458" t="s">
        <v>18</v>
      </c>
    </row>
    <row r="272" spans="2:10" ht="15.75" thickTop="1" x14ac:dyDescent="0.2">
      <c r="B272">
        <v>1</v>
      </c>
      <c r="D272" s="518" t="s">
        <v>163</v>
      </c>
      <c r="E272" s="488">
        <v>801628</v>
      </c>
      <c r="F272" s="1148">
        <v>76</v>
      </c>
      <c r="G272" s="1149"/>
      <c r="H272" s="1150"/>
      <c r="I272" s="498">
        <f>E272/E$286</f>
        <v>0.36102555418594418</v>
      </c>
      <c r="J272" s="460">
        <f>F272/F$286</f>
        <v>0.45783132530120479</v>
      </c>
    </row>
    <row r="273" spans="2:10" ht="15" x14ac:dyDescent="0.2">
      <c r="B273">
        <f>1+B272</f>
        <v>2</v>
      </c>
      <c r="D273" s="519" t="s">
        <v>64</v>
      </c>
      <c r="E273" s="520">
        <v>431796</v>
      </c>
      <c r="F273" s="1136">
        <v>37</v>
      </c>
      <c r="G273" s="1137"/>
      <c r="H273" s="1138"/>
      <c r="I273" s="499">
        <f t="shared" ref="I273:I283" si="35">E273/E$286</f>
        <v>0.19446599943524173</v>
      </c>
      <c r="J273" s="462">
        <f t="shared" ref="J273:J283" si="36">F273/F$286</f>
        <v>0.22289156626506024</v>
      </c>
    </row>
    <row r="274" spans="2:10" ht="15" x14ac:dyDescent="0.2">
      <c r="B274">
        <f t="shared" ref="B274:B283" si="37">1+B273</f>
        <v>3</v>
      </c>
      <c r="D274" s="519" t="s">
        <v>164</v>
      </c>
      <c r="E274" s="520">
        <v>387358</v>
      </c>
      <c r="F274" s="1136">
        <v>20</v>
      </c>
      <c r="G274" s="1137"/>
      <c r="H274" s="1138"/>
      <c r="I274" s="499">
        <f t="shared" si="35"/>
        <v>0.17445265961064105</v>
      </c>
      <c r="J274" s="462">
        <f t="shared" si="36"/>
        <v>0.12048192771084337</v>
      </c>
    </row>
    <row r="275" spans="2:10" ht="15" x14ac:dyDescent="0.2">
      <c r="B275">
        <f t="shared" si="37"/>
        <v>4</v>
      </c>
      <c r="D275" s="519" t="s">
        <v>67</v>
      </c>
      <c r="E275" s="520">
        <v>220661</v>
      </c>
      <c r="F275" s="1136">
        <v>14</v>
      </c>
      <c r="G275" s="1137"/>
      <c r="H275" s="1138"/>
      <c r="I275" s="499">
        <f t="shared" si="35"/>
        <v>9.9378090351415663E-2</v>
      </c>
      <c r="J275" s="462">
        <f t="shared" si="36"/>
        <v>8.4337349397590355E-2</v>
      </c>
    </row>
    <row r="276" spans="2:10" ht="15" x14ac:dyDescent="0.2">
      <c r="B276">
        <f t="shared" si="37"/>
        <v>5</v>
      </c>
      <c r="D276" s="519" t="s">
        <v>165</v>
      </c>
      <c r="E276" s="520">
        <v>26770</v>
      </c>
      <c r="F276" s="1136">
        <v>2</v>
      </c>
      <c r="G276" s="1137"/>
      <c r="H276" s="1138"/>
      <c r="I276" s="499">
        <f t="shared" si="35"/>
        <v>1.2056283070897881E-2</v>
      </c>
      <c r="J276" s="462">
        <f t="shared" si="36"/>
        <v>1.2048192771084338E-2</v>
      </c>
    </row>
    <row r="277" spans="2:10" ht="15" x14ac:dyDescent="0.2">
      <c r="B277">
        <f t="shared" si="37"/>
        <v>6</v>
      </c>
      <c r="D277" s="519" t="s">
        <v>167</v>
      </c>
      <c r="E277" s="520">
        <v>21551</v>
      </c>
      <c r="F277" s="1136">
        <v>2</v>
      </c>
      <c r="G277" s="1137"/>
      <c r="H277" s="1138"/>
      <c r="I277" s="499">
        <f t="shared" si="35"/>
        <v>9.7058257923391938E-3</v>
      </c>
      <c r="J277" s="462">
        <f t="shared" si="36"/>
        <v>1.2048192771084338E-2</v>
      </c>
    </row>
    <row r="278" spans="2:10" ht="15" x14ac:dyDescent="0.2">
      <c r="B278">
        <f t="shared" si="37"/>
        <v>7</v>
      </c>
      <c r="D278" s="519" t="s">
        <v>168</v>
      </c>
      <c r="E278" s="520">
        <v>8878</v>
      </c>
      <c r="F278" s="1136">
        <v>1</v>
      </c>
      <c r="G278" s="1137"/>
      <c r="H278" s="1138"/>
      <c r="I278" s="499">
        <f t="shared" si="35"/>
        <v>3.9983444566093155E-3</v>
      </c>
      <c r="J278" s="462">
        <f t="shared" si="36"/>
        <v>6.024096385542169E-3</v>
      </c>
    </row>
    <row r="279" spans="2:10" ht="15" x14ac:dyDescent="0.2">
      <c r="B279">
        <f t="shared" si="37"/>
        <v>8</v>
      </c>
      <c r="D279" s="519" t="s">
        <v>32</v>
      </c>
      <c r="E279" s="520">
        <v>41039</v>
      </c>
      <c r="F279" s="1136">
        <v>0</v>
      </c>
      <c r="G279" s="1137"/>
      <c r="H279" s="1138"/>
      <c r="I279" s="499">
        <f t="shared" si="35"/>
        <v>1.8482547663301385E-2</v>
      </c>
      <c r="J279" s="462">
        <f t="shared" si="36"/>
        <v>0</v>
      </c>
    </row>
    <row r="280" spans="2:10" ht="15" x14ac:dyDescent="0.2">
      <c r="B280">
        <f t="shared" si="37"/>
        <v>9</v>
      </c>
      <c r="D280" s="519" t="s">
        <v>169</v>
      </c>
      <c r="E280" s="520">
        <v>4939</v>
      </c>
      <c r="F280" s="1136">
        <v>0</v>
      </c>
      <c r="G280" s="1137"/>
      <c r="H280" s="1138"/>
      <c r="I280" s="499">
        <f t="shared" si="35"/>
        <v>2.2243549528264709E-3</v>
      </c>
      <c r="J280" s="462">
        <f t="shared" si="36"/>
        <v>0</v>
      </c>
    </row>
    <row r="281" spans="2:10" ht="15" x14ac:dyDescent="0.2">
      <c r="B281">
        <f t="shared" si="37"/>
        <v>10</v>
      </c>
      <c r="D281" s="519" t="s">
        <v>170</v>
      </c>
      <c r="E281" s="520">
        <v>3056</v>
      </c>
      <c r="F281" s="1116">
        <v>0</v>
      </c>
      <c r="G281" s="1117"/>
      <c r="H281" s="1118"/>
      <c r="I281" s="499">
        <f t="shared" si="35"/>
        <v>1.3763168122773225E-3</v>
      </c>
      <c r="J281" s="462">
        <f t="shared" si="36"/>
        <v>0</v>
      </c>
    </row>
    <row r="282" spans="2:10" ht="15" x14ac:dyDescent="0.2">
      <c r="B282">
        <f t="shared" si="37"/>
        <v>11</v>
      </c>
      <c r="D282" s="519" t="s">
        <v>171</v>
      </c>
      <c r="E282" s="520">
        <v>2102</v>
      </c>
      <c r="F282" s="1139">
        <v>0</v>
      </c>
      <c r="G282" s="1140"/>
      <c r="H282" s="1141"/>
      <c r="I282" s="499">
        <f t="shared" si="35"/>
        <v>9.4666817388970278E-4</v>
      </c>
      <c r="J282" s="462">
        <f t="shared" si="36"/>
        <v>0</v>
      </c>
    </row>
    <row r="283" spans="2:10" ht="15.75" thickBot="1" x14ac:dyDescent="0.25">
      <c r="B283">
        <f t="shared" si="37"/>
        <v>12</v>
      </c>
      <c r="D283" s="521" t="s">
        <v>172</v>
      </c>
      <c r="E283" s="489">
        <v>938</v>
      </c>
      <c r="F283" s="1119">
        <v>0</v>
      </c>
      <c r="G283" s="1120"/>
      <c r="H283" s="1121"/>
      <c r="I283" s="500">
        <f t="shared" si="35"/>
        <v>4.2244279120292163E-4</v>
      </c>
      <c r="J283" s="464">
        <f t="shared" si="36"/>
        <v>0</v>
      </c>
    </row>
    <row r="284" spans="2:10" ht="16.5" thickTop="1" thickBot="1" x14ac:dyDescent="0.25">
      <c r="D284" s="471" t="s">
        <v>4</v>
      </c>
      <c r="E284" s="472">
        <f>SUM(E272:E283)</f>
        <v>1950716</v>
      </c>
      <c r="F284" s="1142">
        <f>SUM(F272:F283)</f>
        <v>152</v>
      </c>
      <c r="G284" s="1143"/>
      <c r="H284" s="1144"/>
      <c r="I284" s="501">
        <f>SUM(I272:I283)</f>
        <v>0.8785350872965868</v>
      </c>
      <c r="J284" s="474">
        <f>SUM(J272:J283)</f>
        <v>0.91566265060240959</v>
      </c>
    </row>
    <row r="285" spans="2:10" ht="17.25" thickTop="1" thickBot="1" x14ac:dyDescent="0.25">
      <c r="D285" s="455" t="s">
        <v>160</v>
      </c>
      <c r="E285" s="522">
        <v>269703</v>
      </c>
      <c r="F285" s="1133">
        <v>14</v>
      </c>
      <c r="G285" s="1134"/>
      <c r="H285" s="1135"/>
      <c r="I285" s="502">
        <f>E285/E$265</f>
        <v>8.7874955036674439E-3</v>
      </c>
      <c r="J285" s="503">
        <f t="shared" ref="J285" si="38">F285/F$265</f>
        <v>2.1538461538461538E-2</v>
      </c>
    </row>
    <row r="286" spans="2:10" ht="16.5" thickTop="1" thickBot="1" x14ac:dyDescent="0.25">
      <c r="D286" s="17" t="s">
        <v>3</v>
      </c>
      <c r="E286" s="29">
        <f>E285+E284</f>
        <v>2220419</v>
      </c>
      <c r="F286" s="922">
        <f>F285+F284</f>
        <v>166</v>
      </c>
      <c r="G286" s="923"/>
      <c r="H286" s="924"/>
      <c r="I286" s="34">
        <f>I285+I284</f>
        <v>0.88732258280025422</v>
      </c>
      <c r="J286" s="116">
        <f>J285+J284</f>
        <v>0.9372011121408711</v>
      </c>
    </row>
    <row r="287" spans="2:10" ht="13.5" thickTop="1" x14ac:dyDescent="0.2"/>
    <row r="288" spans="2:10" ht="13.5" thickBot="1" x14ac:dyDescent="0.25"/>
    <row r="289" spans="2:11" ht="17.25" thickTop="1" thickBot="1" x14ac:dyDescent="0.25">
      <c r="D289" s="1244" t="s">
        <v>173</v>
      </c>
      <c r="E289" s="1245"/>
      <c r="F289" s="1246"/>
      <c r="G289" s="37"/>
      <c r="H289" s="37"/>
    </row>
    <row r="290" spans="2:11" ht="14.25" thickTop="1" thickBot="1" x14ac:dyDescent="0.25"/>
    <row r="291" spans="2:11" ht="46.5" thickTop="1" thickBot="1" x14ac:dyDescent="0.25">
      <c r="D291" s="455" t="s">
        <v>33</v>
      </c>
      <c r="E291" s="456" t="s">
        <v>209</v>
      </c>
      <c r="F291" s="998" t="s">
        <v>15</v>
      </c>
      <c r="G291" s="1111"/>
      <c r="H291" s="1112"/>
      <c r="I291" s="457" t="s">
        <v>72</v>
      </c>
      <c r="J291" s="458" t="s">
        <v>18</v>
      </c>
    </row>
    <row r="292" spans="2:11" ht="15.75" thickTop="1" x14ac:dyDescent="0.2">
      <c r="B292">
        <v>1</v>
      </c>
      <c r="D292" s="518" t="s">
        <v>25</v>
      </c>
      <c r="E292" s="488">
        <v>4000000</v>
      </c>
      <c r="F292" s="1148">
        <v>120</v>
      </c>
      <c r="G292" s="1149"/>
      <c r="H292" s="1150"/>
      <c r="I292" s="459">
        <f>E292/E$308</f>
        <v>0.25367833587011668</v>
      </c>
      <c r="J292" s="460">
        <f>F292/F$308</f>
        <v>0.39215686274509803</v>
      </c>
      <c r="K292" s="756" t="s">
        <v>406</v>
      </c>
    </row>
    <row r="293" spans="2:11" ht="15" x14ac:dyDescent="0.2">
      <c r="B293">
        <f>1+B292</f>
        <v>2</v>
      </c>
      <c r="D293" s="519" t="s">
        <v>24</v>
      </c>
      <c r="E293" s="520">
        <v>4000000</v>
      </c>
      <c r="F293" s="1136">
        <v>150</v>
      </c>
      <c r="G293" s="1137"/>
      <c r="H293" s="1138"/>
      <c r="I293" s="461">
        <f t="shared" ref="I293:I303" si="39">E293/E$308</f>
        <v>0.25367833587011668</v>
      </c>
      <c r="J293" s="462">
        <f t="shared" ref="J293:J303" si="40">F293/F$308</f>
        <v>0.49019607843137253</v>
      </c>
    </row>
    <row r="294" spans="2:11" ht="15" x14ac:dyDescent="0.2">
      <c r="B294">
        <f t="shared" ref="B294:B303" si="41">1+B293</f>
        <v>3</v>
      </c>
      <c r="D294" s="519" t="s">
        <v>174</v>
      </c>
      <c r="E294" s="520">
        <v>2600000</v>
      </c>
      <c r="F294" s="1136">
        <v>20</v>
      </c>
      <c r="G294" s="1137"/>
      <c r="H294" s="1138"/>
      <c r="I294" s="461">
        <f t="shared" si="39"/>
        <v>0.16489091831557584</v>
      </c>
      <c r="J294" s="462">
        <f t="shared" si="40"/>
        <v>6.535947712418301E-2</v>
      </c>
      <c r="K294" s="756" t="s">
        <v>406</v>
      </c>
    </row>
    <row r="295" spans="2:11" ht="15" x14ac:dyDescent="0.2">
      <c r="B295">
        <f t="shared" si="41"/>
        <v>4</v>
      </c>
      <c r="D295" s="519" t="s">
        <v>175</v>
      </c>
      <c r="E295" s="520">
        <v>200000</v>
      </c>
      <c r="F295" s="1136">
        <v>1</v>
      </c>
      <c r="G295" s="1137"/>
      <c r="H295" s="1138"/>
      <c r="I295" s="461">
        <f t="shared" si="39"/>
        <v>1.2683916793505834E-2</v>
      </c>
      <c r="J295" s="462">
        <f t="shared" si="40"/>
        <v>3.2679738562091504E-3</v>
      </c>
    </row>
    <row r="296" spans="2:11" ht="15" x14ac:dyDescent="0.2">
      <c r="B296">
        <f t="shared" si="41"/>
        <v>5</v>
      </c>
      <c r="D296" s="519" t="s">
        <v>176</v>
      </c>
      <c r="E296" s="520">
        <v>800000</v>
      </c>
      <c r="F296" s="1136">
        <v>6</v>
      </c>
      <c r="G296" s="1137"/>
      <c r="H296" s="1138"/>
      <c r="I296" s="461">
        <f t="shared" si="39"/>
        <v>5.0735667174023336E-2</v>
      </c>
      <c r="J296" s="462">
        <f t="shared" si="40"/>
        <v>1.9607843137254902E-2</v>
      </c>
    </row>
    <row r="297" spans="2:11" ht="15" x14ac:dyDescent="0.2">
      <c r="B297">
        <f t="shared" si="41"/>
        <v>6</v>
      </c>
      <c r="D297" s="519" t="s">
        <v>167</v>
      </c>
      <c r="E297" s="520">
        <v>50000</v>
      </c>
      <c r="F297" s="1136">
        <v>0</v>
      </c>
      <c r="G297" s="1137"/>
      <c r="H297" s="1138"/>
      <c r="I297" s="461">
        <f t="shared" si="39"/>
        <v>3.1709791983764585E-3</v>
      </c>
      <c r="J297" s="462">
        <f t="shared" si="40"/>
        <v>0</v>
      </c>
    </row>
    <row r="298" spans="2:11" ht="15" x14ac:dyDescent="0.2">
      <c r="B298">
        <f t="shared" si="41"/>
        <v>7</v>
      </c>
      <c r="D298" s="519" t="s">
        <v>32</v>
      </c>
      <c r="E298" s="520">
        <v>1500000</v>
      </c>
      <c r="F298" s="1136">
        <v>2</v>
      </c>
      <c r="G298" s="1137"/>
      <c r="H298" s="1138"/>
      <c r="I298" s="461">
        <f t="shared" si="39"/>
        <v>9.5129375951293754E-2</v>
      </c>
      <c r="J298" s="462">
        <f t="shared" si="40"/>
        <v>6.5359477124183009E-3</v>
      </c>
    </row>
    <row r="299" spans="2:11" ht="15" x14ac:dyDescent="0.2">
      <c r="B299">
        <f t="shared" si="41"/>
        <v>8</v>
      </c>
      <c r="D299" s="519" t="s">
        <v>181</v>
      </c>
      <c r="E299" s="520">
        <v>1500000</v>
      </c>
      <c r="F299" s="1136">
        <v>5</v>
      </c>
      <c r="G299" s="1137"/>
      <c r="H299" s="1138"/>
      <c r="I299" s="461">
        <f t="shared" si="39"/>
        <v>9.5129375951293754E-2</v>
      </c>
      <c r="J299" s="462">
        <f t="shared" si="40"/>
        <v>1.6339869281045753E-2</v>
      </c>
    </row>
    <row r="300" spans="2:11" ht="15" x14ac:dyDescent="0.2">
      <c r="B300">
        <f t="shared" si="41"/>
        <v>9</v>
      </c>
      <c r="D300" s="519" t="s">
        <v>177</v>
      </c>
      <c r="E300" s="520">
        <v>600000</v>
      </c>
      <c r="F300" s="1136">
        <v>0</v>
      </c>
      <c r="G300" s="1137"/>
      <c r="H300" s="1138"/>
      <c r="I300" s="461">
        <f t="shared" si="39"/>
        <v>3.8051750380517502E-2</v>
      </c>
      <c r="J300" s="462">
        <f t="shared" si="40"/>
        <v>0</v>
      </c>
    </row>
    <row r="301" spans="2:11" ht="15" x14ac:dyDescent="0.2">
      <c r="B301">
        <f t="shared" si="41"/>
        <v>10</v>
      </c>
      <c r="D301" s="519" t="s">
        <v>28</v>
      </c>
      <c r="E301" s="520">
        <v>50000</v>
      </c>
      <c r="F301" s="1116">
        <v>0</v>
      </c>
      <c r="G301" s="1117"/>
      <c r="H301" s="1118"/>
      <c r="I301" s="461">
        <f t="shared" si="39"/>
        <v>3.1709791983764585E-3</v>
      </c>
      <c r="J301" s="462">
        <f t="shared" si="40"/>
        <v>0</v>
      </c>
    </row>
    <row r="302" spans="2:11" ht="15" x14ac:dyDescent="0.2">
      <c r="B302">
        <f t="shared" si="41"/>
        <v>11</v>
      </c>
      <c r="D302" s="519" t="s">
        <v>27</v>
      </c>
      <c r="E302" s="520">
        <v>300000</v>
      </c>
      <c r="F302" s="1139">
        <v>0</v>
      </c>
      <c r="G302" s="1140"/>
      <c r="H302" s="1141"/>
      <c r="I302" s="461">
        <f t="shared" si="39"/>
        <v>1.9025875190258751E-2</v>
      </c>
      <c r="J302" s="462">
        <f t="shared" si="40"/>
        <v>0</v>
      </c>
    </row>
    <row r="303" spans="2:11" ht="15.75" thickBot="1" x14ac:dyDescent="0.25">
      <c r="B303">
        <f t="shared" si="41"/>
        <v>12</v>
      </c>
      <c r="D303" s="521" t="s">
        <v>178</v>
      </c>
      <c r="E303" s="489">
        <v>3000</v>
      </c>
      <c r="F303" s="1119">
        <v>0</v>
      </c>
      <c r="G303" s="1120"/>
      <c r="H303" s="1121"/>
      <c r="I303" s="463">
        <f t="shared" si="39"/>
        <v>1.9025875190258751E-4</v>
      </c>
      <c r="J303" s="464">
        <f t="shared" si="40"/>
        <v>0</v>
      </c>
    </row>
    <row r="304" spans="2:11" ht="16.5" thickTop="1" thickBot="1" x14ac:dyDescent="0.25">
      <c r="D304" s="17" t="s">
        <v>4</v>
      </c>
      <c r="E304" s="29">
        <f>SUM(E292:E303)</f>
        <v>15603000</v>
      </c>
      <c r="F304" s="922">
        <f>SUM(F292:F303)</f>
        <v>304</v>
      </c>
      <c r="G304" s="923"/>
      <c r="H304" s="924"/>
      <c r="I304" s="32">
        <f>SUM(I292:I303)</f>
        <v>0.98953576864535775</v>
      </c>
      <c r="J304" s="30">
        <f>SUM(J292:J303)</f>
        <v>0.99346405228758172</v>
      </c>
    </row>
    <row r="305" spans="2:12" ht="17.25" thickTop="1" thickBot="1" x14ac:dyDescent="0.25">
      <c r="D305" s="475" t="s">
        <v>0</v>
      </c>
      <c r="I305" s="73"/>
    </row>
    <row r="306" spans="2:12" ht="15.75" thickTop="1" x14ac:dyDescent="0.2">
      <c r="D306" s="496" t="s">
        <v>179</v>
      </c>
      <c r="E306" s="488">
        <v>65000</v>
      </c>
      <c r="F306" s="1220">
        <v>2</v>
      </c>
      <c r="G306" s="1221"/>
      <c r="H306" s="1222"/>
      <c r="I306" s="459">
        <f t="shared" ref="I306:I307" si="42">E306/E$308</f>
        <v>4.122272957889396E-3</v>
      </c>
      <c r="J306" s="460">
        <f t="shared" ref="J306:J307" si="43">F306/F$308</f>
        <v>6.5359477124183009E-3</v>
      </c>
    </row>
    <row r="307" spans="2:12" ht="15.75" thickBot="1" x14ac:dyDescent="0.25">
      <c r="D307" s="497" t="s">
        <v>180</v>
      </c>
      <c r="E307" s="489">
        <v>100000</v>
      </c>
      <c r="F307" s="1119">
        <v>0</v>
      </c>
      <c r="G307" s="1192"/>
      <c r="H307" s="1193"/>
      <c r="I307" s="463">
        <f t="shared" si="42"/>
        <v>6.3419583967529169E-3</v>
      </c>
      <c r="J307" s="464">
        <f t="shared" si="43"/>
        <v>0</v>
      </c>
    </row>
    <row r="308" spans="2:12" ht="16.5" thickTop="1" thickBot="1" x14ac:dyDescent="0.25">
      <c r="D308" s="17" t="s">
        <v>3</v>
      </c>
      <c r="E308" s="29">
        <f>SUM(E304:E307)</f>
        <v>15768000</v>
      </c>
      <c r="F308" s="922">
        <f>SUM(F304:H307)</f>
        <v>306</v>
      </c>
      <c r="G308" s="923"/>
      <c r="H308" s="924"/>
      <c r="I308" s="116">
        <f>SUM(I304:I307)</f>
        <v>1</v>
      </c>
      <c r="J308" s="121">
        <f>SUM(J304:J307)</f>
        <v>1</v>
      </c>
    </row>
    <row r="309" spans="2:12" ht="13.5" thickTop="1" x14ac:dyDescent="0.2"/>
    <row r="310" spans="2:12" ht="13.5" thickBot="1" x14ac:dyDescent="0.25"/>
    <row r="311" spans="2:12" ht="17.25" thickTop="1" thickBot="1" x14ac:dyDescent="0.25">
      <c r="D311" s="1244" t="s">
        <v>190</v>
      </c>
      <c r="E311" s="1245"/>
      <c r="F311" s="1246"/>
      <c r="G311" s="37"/>
      <c r="H311" s="37"/>
    </row>
    <row r="312" spans="2:12" ht="14.25" thickTop="1" thickBot="1" x14ac:dyDescent="0.25"/>
    <row r="313" spans="2:12" ht="46.5" thickTop="1" thickBot="1" x14ac:dyDescent="0.25">
      <c r="D313" s="455" t="s">
        <v>33</v>
      </c>
      <c r="E313" s="456" t="s">
        <v>209</v>
      </c>
      <c r="F313" s="998" t="s">
        <v>15</v>
      </c>
      <c r="G313" s="1111"/>
      <c r="H313" s="1112"/>
      <c r="I313" s="457" t="s">
        <v>72</v>
      </c>
      <c r="J313" s="458" t="s">
        <v>18</v>
      </c>
    </row>
    <row r="314" spans="2:12" ht="15.75" thickTop="1" x14ac:dyDescent="0.2">
      <c r="B314">
        <v>1</v>
      </c>
      <c r="D314" s="518" t="s">
        <v>24</v>
      </c>
      <c r="E314" s="488">
        <v>5600496</v>
      </c>
      <c r="F314" s="1113">
        <v>99</v>
      </c>
      <c r="G314" s="1114"/>
      <c r="H314" s="1115"/>
      <c r="I314" s="459">
        <f>E314/E$330</f>
        <v>0.31894660355652055</v>
      </c>
      <c r="J314" s="460">
        <f>F314/F$330</f>
        <v>0.29289940828402367</v>
      </c>
      <c r="L314">
        <v>184</v>
      </c>
    </row>
    <row r="315" spans="2:12" ht="15" x14ac:dyDescent="0.2">
      <c r="B315">
        <f>1+B314</f>
        <v>2</v>
      </c>
      <c r="D315" s="519" t="s">
        <v>25</v>
      </c>
      <c r="E315" s="520">
        <v>6930136</v>
      </c>
      <c r="F315" s="1116">
        <v>184</v>
      </c>
      <c r="G315" s="1117"/>
      <c r="H315" s="1118"/>
      <c r="I315" s="461">
        <f t="shared" ref="I315:I325" si="44">E315/E$330</f>
        <v>0.3946692113314198</v>
      </c>
      <c r="J315" s="462">
        <f t="shared" ref="J315:J325" si="45">F315/F$330</f>
        <v>0.54437869822485208</v>
      </c>
      <c r="L315">
        <f>338/2</f>
        <v>169</v>
      </c>
    </row>
    <row r="316" spans="2:12" ht="15" x14ac:dyDescent="0.2">
      <c r="B316">
        <f t="shared" ref="B316:B325" si="46">1+B315</f>
        <v>3</v>
      </c>
      <c r="D316" s="519" t="s">
        <v>31</v>
      </c>
      <c r="E316" s="520">
        <v>3461262</v>
      </c>
      <c r="F316" s="1116">
        <v>44</v>
      </c>
      <c r="G316" s="1117"/>
      <c r="H316" s="1118"/>
      <c r="I316" s="461">
        <f t="shared" si="44"/>
        <v>0.19711785508270152</v>
      </c>
      <c r="J316" s="462">
        <f t="shared" si="45"/>
        <v>0.13017751479289941</v>
      </c>
      <c r="L316">
        <f>L314-L315</f>
        <v>15</v>
      </c>
    </row>
    <row r="317" spans="2:12" ht="15" x14ac:dyDescent="0.2">
      <c r="B317">
        <f t="shared" si="46"/>
        <v>4</v>
      </c>
      <c r="D317" s="519" t="s">
        <v>32</v>
      </c>
      <c r="E317" s="520">
        <v>605864</v>
      </c>
      <c r="F317" s="1116">
        <v>1</v>
      </c>
      <c r="G317" s="1117"/>
      <c r="H317" s="1118"/>
      <c r="I317" s="461">
        <f t="shared" si="44"/>
        <v>3.4503776989960849E-2</v>
      </c>
      <c r="J317" s="462">
        <f t="shared" si="45"/>
        <v>2.9585798816568047E-3</v>
      </c>
    </row>
    <row r="318" spans="2:12" ht="15" x14ac:dyDescent="0.2">
      <c r="B318">
        <f t="shared" si="46"/>
        <v>5</v>
      </c>
      <c r="D318" s="519" t="s">
        <v>26</v>
      </c>
      <c r="E318" s="520">
        <v>818652</v>
      </c>
      <c r="F318" s="1116">
        <v>10</v>
      </c>
      <c r="G318" s="1117"/>
      <c r="H318" s="1118"/>
      <c r="I318" s="461">
        <f t="shared" si="44"/>
        <v>4.6621991140561952E-2</v>
      </c>
      <c r="J318" s="462">
        <f t="shared" si="45"/>
        <v>2.9585798816568046E-2</v>
      </c>
    </row>
    <row r="319" spans="2:12" ht="15" x14ac:dyDescent="0.2">
      <c r="B319">
        <f t="shared" si="46"/>
        <v>6</v>
      </c>
      <c r="D319" s="519" t="s">
        <v>27</v>
      </c>
      <c r="E319" s="520">
        <v>15284</v>
      </c>
      <c r="F319" s="1116">
        <v>0</v>
      </c>
      <c r="G319" s="1117"/>
      <c r="H319" s="1118"/>
      <c r="I319" s="461">
        <f t="shared" si="44"/>
        <v>8.7041931442462597E-4</v>
      </c>
      <c r="J319" s="462">
        <f t="shared" si="45"/>
        <v>0</v>
      </c>
    </row>
    <row r="320" spans="2:12" ht="15" x14ac:dyDescent="0.2">
      <c r="B320">
        <f t="shared" si="46"/>
        <v>7</v>
      </c>
      <c r="D320" s="519" t="s">
        <v>28</v>
      </c>
      <c r="E320" s="520">
        <v>9105</v>
      </c>
      <c r="F320" s="1116">
        <v>0</v>
      </c>
      <c r="G320" s="1117"/>
      <c r="H320" s="1118"/>
      <c r="I320" s="461">
        <f t="shared" si="44"/>
        <v>5.1852707784848337E-4</v>
      </c>
      <c r="J320" s="462">
        <f t="shared" si="45"/>
        <v>0</v>
      </c>
      <c r="L320" s="21">
        <f>F326/2</f>
        <v>169</v>
      </c>
    </row>
    <row r="321" spans="2:12" ht="15" x14ac:dyDescent="0.2">
      <c r="B321">
        <f t="shared" si="46"/>
        <v>8</v>
      </c>
      <c r="D321" s="519" t="s">
        <v>187</v>
      </c>
      <c r="E321" s="520">
        <v>8975</v>
      </c>
      <c r="F321" s="1116">
        <v>0</v>
      </c>
      <c r="G321" s="1117"/>
      <c r="H321" s="1118"/>
      <c r="I321" s="461">
        <f t="shared" si="44"/>
        <v>5.1112361600111345E-4</v>
      </c>
      <c r="J321" s="462">
        <f t="shared" si="45"/>
        <v>0</v>
      </c>
      <c r="L321" s="21">
        <f>F315-L320</f>
        <v>15</v>
      </c>
    </row>
    <row r="322" spans="2:12" ht="15" x14ac:dyDescent="0.2">
      <c r="B322">
        <f t="shared" si="46"/>
        <v>9</v>
      </c>
      <c r="D322" s="519" t="s">
        <v>30</v>
      </c>
      <c r="E322" s="520">
        <v>37407</v>
      </c>
      <c r="F322" s="1116">
        <v>0</v>
      </c>
      <c r="G322" s="1117"/>
      <c r="H322" s="1118"/>
      <c r="I322" s="461">
        <f t="shared" si="44"/>
        <v>2.1303176717274263E-3</v>
      </c>
      <c r="J322" s="462">
        <f t="shared" si="45"/>
        <v>0</v>
      </c>
    </row>
    <row r="323" spans="2:12" ht="15" x14ac:dyDescent="0.2">
      <c r="B323">
        <f t="shared" si="46"/>
        <v>10</v>
      </c>
      <c r="D323" s="519" t="s">
        <v>17</v>
      </c>
      <c r="E323" s="520">
        <v>22267</v>
      </c>
      <c r="F323" s="1116">
        <v>0</v>
      </c>
      <c r="G323" s="1117"/>
      <c r="H323" s="1118"/>
      <c r="I323" s="461">
        <f t="shared" si="44"/>
        <v>1.2680991150414256E-3</v>
      </c>
      <c r="J323" s="462">
        <f t="shared" si="45"/>
        <v>0</v>
      </c>
    </row>
    <row r="324" spans="2:12" ht="15" x14ac:dyDescent="0.2">
      <c r="B324">
        <f t="shared" si="46"/>
        <v>11</v>
      </c>
      <c r="D324" s="537"/>
      <c r="E324" s="538"/>
      <c r="F324" s="539"/>
      <c r="G324" s="531"/>
      <c r="H324" s="532"/>
      <c r="I324" s="461">
        <f t="shared" si="44"/>
        <v>0</v>
      </c>
      <c r="J324" s="462">
        <f t="shared" si="45"/>
        <v>0</v>
      </c>
    </row>
    <row r="325" spans="2:12" ht="15.75" thickBot="1" x14ac:dyDescent="0.25">
      <c r="B325">
        <f t="shared" si="46"/>
        <v>12</v>
      </c>
      <c r="D325" s="521"/>
      <c r="E325" s="489"/>
      <c r="F325" s="1151"/>
      <c r="G325" s="1168"/>
      <c r="H325" s="1169"/>
      <c r="I325" s="463">
        <f t="shared" si="44"/>
        <v>0</v>
      </c>
      <c r="J325" s="464">
        <f t="shared" si="45"/>
        <v>0</v>
      </c>
    </row>
    <row r="326" spans="2:12" ht="16.5" thickTop="1" thickBot="1" x14ac:dyDescent="0.25">
      <c r="D326" s="17" t="s">
        <v>4</v>
      </c>
      <c r="E326" s="29">
        <f>SUM(E314:E325)</f>
        <v>17509448</v>
      </c>
      <c r="F326" s="922">
        <f>SUM(F314:F325)</f>
        <v>338</v>
      </c>
      <c r="G326" s="923"/>
      <c r="H326" s="924"/>
      <c r="I326" s="32">
        <f>SUM(I314:I325)</f>
        <v>0.99715792489620791</v>
      </c>
      <c r="J326" s="30">
        <f>SUM(J314:J325)</f>
        <v>1</v>
      </c>
    </row>
    <row r="327" spans="2:12" ht="17.25" thickTop="1" thickBot="1" x14ac:dyDescent="0.25">
      <c r="D327" s="475" t="s">
        <v>0</v>
      </c>
      <c r="I327" s="73"/>
    </row>
    <row r="328" spans="2:12" ht="15.75" thickTop="1" x14ac:dyDescent="0.2">
      <c r="D328" s="476" t="s">
        <v>188</v>
      </c>
      <c r="E328" s="488"/>
      <c r="F328" s="1106">
        <v>0</v>
      </c>
      <c r="G328" s="1107"/>
      <c r="H328" s="1108"/>
      <c r="I328" s="459">
        <f t="shared" ref="I328:I329" si="47">E328/E$330</f>
        <v>0</v>
      </c>
      <c r="J328" s="460">
        <f t="shared" ref="J328:J329" si="48">F328/F$330</f>
        <v>0</v>
      </c>
    </row>
    <row r="329" spans="2:12" ht="15.75" thickBot="1" x14ac:dyDescent="0.25">
      <c r="D329" s="477" t="s">
        <v>189</v>
      </c>
      <c r="E329" s="489">
        <f>9026+40879</f>
        <v>49905</v>
      </c>
      <c r="F329" s="1119">
        <v>0</v>
      </c>
      <c r="G329" s="1120"/>
      <c r="H329" s="1121"/>
      <c r="I329" s="463">
        <f t="shared" si="47"/>
        <v>2.8420751037922637E-3</v>
      </c>
      <c r="J329" s="464">
        <f t="shared" si="48"/>
        <v>0</v>
      </c>
      <c r="L329">
        <f>E329/E330</f>
        <v>2.8420751037922637E-3</v>
      </c>
    </row>
    <row r="330" spans="2:12" ht="16.5" thickTop="1" thickBot="1" x14ac:dyDescent="0.25">
      <c r="D330" s="17" t="s">
        <v>3</v>
      </c>
      <c r="E330" s="29">
        <f>SUM(E326:E329)</f>
        <v>17559353</v>
      </c>
      <c r="F330" s="922">
        <f>SUM(F326:H329)</f>
        <v>338</v>
      </c>
      <c r="G330" s="923"/>
      <c r="H330" s="924"/>
      <c r="I330" s="116">
        <f>SUM(I326:I329)</f>
        <v>1.0000000000000002</v>
      </c>
      <c r="J330" s="121">
        <f>SUM(J326:J329)</f>
        <v>1</v>
      </c>
    </row>
    <row r="331" spans="2:12" ht="13.5" thickTop="1" x14ac:dyDescent="0.2"/>
    <row r="332" spans="2:12" ht="13.5" thickBot="1" x14ac:dyDescent="0.25"/>
    <row r="333" spans="2:12" ht="17.25" thickTop="1" thickBot="1" x14ac:dyDescent="0.25">
      <c r="D333" s="1125" t="s">
        <v>210</v>
      </c>
      <c r="E333" s="1126"/>
    </row>
    <row r="334" spans="2:12" ht="14.25" thickTop="1" thickBot="1" x14ac:dyDescent="0.25"/>
    <row r="335" spans="2:12" ht="46.5" thickTop="1" thickBot="1" x14ac:dyDescent="0.25">
      <c r="D335" s="455" t="s">
        <v>33</v>
      </c>
      <c r="E335" s="456" t="s">
        <v>209</v>
      </c>
      <c r="F335" s="998" t="s">
        <v>15</v>
      </c>
      <c r="G335" s="1111"/>
      <c r="H335" s="1112"/>
      <c r="I335" s="457" t="s">
        <v>72</v>
      </c>
      <c r="J335" s="458" t="s">
        <v>18</v>
      </c>
    </row>
    <row r="336" spans="2:12" ht="15.75" thickTop="1" x14ac:dyDescent="0.2">
      <c r="B336">
        <v>1</v>
      </c>
      <c r="D336" s="518" t="s">
        <v>198</v>
      </c>
      <c r="E336" s="488">
        <v>4702296</v>
      </c>
      <c r="F336" s="1113">
        <v>69</v>
      </c>
      <c r="G336" s="1114"/>
      <c r="H336" s="1115"/>
      <c r="I336" s="459">
        <f>E336/E$308</f>
        <v>0.29821765601217654</v>
      </c>
      <c r="J336" s="460">
        <f>F336/F$352</f>
        <v>0.46</v>
      </c>
    </row>
    <row r="337" spans="2:10" ht="15" x14ac:dyDescent="0.2">
      <c r="B337">
        <f>1+B336</f>
        <v>2</v>
      </c>
      <c r="D337" s="519" t="s">
        <v>199</v>
      </c>
      <c r="E337" s="520">
        <v>1385650</v>
      </c>
      <c r="F337" s="1116">
        <v>1</v>
      </c>
      <c r="G337" s="1117"/>
      <c r="H337" s="1118"/>
      <c r="I337" s="461">
        <f t="shared" ref="I337:I347" si="49">E337/E$308</f>
        <v>8.7877346524606798E-2</v>
      </c>
      <c r="J337" s="462">
        <f t="shared" ref="J337:J347" si="50">F337/F$308</f>
        <v>3.2679738562091504E-3</v>
      </c>
    </row>
    <row r="338" spans="2:10" ht="15" x14ac:dyDescent="0.2">
      <c r="B338">
        <f t="shared" ref="B338:B347" si="51">1+B337</f>
        <v>3</v>
      </c>
      <c r="D338" s="519" t="s">
        <v>200</v>
      </c>
      <c r="E338" s="520"/>
      <c r="F338" s="1116"/>
      <c r="G338" s="1117"/>
      <c r="H338" s="1118"/>
      <c r="I338" s="461">
        <f t="shared" si="49"/>
        <v>0</v>
      </c>
      <c r="J338" s="462">
        <f t="shared" si="50"/>
        <v>0</v>
      </c>
    </row>
    <row r="339" spans="2:10" ht="15" x14ac:dyDescent="0.2">
      <c r="B339">
        <f t="shared" si="51"/>
        <v>4</v>
      </c>
      <c r="D339" s="540" t="s">
        <v>201</v>
      </c>
      <c r="E339" s="520">
        <v>3882905</v>
      </c>
      <c r="F339" s="1116">
        <v>45</v>
      </c>
      <c r="G339" s="1117"/>
      <c r="H339" s="1118"/>
      <c r="I339" s="461">
        <f t="shared" si="49"/>
        <v>0.24625221968543887</v>
      </c>
      <c r="J339" s="462">
        <f t="shared" si="50"/>
        <v>0.14705882352941177</v>
      </c>
    </row>
    <row r="340" spans="2:10" ht="15" x14ac:dyDescent="0.2">
      <c r="B340">
        <f t="shared" si="51"/>
        <v>5</v>
      </c>
      <c r="D340" s="540" t="s">
        <v>202</v>
      </c>
      <c r="E340" s="520">
        <v>1153736</v>
      </c>
      <c r="F340" s="1116">
        <v>21</v>
      </c>
      <c r="G340" s="1117"/>
      <c r="H340" s="1118"/>
      <c r="I340" s="461">
        <f t="shared" si="49"/>
        <v>7.3169457128361232E-2</v>
      </c>
      <c r="J340" s="462">
        <f t="shared" si="50"/>
        <v>6.8627450980392163E-2</v>
      </c>
    </row>
    <row r="341" spans="2:10" ht="15" x14ac:dyDescent="0.2">
      <c r="B341">
        <f t="shared" si="51"/>
        <v>6</v>
      </c>
      <c r="D341" s="540" t="s">
        <v>203</v>
      </c>
      <c r="E341" s="520">
        <v>624555</v>
      </c>
      <c r="F341" s="1116">
        <v>10</v>
      </c>
      <c r="G341" s="1117"/>
      <c r="H341" s="1118"/>
      <c r="I341" s="461">
        <f t="shared" si="49"/>
        <v>3.960901826484018E-2</v>
      </c>
      <c r="J341" s="462">
        <f t="shared" si="50"/>
        <v>3.2679738562091505E-2</v>
      </c>
    </row>
    <row r="342" spans="2:10" ht="15" x14ac:dyDescent="0.2">
      <c r="B342">
        <f t="shared" si="51"/>
        <v>7</v>
      </c>
      <c r="D342" s="540" t="s">
        <v>204</v>
      </c>
      <c r="E342" s="520">
        <v>32409</v>
      </c>
      <c r="F342" s="1116">
        <v>0</v>
      </c>
      <c r="G342" s="1117"/>
      <c r="H342" s="1118"/>
      <c r="I342" s="461">
        <f t="shared" si="49"/>
        <v>2.0553652968036528E-3</v>
      </c>
      <c r="J342" s="462">
        <f t="shared" si="50"/>
        <v>0</v>
      </c>
    </row>
    <row r="343" spans="2:10" ht="15" x14ac:dyDescent="0.2">
      <c r="B343">
        <f t="shared" si="51"/>
        <v>8</v>
      </c>
      <c r="D343" s="519" t="s">
        <v>205</v>
      </c>
      <c r="E343" s="520">
        <v>250333</v>
      </c>
      <c r="F343" s="1116">
        <v>1</v>
      </c>
      <c r="G343" s="1117"/>
      <c r="H343" s="1118"/>
      <c r="I343" s="461">
        <f t="shared" si="49"/>
        <v>1.5876014713343479E-2</v>
      </c>
      <c r="J343" s="462">
        <f t="shared" si="50"/>
        <v>3.2679738562091504E-3</v>
      </c>
    </row>
    <row r="344" spans="2:10" ht="15" x14ac:dyDescent="0.2">
      <c r="B344">
        <f t="shared" si="51"/>
        <v>9</v>
      </c>
      <c r="D344" s="519" t="s">
        <v>206</v>
      </c>
      <c r="E344" s="520">
        <v>72879</v>
      </c>
      <c r="F344" s="1116">
        <v>1</v>
      </c>
      <c r="G344" s="1117"/>
      <c r="H344" s="1118"/>
      <c r="I344" s="461">
        <f t="shared" si="49"/>
        <v>4.6219558599695587E-3</v>
      </c>
      <c r="J344" s="462">
        <f t="shared" si="50"/>
        <v>3.2679738562091504E-3</v>
      </c>
    </row>
    <row r="345" spans="2:10" ht="15" x14ac:dyDescent="0.2">
      <c r="B345">
        <f t="shared" si="51"/>
        <v>10</v>
      </c>
      <c r="D345" s="519" t="s">
        <v>207</v>
      </c>
      <c r="E345" s="520">
        <v>315</v>
      </c>
      <c r="F345" s="1116">
        <v>0</v>
      </c>
      <c r="G345" s="1117"/>
      <c r="H345" s="1118"/>
      <c r="I345" s="461">
        <f t="shared" si="49"/>
        <v>1.9977168949771689E-5</v>
      </c>
      <c r="J345" s="462">
        <f t="shared" si="50"/>
        <v>0</v>
      </c>
    </row>
    <row r="346" spans="2:10" ht="15" x14ac:dyDescent="0.2">
      <c r="B346">
        <f t="shared" si="51"/>
        <v>11</v>
      </c>
      <c r="D346" s="537" t="s">
        <v>62</v>
      </c>
      <c r="E346" s="538">
        <v>1055311</v>
      </c>
      <c r="F346" s="1116">
        <v>0</v>
      </c>
      <c r="G346" s="1117"/>
      <c r="H346" s="1118"/>
      <c r="I346" s="461">
        <f t="shared" si="49"/>
        <v>6.6927384576357177E-2</v>
      </c>
      <c r="J346" s="462">
        <f t="shared" si="50"/>
        <v>0</v>
      </c>
    </row>
    <row r="347" spans="2:10" ht="15.75" thickBot="1" x14ac:dyDescent="0.25">
      <c r="B347">
        <f t="shared" si="51"/>
        <v>12</v>
      </c>
      <c r="D347" s="521"/>
      <c r="E347" s="489"/>
      <c r="F347" s="1151"/>
      <c r="G347" s="1168"/>
      <c r="H347" s="1169"/>
      <c r="I347" s="463">
        <f t="shared" si="49"/>
        <v>0</v>
      </c>
      <c r="J347" s="464">
        <f t="shared" si="50"/>
        <v>0</v>
      </c>
    </row>
    <row r="348" spans="2:10" ht="16.5" thickTop="1" thickBot="1" x14ac:dyDescent="0.25">
      <c r="D348" s="17" t="s">
        <v>4</v>
      </c>
      <c r="E348" s="29">
        <f>SUM(E336:E347)</f>
        <v>13160389</v>
      </c>
      <c r="F348" s="922">
        <f>SUM(F336:F347)</f>
        <v>148</v>
      </c>
      <c r="G348" s="923"/>
      <c r="H348" s="924"/>
      <c r="I348" s="32">
        <f>SUM(I336:I347)</f>
        <v>0.83462639523084714</v>
      </c>
      <c r="J348" s="30">
        <f>SUM(J336:J347)</f>
        <v>0.71816993464052281</v>
      </c>
    </row>
    <row r="349" spans="2:10" ht="17.25" thickTop="1" thickBot="1" x14ac:dyDescent="0.25">
      <c r="D349" s="475" t="s">
        <v>0</v>
      </c>
      <c r="I349" s="73"/>
    </row>
    <row r="350" spans="2:10" ht="15.75" thickTop="1" x14ac:dyDescent="0.2">
      <c r="D350" s="476" t="s">
        <v>208</v>
      </c>
      <c r="E350" s="488">
        <v>380712</v>
      </c>
      <c r="F350" s="1106">
        <v>2</v>
      </c>
      <c r="G350" s="1107"/>
      <c r="H350" s="1108"/>
      <c r="I350" s="459">
        <f t="shared" ref="I350:I351" si="52">E350/E$308</f>
        <v>2.4144596651445967E-2</v>
      </c>
      <c r="J350" s="460">
        <f t="shared" ref="J350:J351" si="53">F350/F$308</f>
        <v>6.5359477124183009E-3</v>
      </c>
    </row>
    <row r="351" spans="2:10" ht="15.75" thickBot="1" x14ac:dyDescent="0.25">
      <c r="D351" s="477"/>
      <c r="E351" s="489"/>
      <c r="F351" s="1119"/>
      <c r="G351" s="1120"/>
      <c r="H351" s="1121"/>
      <c r="I351" s="463">
        <f t="shared" si="52"/>
        <v>0</v>
      </c>
      <c r="J351" s="464">
        <f t="shared" si="53"/>
        <v>0</v>
      </c>
    </row>
    <row r="352" spans="2:10" ht="16.5" thickTop="1" thickBot="1" x14ac:dyDescent="0.25">
      <c r="D352" s="17" t="s">
        <v>3</v>
      </c>
      <c r="E352" s="29">
        <f>SUM(E348:E351)</f>
        <v>13541101</v>
      </c>
      <c r="F352" s="922">
        <f>SUM(F348:H351)</f>
        <v>150</v>
      </c>
      <c r="G352" s="923"/>
      <c r="H352" s="924"/>
      <c r="I352" s="116">
        <f>SUM(I348:I351)</f>
        <v>0.85877099188229311</v>
      </c>
      <c r="J352" s="121">
        <f>SUM(J348:J351)</f>
        <v>0.72470588235294109</v>
      </c>
    </row>
    <row r="353" spans="4:10" ht="14.25" thickTop="1" thickBot="1" x14ac:dyDescent="0.25"/>
    <row r="354" spans="4:10" ht="17.25" thickTop="1" thickBot="1" x14ac:dyDescent="0.25">
      <c r="D354" s="1125" t="s">
        <v>349</v>
      </c>
      <c r="E354" s="1126"/>
    </row>
    <row r="355" spans="4:10" ht="14.25" thickTop="1" thickBot="1" x14ac:dyDescent="0.25"/>
    <row r="356" spans="4:10" ht="46.5" customHeight="1" thickTop="1" thickBot="1" x14ac:dyDescent="0.25">
      <c r="D356" s="455" t="s">
        <v>33</v>
      </c>
      <c r="E356" s="456" t="s">
        <v>209</v>
      </c>
      <c r="F356" s="998" t="s">
        <v>15</v>
      </c>
      <c r="G356" s="1111"/>
      <c r="H356" s="1112"/>
      <c r="I356" s="457" t="s">
        <v>72</v>
      </c>
      <c r="J356" s="458" t="s">
        <v>18</v>
      </c>
    </row>
    <row r="357" spans="4:10" ht="15.75" thickTop="1" x14ac:dyDescent="0.2">
      <c r="D357" s="537" t="s">
        <v>26</v>
      </c>
      <c r="E357" s="488">
        <v>1376135</v>
      </c>
      <c r="F357" s="1127">
        <v>32</v>
      </c>
      <c r="G357" s="1128"/>
      <c r="H357" s="1129"/>
      <c r="I357" s="459">
        <f>E357/E$308</f>
        <v>8.7273909183155765E-2</v>
      </c>
      <c r="J357" s="460">
        <f>(F357/F373)</f>
        <v>9.4674556213017749E-2</v>
      </c>
    </row>
    <row r="358" spans="4:10" ht="15" x14ac:dyDescent="0.2">
      <c r="D358" s="537" t="s">
        <v>24</v>
      </c>
      <c r="E358" s="520">
        <v>6155682</v>
      </c>
      <c r="F358" s="1130">
        <v>121</v>
      </c>
      <c r="G358" s="1131"/>
      <c r="H358" s="1132"/>
      <c r="I358" s="461">
        <f t="shared" ref="I358:I368" si="54">E358/E$308</f>
        <v>0.39039079147640793</v>
      </c>
      <c r="J358" s="462">
        <f>(F358/F373)</f>
        <v>0.35798816568047337</v>
      </c>
    </row>
    <row r="359" spans="4:10" ht="15" x14ac:dyDescent="0.2">
      <c r="D359" s="596" t="s">
        <v>32</v>
      </c>
      <c r="E359" s="520">
        <v>1162361</v>
      </c>
      <c r="F359" s="1130">
        <v>3</v>
      </c>
      <c r="G359" s="1131"/>
      <c r="H359" s="1132"/>
      <c r="I359" s="461">
        <f t="shared" si="54"/>
        <v>7.3716451040081177E-2</v>
      </c>
      <c r="J359" s="462">
        <f>(F359/F373)</f>
        <v>8.8757396449704144E-3</v>
      </c>
    </row>
    <row r="360" spans="4:10" ht="15" x14ac:dyDescent="0.2">
      <c r="D360" s="537" t="s">
        <v>25</v>
      </c>
      <c r="E360" s="520">
        <v>5916030</v>
      </c>
      <c r="F360" s="1130">
        <v>157</v>
      </c>
      <c r="G360" s="1131"/>
      <c r="H360" s="1132"/>
      <c r="I360" s="461">
        <f t="shared" si="54"/>
        <v>0.37519216133942163</v>
      </c>
      <c r="J360" s="462">
        <f>(F360/F373)</f>
        <v>0.46449704142011833</v>
      </c>
    </row>
    <row r="361" spans="4:10" ht="15" x14ac:dyDescent="0.2">
      <c r="D361" s="537" t="s">
        <v>31</v>
      </c>
      <c r="E361" s="520">
        <v>2849214</v>
      </c>
      <c r="F361" s="1130">
        <v>24</v>
      </c>
      <c r="G361" s="1131"/>
      <c r="H361" s="1132"/>
      <c r="I361" s="461">
        <f t="shared" si="54"/>
        <v>0.18069596651445965</v>
      </c>
      <c r="J361" s="462">
        <f>(F361/F373)</f>
        <v>7.1005917159763315E-2</v>
      </c>
    </row>
    <row r="362" spans="4:10" ht="15" x14ac:dyDescent="0.2">
      <c r="D362" s="537" t="s">
        <v>348</v>
      </c>
      <c r="E362" s="520">
        <v>292703</v>
      </c>
      <c r="F362" s="1130">
        <v>0</v>
      </c>
      <c r="G362" s="1131"/>
      <c r="H362" s="1132"/>
      <c r="I362" s="461">
        <f t="shared" si="54"/>
        <v>1.8563102486047693E-2</v>
      </c>
      <c r="J362" s="462">
        <f>(F362/F373)</f>
        <v>0</v>
      </c>
    </row>
    <row r="363" spans="4:10" ht="15" x14ac:dyDescent="0.2">
      <c r="D363" s="537"/>
      <c r="E363" s="520">
        <v>0</v>
      </c>
      <c r="F363" s="1130">
        <v>0</v>
      </c>
      <c r="G363" s="1131"/>
      <c r="H363" s="1132"/>
      <c r="I363" s="461">
        <f t="shared" si="54"/>
        <v>0</v>
      </c>
      <c r="J363" s="462">
        <f>(F363/F373)</f>
        <v>0</v>
      </c>
    </row>
    <row r="364" spans="4:10" ht="15" x14ac:dyDescent="0.2">
      <c r="D364" s="537"/>
      <c r="E364" s="520">
        <v>0</v>
      </c>
      <c r="F364" s="1130">
        <v>0</v>
      </c>
      <c r="G364" s="1131"/>
      <c r="H364" s="1132"/>
      <c r="I364" s="461">
        <f t="shared" si="54"/>
        <v>0</v>
      </c>
      <c r="J364" s="462">
        <f>(F364/F373)</f>
        <v>0</v>
      </c>
    </row>
    <row r="365" spans="4:10" ht="15" x14ac:dyDescent="0.2">
      <c r="D365" s="537"/>
      <c r="E365" s="520">
        <v>0</v>
      </c>
      <c r="F365" s="1130">
        <v>0</v>
      </c>
      <c r="G365" s="1131"/>
      <c r="H365" s="1132"/>
      <c r="I365" s="461">
        <f t="shared" si="54"/>
        <v>0</v>
      </c>
      <c r="J365" s="462">
        <f>(F365/F373)</f>
        <v>0</v>
      </c>
    </row>
    <row r="366" spans="4:10" ht="15" x14ac:dyDescent="0.2">
      <c r="D366" s="596"/>
      <c r="E366" s="520">
        <v>0</v>
      </c>
      <c r="F366" s="1130">
        <v>0</v>
      </c>
      <c r="G366" s="1131"/>
      <c r="H366" s="1132"/>
      <c r="I366" s="461">
        <f t="shared" si="54"/>
        <v>0</v>
      </c>
      <c r="J366" s="462">
        <f>(F366/F373)</f>
        <v>0</v>
      </c>
    </row>
    <row r="367" spans="4:10" ht="15" x14ac:dyDescent="0.2">
      <c r="D367" s="519"/>
      <c r="E367" s="520">
        <v>0</v>
      </c>
      <c r="F367" s="1130">
        <v>0</v>
      </c>
      <c r="G367" s="1131"/>
      <c r="H367" s="1132"/>
      <c r="I367" s="461">
        <f t="shared" si="54"/>
        <v>0</v>
      </c>
      <c r="J367" s="462">
        <f>(F367/F373)</f>
        <v>0</v>
      </c>
    </row>
    <row r="368" spans="4:10" ht="15.75" thickBot="1" x14ac:dyDescent="0.25">
      <c r="D368" s="521" t="s">
        <v>17</v>
      </c>
      <c r="E368" s="520">
        <v>66287</v>
      </c>
      <c r="F368" s="1224">
        <v>0</v>
      </c>
      <c r="G368" s="1225"/>
      <c r="H368" s="1226"/>
      <c r="I368" s="463">
        <f t="shared" si="54"/>
        <v>4.2038939624556059E-3</v>
      </c>
      <c r="J368" s="464">
        <f>(F368/F373)</f>
        <v>0</v>
      </c>
    </row>
    <row r="369" spans="4:21" ht="16.5" thickTop="1" thickBot="1" x14ac:dyDescent="0.25">
      <c r="D369" s="17" t="s">
        <v>4</v>
      </c>
      <c r="E369" s="29">
        <f>SUM(E357:E368)</f>
        <v>17818412</v>
      </c>
      <c r="F369" s="922">
        <f>SUM(F357:F368)</f>
        <v>337</v>
      </c>
      <c r="G369" s="923"/>
      <c r="H369" s="924"/>
      <c r="I369" s="32">
        <f>SUM(I357:I368)</f>
        <v>1.1300362760020295</v>
      </c>
      <c r="J369" s="755">
        <f>SUM(J357:J368)</f>
        <v>0.99704142011834318</v>
      </c>
      <c r="L369">
        <f>F369/2</f>
        <v>168.5</v>
      </c>
    </row>
    <row r="370" spans="4:21" ht="17.25" thickTop="1" thickBot="1" x14ac:dyDescent="0.25">
      <c r="D370" s="475" t="s">
        <v>0</v>
      </c>
      <c r="I370" s="73"/>
    </row>
    <row r="371" spans="4:21" ht="15.75" thickTop="1" x14ac:dyDescent="0.2">
      <c r="D371" s="476" t="s">
        <v>188</v>
      </c>
      <c r="E371" s="488">
        <v>17265</v>
      </c>
      <c r="F371" s="1106">
        <v>1</v>
      </c>
      <c r="G371" s="1107"/>
      <c r="H371" s="1108"/>
      <c r="I371" s="459">
        <f t="shared" ref="I371:I372" si="55">E371/E$308</f>
        <v>1.0949391171993911E-3</v>
      </c>
      <c r="J371" s="460">
        <f>E371/E373</f>
        <v>9.6504993273996041E-4</v>
      </c>
    </row>
    <row r="372" spans="4:21" ht="15.75" thickBot="1" x14ac:dyDescent="0.25">
      <c r="D372" s="477" t="s">
        <v>189</v>
      </c>
      <c r="E372" s="489">
        <v>54589</v>
      </c>
      <c r="F372" s="1119">
        <v>0</v>
      </c>
      <c r="G372" s="1120"/>
      <c r="H372" s="1121"/>
      <c r="I372" s="463">
        <f t="shared" si="55"/>
        <v>3.4620116692034501E-3</v>
      </c>
      <c r="J372" s="464">
        <f>E372/E373</f>
        <v>3.0513241111115954E-3</v>
      </c>
    </row>
    <row r="373" spans="4:21" ht="16.5" thickTop="1" thickBot="1" x14ac:dyDescent="0.25">
      <c r="D373" s="17" t="s">
        <v>3</v>
      </c>
      <c r="E373" s="29">
        <f>SUM(E369:E372)</f>
        <v>17890266</v>
      </c>
      <c r="F373" s="922">
        <f>SUM(F369:H372)</f>
        <v>338</v>
      </c>
      <c r="G373" s="923"/>
      <c r="H373" s="924"/>
      <c r="I373" s="116">
        <f>SUM(I369:I372)</f>
        <v>1.1345932267884324</v>
      </c>
      <c r="J373" s="116">
        <f>SUM(J369:J372)</f>
        <v>1.0010577941621948</v>
      </c>
    </row>
    <row r="374" spans="4:21" ht="13.5" thickTop="1" x14ac:dyDescent="0.2"/>
    <row r="375" spans="4:21" ht="13.5" thickBot="1" x14ac:dyDescent="0.25"/>
    <row r="376" spans="4:21" ht="17.25" thickTop="1" thickBot="1" x14ac:dyDescent="0.25">
      <c r="D376" s="1125" t="s">
        <v>246</v>
      </c>
      <c r="E376" s="1126"/>
    </row>
    <row r="377" spans="4:21" ht="17.25" thickTop="1" thickBot="1" x14ac:dyDescent="0.3">
      <c r="L377" s="294" t="s">
        <v>224</v>
      </c>
      <c r="M377" s="294"/>
      <c r="N377" s="294"/>
      <c r="O377" s="294"/>
      <c r="P377" s="294"/>
      <c r="Q377" s="294"/>
      <c r="R377" s="294"/>
      <c r="S377" s="294"/>
      <c r="T377" s="294"/>
      <c r="U377" s="294"/>
    </row>
    <row r="378" spans="4:21" ht="46.5" thickTop="1" thickBot="1" x14ac:dyDescent="0.3">
      <c r="D378" s="455" t="s">
        <v>33</v>
      </c>
      <c r="E378" s="456" t="s">
        <v>209</v>
      </c>
      <c r="F378" s="998" t="s">
        <v>15</v>
      </c>
      <c r="G378" s="1111"/>
      <c r="H378" s="1112"/>
      <c r="I378" s="457" t="s">
        <v>72</v>
      </c>
      <c r="J378" s="458" t="s">
        <v>18</v>
      </c>
      <c r="L378" s="295" t="s">
        <v>225</v>
      </c>
      <c r="M378" s="296" t="s">
        <v>226</v>
      </c>
      <c r="N378" s="296" t="s">
        <v>227</v>
      </c>
      <c r="O378" s="296" t="s">
        <v>228</v>
      </c>
      <c r="P378" s="296" t="s">
        <v>229</v>
      </c>
      <c r="Q378" s="294"/>
      <c r="R378" s="294" t="s">
        <v>230</v>
      </c>
      <c r="S378" s="294" t="s">
        <v>231</v>
      </c>
      <c r="T378" s="294" t="s">
        <v>232</v>
      </c>
      <c r="U378" s="294"/>
    </row>
    <row r="379" spans="4:21" ht="16.5" thickTop="1" x14ac:dyDescent="0.25">
      <c r="D379" s="490" t="s">
        <v>233</v>
      </c>
      <c r="E379" s="491">
        <v>13667231</v>
      </c>
      <c r="F379" s="1124">
        <v>318</v>
      </c>
      <c r="G379" s="1223"/>
      <c r="H379" s="1223"/>
      <c r="I379" s="465">
        <f>E379/E$395</f>
        <v>0.42449794733692997</v>
      </c>
      <c r="J379" s="466">
        <f>IF(F$395=0," ",F379/F$395)</f>
        <v>0.48923076923076925</v>
      </c>
      <c r="L379" s="294" t="s">
        <v>233</v>
      </c>
      <c r="M379" s="294">
        <v>318</v>
      </c>
      <c r="N379" s="297">
        <v>13650918</v>
      </c>
      <c r="O379" s="294">
        <v>42.45</v>
      </c>
      <c r="P379" s="294">
        <v>5.52</v>
      </c>
      <c r="Q379" s="294"/>
      <c r="R379" s="294">
        <v>20</v>
      </c>
      <c r="S379" s="294">
        <v>32</v>
      </c>
      <c r="T379" s="294">
        <v>-12</v>
      </c>
      <c r="U379" s="294"/>
    </row>
    <row r="380" spans="4:21" ht="15.75" x14ac:dyDescent="0.25">
      <c r="D380" s="492" t="s">
        <v>234</v>
      </c>
      <c r="E380" s="493">
        <v>12874284</v>
      </c>
      <c r="F380" s="1122">
        <v>262</v>
      </c>
      <c r="G380" s="1227"/>
      <c r="H380" s="1227"/>
      <c r="I380" s="467">
        <f t="shared" ref="I380:I390" si="56">E380/E$395</f>
        <v>0.39986937598645106</v>
      </c>
      <c r="J380" s="468">
        <f t="shared" ref="J380:J390" si="57">IF(F$395=0," ",F380/F$395)</f>
        <v>0.40307692307692305</v>
      </c>
      <c r="L380" s="294" t="s">
        <v>234</v>
      </c>
      <c r="M380" s="294">
        <v>261</v>
      </c>
      <c r="N380" s="297">
        <v>12857951</v>
      </c>
      <c r="O380" s="294">
        <v>39.979999999999997</v>
      </c>
      <c r="P380" s="294">
        <v>9.5299999999999994</v>
      </c>
      <c r="Q380" s="294"/>
      <c r="R380" s="294">
        <v>36</v>
      </c>
      <c r="S380" s="294">
        <v>5</v>
      </c>
      <c r="T380" s="294">
        <v>31</v>
      </c>
      <c r="U380" s="294"/>
    </row>
    <row r="381" spans="4:21" ht="15.75" x14ac:dyDescent="0.25">
      <c r="D381" s="492" t="s">
        <v>235</v>
      </c>
      <c r="E381" s="493">
        <v>977568</v>
      </c>
      <c r="F381" s="1122">
        <v>35</v>
      </c>
      <c r="G381" s="1227"/>
      <c r="H381" s="1227"/>
      <c r="I381" s="467">
        <f t="shared" si="56"/>
        <v>3.036281521708881E-2</v>
      </c>
      <c r="J381" s="468">
        <f t="shared" si="57"/>
        <v>5.3846153846153849E-2</v>
      </c>
      <c r="L381" s="294" t="s">
        <v>235</v>
      </c>
      <c r="M381" s="294">
        <v>35</v>
      </c>
      <c r="N381" s="297">
        <v>977568</v>
      </c>
      <c r="O381" s="294">
        <v>3.04</v>
      </c>
      <c r="P381" s="294">
        <v>-1.7</v>
      </c>
      <c r="Q381" s="294"/>
      <c r="R381" s="294">
        <v>1</v>
      </c>
      <c r="S381" s="294">
        <v>20</v>
      </c>
      <c r="T381" s="294">
        <v>-19</v>
      </c>
      <c r="U381" s="294"/>
    </row>
    <row r="382" spans="4:21" ht="15.75" x14ac:dyDescent="0.25">
      <c r="D382" s="492" t="s">
        <v>236</v>
      </c>
      <c r="E382" s="493">
        <v>2371762</v>
      </c>
      <c r="F382" s="1122">
        <v>12</v>
      </c>
      <c r="G382" s="1227"/>
      <c r="H382" s="1227"/>
      <c r="I382" s="467">
        <f t="shared" si="56"/>
        <v>7.3665843547367549E-2</v>
      </c>
      <c r="J382" s="468">
        <f t="shared" si="57"/>
        <v>1.8461538461538463E-2</v>
      </c>
      <c r="L382" s="294" t="s">
        <v>236</v>
      </c>
      <c r="M382" s="294">
        <v>12</v>
      </c>
      <c r="N382" s="297">
        <v>2367038</v>
      </c>
      <c r="O382" s="294">
        <v>7.36</v>
      </c>
      <c r="P382" s="294">
        <v>-0.51</v>
      </c>
      <c r="Q382" s="294"/>
      <c r="R382" s="294">
        <v>8</v>
      </c>
      <c r="S382" s="294">
        <v>5</v>
      </c>
      <c r="T382" s="294">
        <v>3</v>
      </c>
      <c r="U382" s="294"/>
    </row>
    <row r="383" spans="4:21" ht="15.75" x14ac:dyDescent="0.25">
      <c r="D383" s="492" t="s">
        <v>237</v>
      </c>
      <c r="E383" s="493">
        <v>292316</v>
      </c>
      <c r="F383" s="1122">
        <v>10</v>
      </c>
      <c r="G383" s="1227"/>
      <c r="H383" s="1227"/>
      <c r="I383" s="467">
        <f t="shared" si="56"/>
        <v>9.079201337399069E-3</v>
      </c>
      <c r="J383" s="468">
        <f t="shared" si="57"/>
        <v>1.5384615384615385E-2</v>
      </c>
      <c r="L383" s="294" t="s">
        <v>237</v>
      </c>
      <c r="M383" s="294">
        <v>10</v>
      </c>
      <c r="N383" s="297">
        <v>292316</v>
      </c>
      <c r="O383" s="294">
        <v>0.91</v>
      </c>
      <c r="P383" s="294">
        <v>0.31</v>
      </c>
      <c r="Q383" s="294"/>
      <c r="R383" s="294">
        <v>2</v>
      </c>
      <c r="S383" s="294">
        <v>0</v>
      </c>
      <c r="T383" s="294">
        <v>2</v>
      </c>
      <c r="U383" s="294"/>
    </row>
    <row r="384" spans="4:21" ht="15.75" x14ac:dyDescent="0.25">
      <c r="D384" s="492" t="s">
        <v>238</v>
      </c>
      <c r="E384" s="493">
        <v>238915</v>
      </c>
      <c r="F384" s="1122">
        <v>7</v>
      </c>
      <c r="G384" s="1227"/>
      <c r="H384" s="1227"/>
      <c r="I384" s="467">
        <f t="shared" si="56"/>
        <v>7.4205906879017862E-3</v>
      </c>
      <c r="J384" s="468">
        <f t="shared" si="57"/>
        <v>1.0769230769230769E-2</v>
      </c>
      <c r="L384" s="294" t="s">
        <v>238</v>
      </c>
      <c r="M384" s="294">
        <v>7</v>
      </c>
      <c r="N384" s="297">
        <v>238915</v>
      </c>
      <c r="O384" s="294">
        <v>0.74</v>
      </c>
      <c r="P384" s="294">
        <v>0.17</v>
      </c>
      <c r="Q384" s="294"/>
      <c r="R384" s="294">
        <v>3</v>
      </c>
      <c r="S384" s="294">
        <v>0</v>
      </c>
      <c r="T384" s="294">
        <v>3</v>
      </c>
      <c r="U384" s="294"/>
    </row>
    <row r="385" spans="4:21" ht="15.75" x14ac:dyDescent="0.25">
      <c r="D385" s="492" t="s">
        <v>239</v>
      </c>
      <c r="E385" s="493">
        <v>164466</v>
      </c>
      <c r="F385" s="1122">
        <v>4</v>
      </c>
      <c r="G385" s="1227"/>
      <c r="H385" s="1227"/>
      <c r="I385" s="467">
        <f t="shared" si="56"/>
        <v>5.1082387798022525E-3</v>
      </c>
      <c r="J385" s="468">
        <f t="shared" si="57"/>
        <v>6.1538461538461538E-3</v>
      </c>
      <c r="L385" s="294" t="s">
        <v>239</v>
      </c>
      <c r="M385" s="294">
        <v>4</v>
      </c>
      <c r="N385" s="297">
        <v>164466</v>
      </c>
      <c r="O385" s="294">
        <v>0.51</v>
      </c>
      <c r="P385" s="294">
        <v>-0.08</v>
      </c>
      <c r="Q385" s="294"/>
      <c r="R385" s="294">
        <v>1</v>
      </c>
      <c r="S385" s="294">
        <v>0</v>
      </c>
      <c r="T385" s="294">
        <v>1</v>
      </c>
      <c r="U385" s="294"/>
    </row>
    <row r="386" spans="4:21" ht="15.75" x14ac:dyDescent="0.25">
      <c r="D386" s="492" t="s">
        <v>240</v>
      </c>
      <c r="E386" s="493">
        <v>525371</v>
      </c>
      <c r="F386" s="1122">
        <v>1</v>
      </c>
      <c r="G386" s="1227"/>
      <c r="H386" s="1227"/>
      <c r="I386" s="467">
        <f t="shared" si="56"/>
        <v>1.6317783104006233E-2</v>
      </c>
      <c r="J386" s="468">
        <f t="shared" si="57"/>
        <v>1.5384615384615385E-3</v>
      </c>
      <c r="L386" s="294" t="s">
        <v>240</v>
      </c>
      <c r="M386" s="294">
        <v>1</v>
      </c>
      <c r="N386" s="297">
        <v>524604</v>
      </c>
      <c r="O386" s="294">
        <v>1.63</v>
      </c>
      <c r="P386" s="294">
        <v>-2.14</v>
      </c>
      <c r="Q386" s="294"/>
      <c r="R386" s="294">
        <v>0</v>
      </c>
      <c r="S386" s="294">
        <v>0</v>
      </c>
      <c r="T386" s="294">
        <v>0</v>
      </c>
      <c r="U386" s="294"/>
    </row>
    <row r="387" spans="4:21" ht="15.75" x14ac:dyDescent="0.25">
      <c r="D387" s="492" t="s">
        <v>242</v>
      </c>
      <c r="E387" s="493">
        <v>83280</v>
      </c>
      <c r="F387" s="1122">
        <v>0</v>
      </c>
      <c r="G387" s="1227"/>
      <c r="H387" s="1227"/>
      <c r="I387" s="467">
        <f t="shared" si="56"/>
        <v>2.5866387312996706E-3</v>
      </c>
      <c r="J387" s="468">
        <f t="shared" si="57"/>
        <v>0</v>
      </c>
      <c r="L387" s="294" t="s">
        <v>242</v>
      </c>
      <c r="M387" s="294">
        <v>0</v>
      </c>
      <c r="N387" s="297">
        <v>83280</v>
      </c>
      <c r="O387" s="294">
        <v>0.26</v>
      </c>
      <c r="P387" s="294">
        <v>-0.11</v>
      </c>
      <c r="Q387" s="294"/>
      <c r="R387" s="294">
        <v>0</v>
      </c>
      <c r="S387" s="294">
        <v>2</v>
      </c>
      <c r="T387" s="294">
        <v>-2</v>
      </c>
      <c r="U387" s="294"/>
    </row>
    <row r="388" spans="4:21" ht="15.75" x14ac:dyDescent="0.25">
      <c r="D388" s="492" t="s">
        <v>243</v>
      </c>
      <c r="E388" s="493">
        <v>95419</v>
      </c>
      <c r="F388" s="1122">
        <v>0</v>
      </c>
      <c r="G388" s="1227"/>
      <c r="H388" s="1227"/>
      <c r="I388" s="467">
        <f t="shared" si="56"/>
        <v>2.9636705223569076E-3</v>
      </c>
      <c r="J388" s="468">
        <f t="shared" si="57"/>
        <v>0</v>
      </c>
      <c r="L388" s="294" t="s">
        <v>243</v>
      </c>
      <c r="M388" s="294">
        <v>0</v>
      </c>
      <c r="N388" s="297">
        <v>95419</v>
      </c>
      <c r="O388" s="294">
        <v>0.3</v>
      </c>
      <c r="P388" s="294">
        <v>-0.03</v>
      </c>
      <c r="Q388" s="294"/>
      <c r="R388" s="294">
        <v>0</v>
      </c>
      <c r="S388" s="294">
        <v>3</v>
      </c>
      <c r="T388" s="294">
        <v>-3</v>
      </c>
      <c r="U388" s="294"/>
    </row>
    <row r="389" spans="4:21" ht="15.75" x14ac:dyDescent="0.25">
      <c r="D389" s="492" t="s">
        <v>244</v>
      </c>
      <c r="E389" s="493">
        <v>593852</v>
      </c>
      <c r="F389" s="1122">
        <v>0</v>
      </c>
      <c r="G389" s="1227"/>
      <c r="H389" s="1227"/>
      <c r="I389" s="467">
        <f t="shared" si="56"/>
        <v>1.8444771660179778E-2</v>
      </c>
      <c r="J389" s="468">
        <f t="shared" si="57"/>
        <v>0</v>
      </c>
      <c r="L389" s="294" t="s">
        <v>244</v>
      </c>
      <c r="M389" s="294">
        <v>0</v>
      </c>
      <c r="N389" s="297">
        <v>593852</v>
      </c>
      <c r="O389" s="294">
        <v>1.85</v>
      </c>
      <c r="P389" s="294">
        <v>-10.79</v>
      </c>
      <c r="Q389" s="294"/>
      <c r="R389" s="294">
        <v>0</v>
      </c>
      <c r="S389" s="294">
        <v>0</v>
      </c>
      <c r="T389" s="294">
        <v>0</v>
      </c>
      <c r="U389" s="294"/>
    </row>
    <row r="390" spans="4:21" ht="16.5" thickBot="1" x14ac:dyDescent="0.3">
      <c r="D390" s="494" t="s">
        <v>245</v>
      </c>
      <c r="E390" s="495">
        <v>166385</v>
      </c>
      <c r="F390" s="1123">
        <v>0</v>
      </c>
      <c r="G390" s="1228"/>
      <c r="H390" s="1228"/>
      <c r="I390" s="469">
        <f t="shared" si="56"/>
        <v>5.1678420425948085E-3</v>
      </c>
      <c r="J390" s="470">
        <f t="shared" si="57"/>
        <v>0</v>
      </c>
      <c r="L390" s="294" t="s">
        <v>245</v>
      </c>
      <c r="M390" s="294">
        <v>0</v>
      </c>
      <c r="N390" s="297">
        <v>166336</v>
      </c>
      <c r="O390" s="294">
        <v>0.52</v>
      </c>
      <c r="P390" s="294">
        <v>-0.3</v>
      </c>
      <c r="Q390" s="294"/>
      <c r="R390" s="294">
        <v>0</v>
      </c>
      <c r="S390" s="294">
        <v>0</v>
      </c>
      <c r="T390" s="294">
        <v>0</v>
      </c>
      <c r="U390" s="294"/>
    </row>
    <row r="391" spans="4:21" ht="17.25" thickTop="1" thickBot="1" x14ac:dyDescent="0.3">
      <c r="D391" s="471" t="s">
        <v>4</v>
      </c>
      <c r="E391" s="472">
        <f>SUM(E379:E390)</f>
        <v>32050849</v>
      </c>
      <c r="F391" s="1142">
        <f>SUM(F379:F390)</f>
        <v>649</v>
      </c>
      <c r="G391" s="1143"/>
      <c r="H391" s="1144"/>
      <c r="I391" s="473">
        <f>SUM(I379:I390)</f>
        <v>0.99548471895337787</v>
      </c>
      <c r="J391" s="474">
        <f>SUM(J379:J390)</f>
        <v>0.9984615384615384</v>
      </c>
      <c r="L391" s="163"/>
      <c r="M391" s="163"/>
      <c r="N391" s="163"/>
      <c r="O391" s="163"/>
      <c r="P391" s="163"/>
      <c r="Q391" s="163"/>
      <c r="R391" s="163"/>
      <c r="S391" s="163"/>
      <c r="T391" s="163"/>
      <c r="U391" s="294"/>
    </row>
    <row r="392" spans="4:21" ht="17.25" thickTop="1" thickBot="1" x14ac:dyDescent="0.25">
      <c r="D392" s="475" t="s">
        <v>0</v>
      </c>
      <c r="I392" s="73"/>
      <c r="L392" s="163"/>
      <c r="M392" s="163"/>
      <c r="N392" s="163"/>
      <c r="O392" s="163"/>
      <c r="P392" s="163"/>
      <c r="Q392" s="163"/>
      <c r="R392" s="163"/>
      <c r="S392" s="163"/>
      <c r="T392" s="163"/>
      <c r="U392" s="163"/>
    </row>
    <row r="393" spans="4:21" ht="16.5" thickTop="1" x14ac:dyDescent="0.25">
      <c r="D393" s="476" t="s">
        <v>247</v>
      </c>
      <c r="E393" s="488">
        <v>25000</v>
      </c>
      <c r="F393" s="1106">
        <v>1</v>
      </c>
      <c r="G393" s="1107"/>
      <c r="H393" s="1108"/>
      <c r="I393" s="459">
        <f t="shared" ref="I393:I394" si="58">E393/E$308</f>
        <v>1.5854895991882292E-3</v>
      </c>
      <c r="J393" s="460">
        <f t="shared" ref="J393:J394" si="59">IF(F$395=0," ",F393/F$395)</f>
        <v>1.5384615384615385E-3</v>
      </c>
      <c r="L393" s="294" t="s">
        <v>241</v>
      </c>
      <c r="M393" s="294">
        <v>1</v>
      </c>
      <c r="N393" s="297">
        <v>144884</v>
      </c>
      <c r="O393" s="294">
        <v>0.45</v>
      </c>
      <c r="P393" s="294">
        <v>0.13</v>
      </c>
      <c r="Q393" s="294"/>
      <c r="R393" s="294">
        <v>0</v>
      </c>
      <c r="S393" s="294">
        <v>4</v>
      </c>
      <c r="T393" s="294">
        <v>-4</v>
      </c>
      <c r="U393" s="163"/>
    </row>
    <row r="394" spans="4:21" ht="15.75" thickBot="1" x14ac:dyDescent="0.25">
      <c r="D394" s="477" t="s">
        <v>189</v>
      </c>
      <c r="E394" s="489">
        <f>145375-E393</f>
        <v>120375</v>
      </c>
      <c r="F394" s="1119"/>
      <c r="G394" s="1120"/>
      <c r="H394" s="1121"/>
      <c r="I394" s="463">
        <f t="shared" si="58"/>
        <v>7.6341324200913238E-3</v>
      </c>
      <c r="J394" s="464">
        <f t="shared" si="59"/>
        <v>0</v>
      </c>
      <c r="L394" s="163"/>
      <c r="M394" s="163"/>
      <c r="N394" s="163" t="s">
        <v>248</v>
      </c>
      <c r="O394" s="163"/>
      <c r="P394" s="163"/>
      <c r="Q394" s="163"/>
      <c r="R394" s="163"/>
      <c r="S394" s="163"/>
      <c r="T394" s="163"/>
      <c r="U394" s="163"/>
    </row>
    <row r="395" spans="4:21" ht="16.5" thickTop="1" thickBot="1" x14ac:dyDescent="0.25">
      <c r="D395" s="17" t="s">
        <v>3</v>
      </c>
      <c r="E395" s="29">
        <f>SUM(E391:E394)</f>
        <v>32196224</v>
      </c>
      <c r="F395" s="922">
        <f>SUM(F391:H394)</f>
        <v>650</v>
      </c>
      <c r="G395" s="923"/>
      <c r="H395" s="924"/>
      <c r="I395" s="116">
        <f>SUM(I391:I394)</f>
        <v>1.0047043409726575</v>
      </c>
      <c r="J395" s="116">
        <f>SUM(J391:J394)</f>
        <v>0.99999999999999989</v>
      </c>
    </row>
    <row r="396" spans="4:21" ht="13.5" thickTop="1" x14ac:dyDescent="0.2">
      <c r="E396" s="126"/>
    </row>
    <row r="397" spans="4:21" ht="13.5" thickBot="1" x14ac:dyDescent="0.25"/>
    <row r="398" spans="4:21" ht="17.25" thickTop="1" thickBot="1" x14ac:dyDescent="0.25">
      <c r="D398" s="1109" t="s">
        <v>281</v>
      </c>
      <c r="E398" s="1110"/>
    </row>
    <row r="399" spans="4:21" ht="14.25" thickTop="1" thickBot="1" x14ac:dyDescent="0.25"/>
    <row r="400" spans="4:21" ht="46.5" thickTop="1" thickBot="1" x14ac:dyDescent="0.25">
      <c r="D400" s="455" t="s">
        <v>33</v>
      </c>
      <c r="E400" s="456" t="s">
        <v>209</v>
      </c>
      <c r="F400" s="998" t="s">
        <v>15</v>
      </c>
      <c r="G400" s="1111"/>
      <c r="H400" s="1112"/>
      <c r="I400" s="457" t="s">
        <v>72</v>
      </c>
      <c r="J400" s="458" t="s">
        <v>18</v>
      </c>
    </row>
    <row r="401" spans="4:11" ht="16.5" thickTop="1" x14ac:dyDescent="0.25">
      <c r="D401" s="482" t="s">
        <v>220</v>
      </c>
      <c r="E401" s="483">
        <v>795672</v>
      </c>
      <c r="F401" s="1124">
        <v>43</v>
      </c>
      <c r="G401" s="913"/>
      <c r="H401" s="913"/>
      <c r="I401" s="478">
        <f>E401/E$417</f>
        <v>0.40309354916171625</v>
      </c>
      <c r="J401" s="479">
        <f>IF(F$417=0," ",F401/F$417)</f>
        <v>0.4942528735632184</v>
      </c>
    </row>
    <row r="402" spans="4:11" ht="15.75" x14ac:dyDescent="0.25">
      <c r="D402" s="484" t="s">
        <v>282</v>
      </c>
      <c r="E402" s="485">
        <v>795106</v>
      </c>
      <c r="F402" s="1122">
        <v>41</v>
      </c>
      <c r="G402" s="882"/>
      <c r="H402" s="882"/>
      <c r="I402" s="478">
        <f t="shared" ref="I402:I412" si="60">E402/E$417</f>
        <v>0.4028068092125594</v>
      </c>
      <c r="J402" s="479">
        <f t="shared" ref="J402:J412" si="61">IF(F$417=0," ",F402/F$417)</f>
        <v>0.47126436781609193</v>
      </c>
    </row>
    <row r="403" spans="4:11" ht="15.75" x14ac:dyDescent="0.25">
      <c r="D403" s="484" t="s">
        <v>283</v>
      </c>
      <c r="E403" s="485">
        <v>332387</v>
      </c>
      <c r="F403" s="1122">
        <v>3</v>
      </c>
      <c r="G403" s="882"/>
      <c r="H403" s="882"/>
      <c r="I403" s="478">
        <f t="shared" si="60"/>
        <v>0.1683898082692559</v>
      </c>
      <c r="J403" s="479">
        <f t="shared" si="61"/>
        <v>3.4482758620689655E-2</v>
      </c>
      <c r="K403" s="740" t="s">
        <v>402</v>
      </c>
    </row>
    <row r="404" spans="4:11" ht="15.75" x14ac:dyDescent="0.25">
      <c r="D404" s="484" t="s">
        <v>284</v>
      </c>
      <c r="E404" s="485">
        <v>7838</v>
      </c>
      <c r="F404" s="1122">
        <v>0</v>
      </c>
      <c r="G404" s="882"/>
      <c r="H404" s="882"/>
      <c r="I404" s="478">
        <f t="shared" si="60"/>
        <v>3.9707910273699869E-3</v>
      </c>
      <c r="J404" s="479">
        <f t="shared" si="61"/>
        <v>0</v>
      </c>
    </row>
    <row r="405" spans="4:11" ht="15.75" x14ac:dyDescent="0.25">
      <c r="D405" s="484" t="s">
        <v>27</v>
      </c>
      <c r="E405" s="485">
        <v>3398</v>
      </c>
      <c r="F405" s="1122">
        <v>0</v>
      </c>
      <c r="G405" s="882"/>
      <c r="H405" s="882"/>
      <c r="I405" s="478">
        <f t="shared" si="60"/>
        <v>1.7214529103091623E-3</v>
      </c>
      <c r="J405" s="479">
        <f t="shared" si="61"/>
        <v>0</v>
      </c>
    </row>
    <row r="406" spans="4:11" ht="15.75" x14ac:dyDescent="0.25">
      <c r="D406" s="484" t="s">
        <v>221</v>
      </c>
      <c r="E406" s="485">
        <v>10402</v>
      </c>
      <c r="F406" s="1122">
        <v>0</v>
      </c>
      <c r="G406" s="882"/>
      <c r="H406" s="882"/>
      <c r="I406" s="478">
        <f t="shared" si="60"/>
        <v>5.2697331292042102E-3</v>
      </c>
      <c r="J406" s="479">
        <f t="shared" si="61"/>
        <v>0</v>
      </c>
    </row>
    <row r="407" spans="4:11" ht="15.75" x14ac:dyDescent="0.25">
      <c r="D407" s="484" t="s">
        <v>17</v>
      </c>
      <c r="E407" s="485">
        <f>(1973914-E416-SUM(E401:E406))</f>
        <v>8155</v>
      </c>
      <c r="F407" s="1122">
        <v>0</v>
      </c>
      <c r="G407" s="882"/>
      <c r="H407" s="882"/>
      <c r="I407" s="478">
        <f t="shared" si="60"/>
        <v>4.1313856632051857E-3</v>
      </c>
      <c r="J407" s="479">
        <f t="shared" si="61"/>
        <v>0</v>
      </c>
    </row>
    <row r="408" spans="4:11" ht="15.75" x14ac:dyDescent="0.25">
      <c r="D408" s="484"/>
      <c r="E408" s="485"/>
      <c r="F408" s="1122"/>
      <c r="G408" s="882"/>
      <c r="H408" s="882"/>
      <c r="I408" s="478">
        <f t="shared" si="60"/>
        <v>0</v>
      </c>
      <c r="J408" s="479">
        <f t="shared" si="61"/>
        <v>0</v>
      </c>
    </row>
    <row r="409" spans="4:11" ht="15.75" x14ac:dyDescent="0.25">
      <c r="D409" s="484"/>
      <c r="E409" s="485"/>
      <c r="F409" s="1122"/>
      <c r="G409" s="882"/>
      <c r="H409" s="882"/>
      <c r="I409" s="478">
        <f t="shared" si="60"/>
        <v>0</v>
      </c>
      <c r="J409" s="479">
        <f t="shared" si="61"/>
        <v>0</v>
      </c>
    </row>
    <row r="410" spans="4:11" ht="15.75" x14ac:dyDescent="0.25">
      <c r="D410" s="484"/>
      <c r="E410" s="485"/>
      <c r="F410" s="1122"/>
      <c r="G410" s="882"/>
      <c r="H410" s="882"/>
      <c r="I410" s="478">
        <f t="shared" si="60"/>
        <v>0</v>
      </c>
      <c r="J410" s="479">
        <f t="shared" si="61"/>
        <v>0</v>
      </c>
    </row>
    <row r="411" spans="4:11" ht="15.75" x14ac:dyDescent="0.25">
      <c r="D411" s="484"/>
      <c r="E411" s="485"/>
      <c r="F411" s="1122"/>
      <c r="G411" s="882"/>
      <c r="H411" s="882"/>
      <c r="I411" s="478">
        <f t="shared" si="60"/>
        <v>0</v>
      </c>
      <c r="J411" s="479">
        <f t="shared" si="61"/>
        <v>0</v>
      </c>
    </row>
    <row r="412" spans="4:11" ht="16.5" thickBot="1" x14ac:dyDescent="0.3">
      <c r="D412" s="486"/>
      <c r="E412" s="487"/>
      <c r="F412" s="1123"/>
      <c r="G412" s="915"/>
      <c r="H412" s="915"/>
      <c r="I412" s="478">
        <f t="shared" si="60"/>
        <v>0</v>
      </c>
      <c r="J412" s="479">
        <f t="shared" si="61"/>
        <v>0</v>
      </c>
    </row>
    <row r="413" spans="4:11" ht="16.5" thickTop="1" thickBot="1" x14ac:dyDescent="0.25">
      <c r="D413" s="17" t="s">
        <v>4</v>
      </c>
      <c r="E413" s="29">
        <f>SUM(E401:E412)</f>
        <v>1952958</v>
      </c>
      <c r="F413" s="922">
        <f>SUM(F401:F412)</f>
        <v>87</v>
      </c>
      <c r="G413" s="923"/>
      <c r="H413" s="924"/>
      <c r="I413" s="32">
        <f>SUM(I401:I412)</f>
        <v>0.98938352937361995</v>
      </c>
      <c r="J413" s="30">
        <f>SUM(J401:J412)</f>
        <v>0.99999999999999989</v>
      </c>
    </row>
    <row r="414" spans="4:11" ht="17.25" thickTop="1" thickBot="1" x14ac:dyDescent="0.25">
      <c r="D414" s="480" t="s">
        <v>0</v>
      </c>
      <c r="I414" s="73"/>
      <c r="J414" s="159"/>
    </row>
    <row r="415" spans="4:11" ht="15.75" thickTop="1" x14ac:dyDescent="0.2">
      <c r="D415" s="481" t="s">
        <v>188</v>
      </c>
      <c r="E415" s="488">
        <v>0</v>
      </c>
      <c r="F415" s="1106">
        <v>0</v>
      </c>
      <c r="G415" s="1107"/>
      <c r="H415" s="1108"/>
      <c r="I415" s="459">
        <f>E415/E$417</f>
        <v>0</v>
      </c>
      <c r="J415" s="479">
        <f t="shared" ref="J415:J416" si="62">IF(F$417=0," ",F415/F$417)</f>
        <v>0</v>
      </c>
    </row>
    <row r="416" spans="4:11" ht="15.75" thickBot="1" x14ac:dyDescent="0.25">
      <c r="D416" s="477" t="s">
        <v>189</v>
      </c>
      <c r="E416" s="489">
        <v>20956</v>
      </c>
      <c r="F416" s="1119">
        <v>0</v>
      </c>
      <c r="G416" s="1120"/>
      <c r="H416" s="1121"/>
      <c r="I416" s="463">
        <f>E416/E$417</f>
        <v>1.0616470626379873E-2</v>
      </c>
      <c r="J416" s="479">
        <f t="shared" si="62"/>
        <v>0</v>
      </c>
    </row>
    <row r="417" spans="4:11" ht="16.5" thickTop="1" thickBot="1" x14ac:dyDescent="0.25">
      <c r="D417" s="17" t="s">
        <v>3</v>
      </c>
      <c r="E417" s="29">
        <f>SUM(E413:E416)</f>
        <v>1973914</v>
      </c>
      <c r="F417" s="922">
        <f>SUM(F413:H416)</f>
        <v>87</v>
      </c>
      <c r="G417" s="923"/>
      <c r="H417" s="924"/>
      <c r="I417" s="116">
        <f>SUM(I413:I416)</f>
        <v>0.99999999999999978</v>
      </c>
      <c r="J417" s="116">
        <f>SUM(J413:J416)</f>
        <v>0.99999999999999989</v>
      </c>
    </row>
    <row r="418" spans="4:11" ht="13.5" thickTop="1" x14ac:dyDescent="0.2"/>
    <row r="419" spans="4:11" ht="13.5" thickBot="1" x14ac:dyDescent="0.25"/>
    <row r="420" spans="4:11" ht="17.25" thickTop="1" thickBot="1" x14ac:dyDescent="0.25">
      <c r="D420" s="1125" t="s">
        <v>347</v>
      </c>
      <c r="E420" s="1126"/>
    </row>
    <row r="421" spans="4:11" ht="14.25" thickTop="1" thickBot="1" x14ac:dyDescent="0.25"/>
    <row r="422" spans="4:11" ht="46.5" thickTop="1" thickBot="1" x14ac:dyDescent="0.25">
      <c r="D422" s="455" t="s">
        <v>33</v>
      </c>
      <c r="E422" s="456" t="s">
        <v>209</v>
      </c>
      <c r="F422" s="998" t="s">
        <v>15</v>
      </c>
      <c r="G422" s="1111"/>
      <c r="H422" s="1112"/>
      <c r="I422" s="457" t="s">
        <v>72</v>
      </c>
      <c r="J422" s="458" t="s">
        <v>18</v>
      </c>
    </row>
    <row r="423" spans="4:11" ht="16.5" thickTop="1" x14ac:dyDescent="0.25">
      <c r="D423" s="741" t="s">
        <v>24</v>
      </c>
      <c r="E423" s="742">
        <v>13966565</v>
      </c>
      <c r="F423" s="1242">
        <v>365</v>
      </c>
      <c r="G423" s="1243"/>
      <c r="H423" s="1243"/>
      <c r="I423" s="478">
        <f>E423/E$439</f>
        <v>0.44210983778682045</v>
      </c>
      <c r="J423" s="479">
        <f>IF(F$439=0," ",F423/F$439)</f>
        <v>0.56153846153846154</v>
      </c>
    </row>
    <row r="424" spans="4:11" ht="15.75" x14ac:dyDescent="0.25">
      <c r="D424" s="743" t="s">
        <v>64</v>
      </c>
      <c r="E424" s="744">
        <v>10295607</v>
      </c>
      <c r="F424" s="1229">
        <v>202</v>
      </c>
      <c r="G424" s="1230"/>
      <c r="H424" s="1230"/>
      <c r="I424" s="478">
        <f t="shared" ref="I424:I434" si="63">E424/E$439</f>
        <v>0.32590612943747105</v>
      </c>
      <c r="J424" s="479">
        <f t="shared" ref="J424:J434" si="64">IF(F$439=0," ",F424/F$439)</f>
        <v>0.31076923076923074</v>
      </c>
    </row>
    <row r="425" spans="4:11" ht="15.75" x14ac:dyDescent="0.25">
      <c r="D425" s="743" t="s">
        <v>342</v>
      </c>
      <c r="E425" s="744">
        <v>1242372</v>
      </c>
      <c r="F425" s="1229">
        <v>48</v>
      </c>
      <c r="G425" s="1230"/>
      <c r="H425" s="1230"/>
      <c r="I425" s="478">
        <f t="shared" si="63"/>
        <v>3.9327127564357287E-2</v>
      </c>
      <c r="J425" s="479">
        <f t="shared" si="64"/>
        <v>7.3846153846153853E-2</v>
      </c>
    </row>
    <row r="426" spans="4:11" ht="15.75" x14ac:dyDescent="0.25">
      <c r="D426" s="743" t="s">
        <v>343</v>
      </c>
      <c r="E426" s="744">
        <v>3696423</v>
      </c>
      <c r="F426" s="1229">
        <v>11</v>
      </c>
      <c r="G426" s="1230"/>
      <c r="H426" s="1230"/>
      <c r="I426" s="478">
        <f t="shared" si="63"/>
        <v>0.11700979968385013</v>
      </c>
      <c r="J426" s="479">
        <f t="shared" si="64"/>
        <v>1.6923076923076923E-2</v>
      </c>
      <c r="K426" s="740" t="s">
        <v>402</v>
      </c>
    </row>
    <row r="427" spans="4:11" ht="15.75" x14ac:dyDescent="0.25">
      <c r="D427" s="743" t="s">
        <v>344</v>
      </c>
      <c r="E427" s="744">
        <v>244128</v>
      </c>
      <c r="F427" s="1229">
        <v>8</v>
      </c>
      <c r="G427" s="1230"/>
      <c r="H427" s="1230"/>
      <c r="I427" s="478">
        <f t="shared" si="63"/>
        <v>7.7278407739641711E-3</v>
      </c>
      <c r="J427" s="479">
        <f t="shared" si="64"/>
        <v>1.2307692307692308E-2</v>
      </c>
    </row>
    <row r="428" spans="4:11" ht="15.75" x14ac:dyDescent="0.25">
      <c r="D428" s="743" t="s">
        <v>345</v>
      </c>
      <c r="E428" s="744">
        <v>181853</v>
      </c>
      <c r="F428" s="1229">
        <v>7</v>
      </c>
      <c r="G428" s="1230"/>
      <c r="H428" s="1230"/>
      <c r="I428" s="478">
        <f t="shared" si="63"/>
        <v>5.7565335736486862E-3</v>
      </c>
      <c r="J428" s="479">
        <f t="shared" si="64"/>
        <v>1.0769230769230769E-2</v>
      </c>
    </row>
    <row r="429" spans="4:11" ht="15.75" x14ac:dyDescent="0.25">
      <c r="D429" s="743" t="s">
        <v>76</v>
      </c>
      <c r="E429" s="744">
        <v>153265</v>
      </c>
      <c r="F429" s="1229">
        <v>4</v>
      </c>
      <c r="G429" s="1230"/>
      <c r="H429" s="1230"/>
      <c r="I429" s="478">
        <f t="shared" si="63"/>
        <v>4.8515840715592585E-3</v>
      </c>
      <c r="J429" s="479">
        <f t="shared" si="64"/>
        <v>6.1538461538461538E-3</v>
      </c>
    </row>
    <row r="430" spans="4:11" ht="15.75" x14ac:dyDescent="0.25">
      <c r="D430" s="743" t="s">
        <v>32</v>
      </c>
      <c r="E430" s="744">
        <v>865697</v>
      </c>
      <c r="F430" s="1229">
        <v>1</v>
      </c>
      <c r="G430" s="1230"/>
      <c r="H430" s="1230"/>
      <c r="I430" s="478">
        <f t="shared" si="63"/>
        <v>2.7403528372404892E-2</v>
      </c>
      <c r="J430" s="479">
        <f t="shared" si="64"/>
        <v>1.5384615384615385E-3</v>
      </c>
    </row>
    <row r="431" spans="4:11" ht="15.75" x14ac:dyDescent="0.25">
      <c r="D431" s="743" t="s">
        <v>346</v>
      </c>
      <c r="E431" s="744">
        <v>642303</v>
      </c>
      <c r="F431" s="1229">
        <v>0</v>
      </c>
      <c r="G431" s="1230"/>
      <c r="H431" s="1230"/>
      <c r="I431" s="478">
        <f t="shared" si="63"/>
        <v>2.0332019729975705E-2</v>
      </c>
      <c r="J431" s="479">
        <f t="shared" si="64"/>
        <v>0</v>
      </c>
    </row>
    <row r="432" spans="4:11" ht="15.75" x14ac:dyDescent="0.25">
      <c r="D432" s="743" t="s">
        <v>75</v>
      </c>
      <c r="E432" s="744">
        <v>22817</v>
      </c>
      <c r="F432" s="1229">
        <v>0</v>
      </c>
      <c r="G432" s="1230"/>
      <c r="H432" s="1230"/>
      <c r="I432" s="478">
        <f t="shared" si="63"/>
        <v>7.2226923146685544E-4</v>
      </c>
      <c r="J432" s="479">
        <f t="shared" si="64"/>
        <v>0</v>
      </c>
    </row>
    <row r="433" spans="1:13" ht="15.75" x14ac:dyDescent="0.25">
      <c r="D433" s="743" t="s">
        <v>74</v>
      </c>
      <c r="E433" s="744">
        <v>134115</v>
      </c>
      <c r="F433" s="1229">
        <v>1</v>
      </c>
      <c r="G433" s="1230"/>
      <c r="H433" s="1230"/>
      <c r="I433" s="478">
        <f t="shared" si="63"/>
        <v>4.2453932584554203E-3</v>
      </c>
      <c r="J433" s="479">
        <f t="shared" si="64"/>
        <v>1.5384615384615385E-3</v>
      </c>
      <c r="L433" s="117"/>
    </row>
    <row r="434" spans="1:13" ht="16.5" thickBot="1" x14ac:dyDescent="0.3">
      <c r="D434" s="753" t="s">
        <v>404</v>
      </c>
      <c r="E434" s="745">
        <v>118737</v>
      </c>
      <c r="F434" s="1231">
        <v>2</v>
      </c>
      <c r="G434" s="1232"/>
      <c r="H434" s="1232"/>
      <c r="I434" s="478">
        <f t="shared" si="63"/>
        <v>3.7586046253530272E-3</v>
      </c>
      <c r="J434" s="479">
        <f t="shared" si="64"/>
        <v>3.0769230769230769E-3</v>
      </c>
      <c r="L434" s="21"/>
      <c r="M434" s="754"/>
    </row>
    <row r="435" spans="1:13" ht="16.5" thickTop="1" thickBot="1" x14ac:dyDescent="0.25">
      <c r="D435" s="746" t="s">
        <v>4</v>
      </c>
      <c r="E435" s="747">
        <f>SUM(E423:E434)</f>
        <v>31563882</v>
      </c>
      <c r="F435" s="1233">
        <f>SUM(F423:F434)</f>
        <v>649</v>
      </c>
      <c r="G435" s="1234"/>
      <c r="H435" s="1235"/>
      <c r="I435" s="32">
        <f>SUM(I423:I434)</f>
        <v>0.99915066810932696</v>
      </c>
      <c r="J435" s="30">
        <f>SUM(J423:J434)</f>
        <v>0.9984615384615384</v>
      </c>
    </row>
    <row r="436" spans="1:13" ht="17.25" thickTop="1" thickBot="1" x14ac:dyDescent="0.25">
      <c r="D436" s="748" t="s">
        <v>0</v>
      </c>
      <c r="I436" s="158"/>
      <c r="J436" s="159"/>
    </row>
    <row r="437" spans="1:13" ht="15.75" thickTop="1" x14ac:dyDescent="0.2">
      <c r="D437" s="749" t="s">
        <v>403</v>
      </c>
      <c r="E437" s="750">
        <v>26831</v>
      </c>
      <c r="F437" s="1236">
        <v>1</v>
      </c>
      <c r="G437" s="1237"/>
      <c r="H437" s="1238"/>
      <c r="I437" s="478">
        <f t="shared" ref="I437:I438" si="65">E437/E$439</f>
        <v>8.4933189067305955E-4</v>
      </c>
      <c r="J437" s="479">
        <f t="shared" ref="J437:J438" si="66">IF(F$439=0," ",F437/F$439)</f>
        <v>1.5384615384615385E-3</v>
      </c>
    </row>
    <row r="438" spans="1:13" ht="15.75" thickBot="1" x14ac:dyDescent="0.25">
      <c r="D438" s="751" t="s">
        <v>189</v>
      </c>
      <c r="E438" s="752"/>
      <c r="F438" s="1239"/>
      <c r="G438" s="1240"/>
      <c r="H438" s="1241"/>
      <c r="I438" s="478">
        <f t="shared" si="65"/>
        <v>0</v>
      </c>
      <c r="J438" s="479">
        <f t="shared" si="66"/>
        <v>0</v>
      </c>
    </row>
    <row r="439" spans="1:13" ht="16.5" thickTop="1" thickBot="1" x14ac:dyDescent="0.25">
      <c r="D439" s="746" t="s">
        <v>3</v>
      </c>
      <c r="E439" s="747">
        <f>SUM(E435:E438)</f>
        <v>31590713</v>
      </c>
      <c r="F439" s="1233">
        <f>SUM(F435:H438)</f>
        <v>650</v>
      </c>
      <c r="G439" s="1234"/>
      <c r="H439" s="1235"/>
      <c r="I439" s="116">
        <f>SUM(I435:I438)</f>
        <v>1</v>
      </c>
      <c r="J439" s="116">
        <f>SUM(J435:J438)</f>
        <v>0.99999999999999989</v>
      </c>
    </row>
    <row r="440" spans="1:13" ht="28.5" customHeight="1" thickTop="1" x14ac:dyDescent="0.2">
      <c r="D440" s="1104" t="s">
        <v>405</v>
      </c>
      <c r="E440" s="1105"/>
      <c r="F440" s="1105"/>
      <c r="G440" s="1105"/>
      <c r="H440" s="1105"/>
      <c r="I440" s="1105"/>
      <c r="J440" s="1105"/>
    </row>
    <row r="442" spans="1:13" ht="13.5" thickBot="1" x14ac:dyDescent="0.25"/>
    <row r="443" spans="1:13" ht="17.25" thickTop="1" thickBot="1" x14ac:dyDescent="0.25">
      <c r="D443" s="1109" t="s">
        <v>377</v>
      </c>
      <c r="E443" s="1110"/>
    </row>
    <row r="444" spans="1:13" ht="14.25" thickTop="1" thickBot="1" x14ac:dyDescent="0.25"/>
    <row r="445" spans="1:13" ht="46.5" thickTop="1" thickBot="1" x14ac:dyDescent="0.25">
      <c r="D445" s="455" t="s">
        <v>33</v>
      </c>
      <c r="E445" s="456" t="s">
        <v>209</v>
      </c>
      <c r="F445" s="998" t="s">
        <v>15</v>
      </c>
      <c r="G445" s="1111"/>
      <c r="H445" s="1112"/>
      <c r="I445" s="457" t="s">
        <v>72</v>
      </c>
      <c r="J445" s="458" t="s">
        <v>18</v>
      </c>
    </row>
    <row r="446" spans="1:13" ht="16.5" thickTop="1" x14ac:dyDescent="0.25">
      <c r="A446">
        <v>421951</v>
      </c>
      <c r="D446" s="482" t="s">
        <v>378</v>
      </c>
      <c r="E446" s="483">
        <f>0.24%*421951</f>
        <v>1012.6823999999999</v>
      </c>
      <c r="F446" s="1124">
        <v>0</v>
      </c>
      <c r="G446" s="913"/>
      <c r="H446" s="913"/>
      <c r="I446" s="478">
        <f t="shared" ref="I446:I457" si="67">E446/E$462</f>
        <v>2.405130019878827E-3</v>
      </c>
      <c r="J446" s="479">
        <f>IF(F$417=0," ",F446/F$417)</f>
        <v>0</v>
      </c>
    </row>
    <row r="447" spans="1:13" ht="15.75" x14ac:dyDescent="0.25">
      <c r="D447" s="484" t="s">
        <v>32</v>
      </c>
      <c r="E447" s="485">
        <f>421951*2.14%</f>
        <v>9029.751400000001</v>
      </c>
      <c r="F447" s="1122">
        <v>0</v>
      </c>
      <c r="G447" s="882"/>
      <c r="H447" s="882"/>
      <c r="I447" s="478">
        <f t="shared" si="67"/>
        <v>2.1445742677252876E-2</v>
      </c>
      <c r="J447" s="479">
        <f t="shared" ref="J447:J457" si="68">IF(F$417=0," ",F447/F$417)</f>
        <v>0</v>
      </c>
    </row>
    <row r="448" spans="1:13" ht="15.75" x14ac:dyDescent="0.25">
      <c r="D448" s="484" t="s">
        <v>25</v>
      </c>
      <c r="E448" s="485">
        <f>421951*0.3667</f>
        <v>154729.43170000002</v>
      </c>
      <c r="F448" s="1122">
        <v>17</v>
      </c>
      <c r="G448" s="882"/>
      <c r="H448" s="882"/>
      <c r="I448" s="478">
        <f t="shared" si="67"/>
        <v>0.36748382428731913</v>
      </c>
      <c r="J448" s="479">
        <f t="shared" si="68"/>
        <v>0.19540229885057472</v>
      </c>
      <c r="K448" s="756" t="s">
        <v>406</v>
      </c>
    </row>
    <row r="449" spans="4:11" ht="15.75" x14ac:dyDescent="0.25">
      <c r="D449" s="484" t="s">
        <v>99</v>
      </c>
      <c r="E449" s="485">
        <f>421951*0.2094</f>
        <v>88356.539399999994</v>
      </c>
      <c r="F449" s="1122">
        <v>6</v>
      </c>
      <c r="G449" s="882"/>
      <c r="H449" s="882"/>
      <c r="I449" s="478">
        <f t="shared" si="67"/>
        <v>0.20984759423442764</v>
      </c>
      <c r="J449" s="479">
        <f t="shared" si="68"/>
        <v>6.8965517241379309E-2</v>
      </c>
    </row>
    <row r="450" spans="4:11" ht="15.75" x14ac:dyDescent="0.25">
      <c r="D450" s="484" t="s">
        <v>57</v>
      </c>
      <c r="E450" s="485">
        <f>421951*0.3842</f>
        <v>162113.5742</v>
      </c>
      <c r="F450" s="1122">
        <v>31</v>
      </c>
      <c r="G450" s="882"/>
      <c r="H450" s="882"/>
      <c r="I450" s="478">
        <f t="shared" si="67"/>
        <v>0.3850212306822689</v>
      </c>
      <c r="J450" s="479">
        <f t="shared" si="68"/>
        <v>0.35632183908045978</v>
      </c>
      <c r="K450" s="756" t="s">
        <v>406</v>
      </c>
    </row>
    <row r="451" spans="4:11" ht="15.75" x14ac:dyDescent="0.25">
      <c r="D451" s="484"/>
      <c r="E451" s="485"/>
      <c r="F451" s="1122"/>
      <c r="G451" s="882"/>
      <c r="H451" s="882"/>
      <c r="I451" s="478">
        <f t="shared" si="67"/>
        <v>0</v>
      </c>
      <c r="J451" s="479">
        <f t="shared" si="68"/>
        <v>0</v>
      </c>
      <c r="K451" s="31"/>
    </row>
    <row r="452" spans="4:11" ht="15.75" x14ac:dyDescent="0.25">
      <c r="D452" s="484"/>
      <c r="E452" s="485"/>
      <c r="F452" s="1122"/>
      <c r="G452" s="882"/>
      <c r="H452" s="882"/>
      <c r="I452" s="478">
        <f t="shared" si="67"/>
        <v>0</v>
      </c>
      <c r="J452" s="479">
        <f t="shared" si="68"/>
        <v>0</v>
      </c>
    </row>
    <row r="453" spans="4:11" ht="15.75" x14ac:dyDescent="0.25">
      <c r="D453" s="484"/>
      <c r="E453" s="485"/>
      <c r="F453" s="1122"/>
      <c r="G453" s="882"/>
      <c r="H453" s="882"/>
      <c r="I453" s="478">
        <f t="shared" si="67"/>
        <v>0</v>
      </c>
      <c r="J453" s="479">
        <f t="shared" si="68"/>
        <v>0</v>
      </c>
    </row>
    <row r="454" spans="4:11" ht="15.75" x14ac:dyDescent="0.25">
      <c r="D454" s="484"/>
      <c r="E454" s="485"/>
      <c r="F454" s="1122"/>
      <c r="G454" s="882"/>
      <c r="H454" s="882"/>
      <c r="I454" s="478">
        <f t="shared" si="67"/>
        <v>0</v>
      </c>
      <c r="J454" s="479">
        <f t="shared" si="68"/>
        <v>0</v>
      </c>
    </row>
    <row r="455" spans="4:11" ht="15.75" x14ac:dyDescent="0.25">
      <c r="D455" s="484"/>
      <c r="E455" s="485"/>
      <c r="F455" s="1122"/>
      <c r="G455" s="882"/>
      <c r="H455" s="882"/>
      <c r="I455" s="478">
        <f t="shared" si="67"/>
        <v>0</v>
      </c>
      <c r="J455" s="479">
        <f t="shared" si="68"/>
        <v>0</v>
      </c>
    </row>
    <row r="456" spans="4:11" ht="15.75" x14ac:dyDescent="0.25">
      <c r="D456" s="484"/>
      <c r="E456" s="485"/>
      <c r="F456" s="1122"/>
      <c r="G456" s="882"/>
      <c r="H456" s="882"/>
      <c r="I456" s="478">
        <f t="shared" si="67"/>
        <v>0</v>
      </c>
      <c r="J456" s="479">
        <f t="shared" si="68"/>
        <v>0</v>
      </c>
    </row>
    <row r="457" spans="4:11" ht="16.5" thickBot="1" x14ac:dyDescent="0.3">
      <c r="D457" s="486"/>
      <c r="E457" s="487"/>
      <c r="F457" s="1123"/>
      <c r="G457" s="915"/>
      <c r="H457" s="915"/>
      <c r="I457" s="478">
        <f t="shared" si="67"/>
        <v>0</v>
      </c>
      <c r="J457" s="479">
        <f t="shared" si="68"/>
        <v>0</v>
      </c>
    </row>
    <row r="458" spans="4:11" ht="16.5" thickTop="1" thickBot="1" x14ac:dyDescent="0.25">
      <c r="D458" s="17" t="s">
        <v>4</v>
      </c>
      <c r="E458" s="29">
        <f>SUM(E446:E457)</f>
        <v>415241.9791</v>
      </c>
      <c r="F458" s="922">
        <f>SUM(F446:F457)</f>
        <v>54</v>
      </c>
      <c r="G458" s="923"/>
      <c r="H458" s="924"/>
      <c r="I458" s="32">
        <f>SUM(I446:I457)</f>
        <v>0.98620352190114735</v>
      </c>
      <c r="J458" s="30">
        <f>SUM(J446:J457)</f>
        <v>0.62068965517241381</v>
      </c>
    </row>
    <row r="459" spans="4:11" ht="17.25" thickTop="1" thickBot="1" x14ac:dyDescent="0.25">
      <c r="D459" s="480" t="s">
        <v>0</v>
      </c>
      <c r="I459" s="73"/>
      <c r="J459" s="159"/>
    </row>
    <row r="460" spans="4:11" ht="15.75" thickTop="1" x14ac:dyDescent="0.2">
      <c r="D460" s="481" t="s">
        <v>379</v>
      </c>
      <c r="E460" s="488">
        <v>4235</v>
      </c>
      <c r="F460" s="1106">
        <v>1</v>
      </c>
      <c r="G460" s="1107"/>
      <c r="H460" s="1108"/>
      <c r="I460" s="459">
        <f>E460/E$462</f>
        <v>1.0058163975385405E-2</v>
      </c>
      <c r="J460" s="479">
        <f t="shared" ref="J460:J461" si="69">IF(F$417=0," ",F460/F$417)</f>
        <v>1.1494252873563218E-2</v>
      </c>
    </row>
    <row r="461" spans="4:11" ht="15.75" thickBot="1" x14ac:dyDescent="0.25">
      <c r="D461" s="477" t="s">
        <v>189</v>
      </c>
      <c r="E461" s="489">
        <f>421051-E458-E460</f>
        <v>1574.0209000000032</v>
      </c>
      <c r="F461" s="1119">
        <v>0</v>
      </c>
      <c r="G461" s="1120"/>
      <c r="H461" s="1121"/>
      <c r="I461" s="463">
        <f>E461/E$462</f>
        <v>3.738314123467236E-3</v>
      </c>
      <c r="J461" s="479">
        <f t="shared" si="69"/>
        <v>0</v>
      </c>
    </row>
    <row r="462" spans="4:11" ht="16.5" thickTop="1" thickBot="1" x14ac:dyDescent="0.25">
      <c r="D462" s="17" t="s">
        <v>3</v>
      </c>
      <c r="E462" s="29">
        <f>SUM(E458:E461)</f>
        <v>421051</v>
      </c>
      <c r="F462" s="922">
        <f>SUM(F458:H461)</f>
        <v>55</v>
      </c>
      <c r="G462" s="923"/>
      <c r="H462" s="924"/>
      <c r="I462" s="116">
        <f>SUM(I458:I461)</f>
        <v>1</v>
      </c>
      <c r="J462" s="116">
        <f>SUM(J458:J461)</f>
        <v>0.63218390804597702</v>
      </c>
    </row>
    <row r="463" spans="4:11" ht="13.5" thickTop="1" x14ac:dyDescent="0.2">
      <c r="E463" s="701" t="s">
        <v>381</v>
      </c>
    </row>
    <row r="465" spans="4:12" ht="13.5" thickBot="1" x14ac:dyDescent="0.25"/>
    <row r="466" spans="4:12" ht="20.25" thickTop="1" thickBot="1" x14ac:dyDescent="0.3">
      <c r="D466" s="1109" t="s">
        <v>399</v>
      </c>
      <c r="E466" s="1110"/>
      <c r="I466" s="613" t="s">
        <v>407</v>
      </c>
    </row>
    <row r="467" spans="4:12" ht="14.25" thickTop="1" thickBot="1" x14ac:dyDescent="0.25"/>
    <row r="468" spans="4:12" ht="46.5" thickTop="1" thickBot="1" x14ac:dyDescent="0.25">
      <c r="D468" s="455" t="s">
        <v>33</v>
      </c>
      <c r="E468" s="456" t="s">
        <v>395</v>
      </c>
      <c r="F468" s="998" t="s">
        <v>15</v>
      </c>
      <c r="G468" s="1111"/>
      <c r="H468" s="1112"/>
      <c r="I468" s="457" t="s">
        <v>72</v>
      </c>
      <c r="J468" s="458" t="s">
        <v>18</v>
      </c>
    </row>
    <row r="469" spans="4:12" ht="15.75" thickTop="1" x14ac:dyDescent="0.2">
      <c r="D469" s="728" t="s">
        <v>391</v>
      </c>
      <c r="E469" s="729">
        <v>5542360</v>
      </c>
      <c r="F469" s="912">
        <v>159</v>
      </c>
      <c r="G469" s="913"/>
      <c r="H469" s="913"/>
      <c r="I469" s="478">
        <f>E469/E485</f>
        <v>0.32619244669289299</v>
      </c>
      <c r="J469" s="479">
        <f>IF(F$417=0," ",F469/F485)</f>
        <v>0.47041420118343197</v>
      </c>
      <c r="K469" s="757"/>
      <c r="L469" s="126">
        <f>J469/I469</f>
        <v>1.4421370143690739</v>
      </c>
    </row>
    <row r="470" spans="4:12" ht="15" x14ac:dyDescent="0.2">
      <c r="D470" s="730" t="s">
        <v>392</v>
      </c>
      <c r="E470" s="731">
        <v>5730515</v>
      </c>
      <c r="F470" s="881">
        <v>119</v>
      </c>
      <c r="G470" s="882"/>
      <c r="H470" s="882"/>
      <c r="I470" s="478">
        <f>E470/E485</f>
        <v>0.33726620224242448</v>
      </c>
      <c r="J470" s="479">
        <f>IF(F$417=0," ",F470/F485)</f>
        <v>0.35207100591715978</v>
      </c>
      <c r="L470" s="126">
        <f t="shared" ref="L470:L475" si="70">J470/I470</f>
        <v>1.0438964935599853</v>
      </c>
    </row>
    <row r="471" spans="4:12" ht="15" x14ac:dyDescent="0.2">
      <c r="D471" s="730" t="s">
        <v>26</v>
      </c>
      <c r="E471" s="731">
        <v>1301758</v>
      </c>
      <c r="F471" s="881">
        <v>33</v>
      </c>
      <c r="G471" s="882"/>
      <c r="H471" s="882"/>
      <c r="I471" s="478">
        <f>E471/E485</f>
        <v>7.6614226975881577E-2</v>
      </c>
      <c r="J471" s="479">
        <f>IF(F$417=0," ",F471/F485)</f>
        <v>9.7633136094674555E-2</v>
      </c>
      <c r="L471" s="126">
        <f t="shared" si="70"/>
        <v>1.2743473366299161</v>
      </c>
    </row>
    <row r="472" spans="4:12" ht="15" x14ac:dyDescent="0.2">
      <c r="D472" s="730" t="s">
        <v>99</v>
      </c>
      <c r="E472" s="731">
        <v>3022451</v>
      </c>
      <c r="F472" s="881">
        <v>25</v>
      </c>
      <c r="G472" s="882"/>
      <c r="H472" s="882"/>
      <c r="I472" s="478">
        <f>E472/E485</f>
        <v>0.17788463519139519</v>
      </c>
      <c r="J472" s="479">
        <f>IF(F$417=0," ",F472/F485)</f>
        <v>7.3964497041420121E-2</v>
      </c>
      <c r="K472" s="756" t="s">
        <v>406</v>
      </c>
      <c r="L472" s="126">
        <f t="shared" si="70"/>
        <v>0.41580036950261573</v>
      </c>
    </row>
    <row r="473" spans="4:12" ht="15" x14ac:dyDescent="0.2">
      <c r="D473" s="730" t="s">
        <v>393</v>
      </c>
      <c r="E473" s="731">
        <v>394740</v>
      </c>
      <c r="F473" s="881">
        <v>2</v>
      </c>
      <c r="G473" s="882"/>
      <c r="H473" s="882"/>
      <c r="I473" s="478">
        <f>E473/E485</f>
        <v>2.3232198270692013E-2</v>
      </c>
      <c r="J473" s="479">
        <f>IF(F$417=0," ",F473/F485)</f>
        <v>5.9171597633136093E-3</v>
      </c>
      <c r="K473" s="758"/>
      <c r="L473" s="126">
        <f t="shared" si="70"/>
        <v>0.25469650759559209</v>
      </c>
    </row>
    <row r="474" spans="4:12" ht="15" x14ac:dyDescent="0.2">
      <c r="D474" s="730" t="s">
        <v>394</v>
      </c>
      <c r="E474" s="731">
        <v>842969</v>
      </c>
      <c r="F474" s="881">
        <v>0</v>
      </c>
      <c r="G474" s="882"/>
      <c r="H474" s="882"/>
      <c r="I474" s="478">
        <f>E474/E485</f>
        <v>4.96124612252292E-2</v>
      </c>
      <c r="J474" s="479">
        <f>IF(F$417=0," ",F474/F485)</f>
        <v>0</v>
      </c>
      <c r="L474" s="126">
        <f t="shared" si="70"/>
        <v>0</v>
      </c>
    </row>
    <row r="475" spans="4:12" ht="15" x14ac:dyDescent="0.2">
      <c r="D475" s="730" t="s">
        <v>17</v>
      </c>
      <c r="E475" s="731">
        <f>130103-6882</f>
        <v>123221</v>
      </c>
      <c r="F475" s="881">
        <v>0</v>
      </c>
      <c r="G475" s="882"/>
      <c r="H475" s="882"/>
      <c r="I475" s="478">
        <f>E475/E485</f>
        <v>7.2521018977375999E-3</v>
      </c>
      <c r="J475" s="479">
        <f>IF(F$417=0," ",F475/F485)</f>
        <v>0</v>
      </c>
      <c r="L475" s="126">
        <f t="shared" si="70"/>
        <v>0</v>
      </c>
    </row>
    <row r="476" spans="4:12" ht="15" x14ac:dyDescent="0.2">
      <c r="D476" s="730"/>
      <c r="E476" s="731"/>
      <c r="F476" s="881"/>
      <c r="G476" s="882"/>
      <c r="H476" s="882"/>
      <c r="I476" s="478">
        <f>E476/E485</f>
        <v>0</v>
      </c>
      <c r="J476" s="479">
        <f>IF(F$417=0," ",F476/F485)</f>
        <v>0</v>
      </c>
    </row>
    <row r="477" spans="4:12" ht="15" x14ac:dyDescent="0.2">
      <c r="D477" s="730"/>
      <c r="E477" s="731"/>
      <c r="F477" s="881"/>
      <c r="G477" s="882"/>
      <c r="H477" s="882"/>
      <c r="I477" s="478">
        <f>E477/E485</f>
        <v>0</v>
      </c>
      <c r="J477" s="479">
        <f>IF(F$417=0," ",F477/F485)</f>
        <v>0</v>
      </c>
    </row>
    <row r="478" spans="4:12" ht="15" x14ac:dyDescent="0.2">
      <c r="D478" s="730"/>
      <c r="E478" s="731"/>
      <c r="F478" s="881"/>
      <c r="G478" s="882"/>
      <c r="H478" s="882"/>
      <c r="I478" s="478">
        <f>E478/E485</f>
        <v>0</v>
      </c>
      <c r="J478" s="479">
        <f>IF(F$417=0," ",F478/F485)</f>
        <v>0</v>
      </c>
    </row>
    <row r="479" spans="4:12" ht="15" x14ac:dyDescent="0.2">
      <c r="D479" s="730"/>
      <c r="E479" s="731"/>
      <c r="F479" s="881"/>
      <c r="G479" s="882"/>
      <c r="H479" s="882"/>
      <c r="I479" s="478">
        <f>E479/E485</f>
        <v>0</v>
      </c>
      <c r="J479" s="479">
        <f>IF(F$417=0," ",F479/F485)</f>
        <v>0</v>
      </c>
    </row>
    <row r="480" spans="4:12" ht="15.75" thickBot="1" x14ac:dyDescent="0.25">
      <c r="D480" s="732"/>
      <c r="E480" s="733"/>
      <c r="F480" s="914"/>
      <c r="G480" s="915"/>
      <c r="H480" s="915"/>
      <c r="I480" s="478">
        <f>E480/E485</f>
        <v>0</v>
      </c>
      <c r="J480" s="479">
        <f>IF(F$417=0," ",F480/F485)</f>
        <v>0</v>
      </c>
    </row>
    <row r="481" spans="4:11" ht="16.5" thickTop="1" thickBot="1" x14ac:dyDescent="0.25">
      <c r="D481" s="17" t="s">
        <v>4</v>
      </c>
      <c r="E481" s="29">
        <f>SUM(E469:E480)</f>
        <v>16958014</v>
      </c>
      <c r="F481" s="922">
        <f>SUM(F469:F480)</f>
        <v>338</v>
      </c>
      <c r="G481" s="923"/>
      <c r="H481" s="924"/>
      <c r="I481" s="32">
        <f>SUM(I469:I480)</f>
        <v>0.99805427249625311</v>
      </c>
      <c r="J481" s="30">
        <f>SUM(J469:J480)</f>
        <v>1</v>
      </c>
    </row>
    <row r="482" spans="4:11" ht="17.25" thickTop="1" thickBot="1" x14ac:dyDescent="0.25">
      <c r="D482" s="480" t="s">
        <v>0</v>
      </c>
      <c r="I482" s="73"/>
      <c r="J482" s="159"/>
    </row>
    <row r="483" spans="4:11" ht="15.75" thickTop="1" x14ac:dyDescent="0.2">
      <c r="D483" s="481" t="s">
        <v>396</v>
      </c>
      <c r="E483" s="734">
        <v>0</v>
      </c>
      <c r="F483" s="1066">
        <v>0</v>
      </c>
      <c r="G483" s="1067"/>
      <c r="H483" s="1068"/>
      <c r="I483" s="459">
        <f>E483/E485</f>
        <v>0</v>
      </c>
      <c r="J483" s="479">
        <f>IF(F$417=0," ",F483/F485)</f>
        <v>0</v>
      </c>
    </row>
    <row r="484" spans="4:11" ht="15.75" thickBot="1" x14ac:dyDescent="0.25">
      <c r="D484" s="477" t="s">
        <v>189</v>
      </c>
      <c r="E484" s="735">
        <f>26178+6882</f>
        <v>33060</v>
      </c>
      <c r="F484" s="916"/>
      <c r="G484" s="917"/>
      <c r="H484" s="918"/>
      <c r="I484" s="463">
        <f>E484/E485</f>
        <v>1.9457275037469673E-3</v>
      </c>
      <c r="J484" s="479">
        <f>IF(F$417=0," ",F484/F485)</f>
        <v>0</v>
      </c>
    </row>
    <row r="485" spans="4:11" ht="16.5" thickTop="1" thickBot="1" x14ac:dyDescent="0.25">
      <c r="D485" s="17" t="s">
        <v>3</v>
      </c>
      <c r="E485" s="29">
        <f>SUM(E481:E484)</f>
        <v>16991074</v>
      </c>
      <c r="F485" s="922">
        <f>SUM(F481:H484)</f>
        <v>338</v>
      </c>
      <c r="G485" s="923"/>
      <c r="H485" s="924"/>
      <c r="I485" s="116">
        <f>SUM(I481:I484)</f>
        <v>1</v>
      </c>
      <c r="J485" s="116">
        <f>SUM(J481:J484)</f>
        <v>1</v>
      </c>
    </row>
    <row r="486" spans="4:11" ht="14.25" thickTop="1" thickBot="1" x14ac:dyDescent="0.25">
      <c r="E486" s="701"/>
      <c r="K486" s="21"/>
    </row>
    <row r="487" spans="4:11" ht="17.25" thickTop="1" thickBot="1" x14ac:dyDescent="0.25">
      <c r="D487" s="1109" t="s">
        <v>424</v>
      </c>
      <c r="E487" s="1110"/>
      <c r="K487" s="21"/>
    </row>
    <row r="488" spans="4:11" ht="14.25" thickTop="1" thickBot="1" x14ac:dyDescent="0.25"/>
    <row r="489" spans="4:11" ht="46.5" customHeight="1" thickTop="1" thickBot="1" x14ac:dyDescent="0.25">
      <c r="D489" s="455" t="s">
        <v>33</v>
      </c>
      <c r="E489" s="456" t="s">
        <v>395</v>
      </c>
      <c r="F489" s="998" t="s">
        <v>15</v>
      </c>
      <c r="G489" s="1111"/>
      <c r="H489" s="1112"/>
      <c r="I489" s="457" t="s">
        <v>72</v>
      </c>
      <c r="J489" s="458" t="s">
        <v>18</v>
      </c>
    </row>
    <row r="490" spans="4:11" ht="15.75" thickTop="1" x14ac:dyDescent="0.2">
      <c r="D490" s="728" t="s">
        <v>422</v>
      </c>
      <c r="E490" s="729">
        <v>1892962</v>
      </c>
      <c r="F490" s="912">
        <v>83</v>
      </c>
      <c r="G490" s="913"/>
      <c r="H490" s="913"/>
      <c r="I490" s="478">
        <f>E490/E506</f>
        <v>0.40881300176702329</v>
      </c>
      <c r="J490" s="479">
        <f>IF(F$417=0," ",F490/F506)</f>
        <v>0.66935483870967738</v>
      </c>
    </row>
    <row r="491" spans="4:11" ht="15" x14ac:dyDescent="0.2">
      <c r="D491" s="730" t="s">
        <v>423</v>
      </c>
      <c r="E491" s="731">
        <v>1098646</v>
      </c>
      <c r="F491" s="881">
        <v>31</v>
      </c>
      <c r="G491" s="882"/>
      <c r="H491" s="882"/>
      <c r="I491" s="478">
        <f>E491/E506</f>
        <v>0.23726877197710947</v>
      </c>
      <c r="J491" s="479">
        <f>IF(F$417=0," ",F491/F506)</f>
        <v>0.25</v>
      </c>
    </row>
    <row r="492" spans="4:11" ht="15" x14ac:dyDescent="0.2">
      <c r="D492" s="730" t="s">
        <v>25</v>
      </c>
      <c r="E492" s="731">
        <v>1100339</v>
      </c>
      <c r="F492" s="881">
        <v>8</v>
      </c>
      <c r="G492" s="882"/>
      <c r="H492" s="882"/>
      <c r="I492" s="478">
        <f>E492/E506</f>
        <v>0.23763440024222601</v>
      </c>
      <c r="J492" s="479">
        <f>IF(F$417=0," ",F492/F506)</f>
        <v>6.4516129032258063E-2</v>
      </c>
    </row>
    <row r="493" spans="4:11" ht="15" x14ac:dyDescent="0.2">
      <c r="D493" s="730" t="s">
        <v>32</v>
      </c>
      <c r="E493" s="731">
        <v>276704</v>
      </c>
      <c r="F493" s="881">
        <v>1</v>
      </c>
      <c r="G493" s="882"/>
      <c r="H493" s="882"/>
      <c r="I493" s="478">
        <f>E493/E506</f>
        <v>5.9758300927827614E-2</v>
      </c>
      <c r="J493" s="479">
        <f>IF(F$417=0," ",F493/F506)</f>
        <v>8.0645161290322578E-3</v>
      </c>
    </row>
    <row r="494" spans="4:11" ht="15" x14ac:dyDescent="0.2">
      <c r="D494" s="730" t="s">
        <v>425</v>
      </c>
      <c r="E494" s="731">
        <v>125980</v>
      </c>
      <c r="F494" s="881">
        <v>0</v>
      </c>
      <c r="G494" s="882"/>
      <c r="H494" s="882"/>
      <c r="I494" s="478">
        <f>E494/E506</f>
        <v>2.7207234990776145E-2</v>
      </c>
      <c r="J494" s="479">
        <f>IF(F$417=0," ",F494/F506)</f>
        <v>0</v>
      </c>
    </row>
    <row r="495" spans="4:11" ht="15" x14ac:dyDescent="0.2">
      <c r="D495" s="730" t="s">
        <v>426</v>
      </c>
      <c r="E495" s="731">
        <v>83718</v>
      </c>
      <c r="F495" s="881">
        <v>0</v>
      </c>
      <c r="G495" s="882"/>
      <c r="H495" s="882"/>
      <c r="I495" s="478">
        <f>E495/E506</f>
        <v>1.8080134140004742E-2</v>
      </c>
      <c r="J495" s="479">
        <f>IF(F$417=0," ",F495/F506)</f>
        <v>0</v>
      </c>
    </row>
    <row r="496" spans="4:11" ht="15" x14ac:dyDescent="0.2">
      <c r="D496" s="730" t="s">
        <v>427</v>
      </c>
      <c r="E496" s="731">
        <v>26731</v>
      </c>
      <c r="F496" s="881">
        <v>0</v>
      </c>
      <c r="G496" s="882"/>
      <c r="H496" s="882"/>
      <c r="I496" s="478">
        <f>E496/E506</f>
        <v>5.7729528380571294E-3</v>
      </c>
      <c r="J496" s="479">
        <f>IF(F$417=0," ",F496/F506)</f>
        <v>0</v>
      </c>
      <c r="K496" t="s">
        <v>428</v>
      </c>
    </row>
    <row r="497" spans="4:10" ht="15" x14ac:dyDescent="0.2">
      <c r="D497" s="730"/>
      <c r="E497" s="731"/>
      <c r="F497" s="881"/>
      <c r="G497" s="882"/>
      <c r="H497" s="882"/>
      <c r="I497" s="478">
        <f>E497/E506</f>
        <v>0</v>
      </c>
      <c r="J497" s="479">
        <f>IF(F$417=0," ",F497/F506)</f>
        <v>0</v>
      </c>
    </row>
    <row r="498" spans="4:10" ht="15" x14ac:dyDescent="0.2">
      <c r="D498" s="730"/>
      <c r="E498" s="731"/>
      <c r="F498" s="881"/>
      <c r="G498" s="882"/>
      <c r="H498" s="882"/>
      <c r="I498" s="478">
        <f>E498/E506</f>
        <v>0</v>
      </c>
      <c r="J498" s="479">
        <f>IF(F$417=0," ",F498/F506)</f>
        <v>0</v>
      </c>
    </row>
    <row r="499" spans="4:10" ht="15" x14ac:dyDescent="0.2">
      <c r="D499" s="730"/>
      <c r="E499" s="731"/>
      <c r="F499" s="881"/>
      <c r="G499" s="882"/>
      <c r="H499" s="882"/>
      <c r="I499" s="478">
        <f>E499/E506</f>
        <v>0</v>
      </c>
      <c r="J499" s="479">
        <f>IF(F$417=0," ",F499/F506)</f>
        <v>0</v>
      </c>
    </row>
    <row r="500" spans="4:10" ht="15" x14ac:dyDescent="0.2">
      <c r="D500" s="730"/>
      <c r="E500" s="731"/>
      <c r="F500" s="881"/>
      <c r="G500" s="882"/>
      <c r="H500" s="882"/>
      <c r="I500" s="478">
        <f>E500/E506</f>
        <v>0</v>
      </c>
      <c r="J500" s="479">
        <f>IF(F$417=0," ",F500/F506)</f>
        <v>0</v>
      </c>
    </row>
    <row r="501" spans="4:10" ht="15.75" thickBot="1" x14ac:dyDescent="0.25">
      <c r="D501" s="732"/>
      <c r="E501" s="733"/>
      <c r="F501" s="914"/>
      <c r="G501" s="915"/>
      <c r="H501" s="915"/>
      <c r="I501" s="478">
        <f>E501/E506</f>
        <v>0</v>
      </c>
      <c r="J501" s="479">
        <f>IF(F$417=0," ",F501/F506)</f>
        <v>0</v>
      </c>
    </row>
    <row r="502" spans="4:10" ht="16.5" thickTop="1" thickBot="1" x14ac:dyDescent="0.25">
      <c r="D502" s="17" t="s">
        <v>4</v>
      </c>
      <c r="E502" s="29">
        <f>SUM(E490:E501)</f>
        <v>4605080</v>
      </c>
      <c r="F502" s="922">
        <f>SUM(F490:F501)</f>
        <v>123</v>
      </c>
      <c r="G502" s="923"/>
      <c r="H502" s="924"/>
      <c r="I502" s="32">
        <f>SUM(I490:I501)</f>
        <v>0.99453479688302449</v>
      </c>
      <c r="J502" s="30">
        <f>SUM(J490:J501)</f>
        <v>0.99193548387096775</v>
      </c>
    </row>
    <row r="503" spans="4:10" ht="17.25" thickTop="1" thickBot="1" x14ac:dyDescent="0.25">
      <c r="D503" s="480" t="s">
        <v>0</v>
      </c>
      <c r="I503" s="73"/>
      <c r="J503" s="159"/>
    </row>
    <row r="504" spans="4:10" ht="15.75" thickTop="1" x14ac:dyDescent="0.2">
      <c r="D504" s="481" t="s">
        <v>396</v>
      </c>
      <c r="E504" s="734">
        <v>25306</v>
      </c>
      <c r="F504" s="1066">
        <v>1</v>
      </c>
      <c r="G504" s="1067"/>
      <c r="H504" s="1068"/>
      <c r="I504" s="459">
        <f>E504/E506</f>
        <v>5.4652031169755613E-3</v>
      </c>
      <c r="J504" s="479">
        <f>IF(F$417=0," ",F504/F506)</f>
        <v>8.0645161290322578E-3</v>
      </c>
    </row>
    <row r="505" spans="4:10" ht="15.75" thickBot="1" x14ac:dyDescent="0.25">
      <c r="D505" s="477" t="s">
        <v>189</v>
      </c>
      <c r="E505" s="735" t="s">
        <v>363</v>
      </c>
      <c r="F505" s="916"/>
      <c r="G505" s="917"/>
      <c r="H505" s="918"/>
      <c r="I505" s="463"/>
      <c r="J505" s="479">
        <f>IF(F$417=0," ",F505/F506)</f>
        <v>0</v>
      </c>
    </row>
    <row r="506" spans="4:10" ht="16.5" thickTop="1" thickBot="1" x14ac:dyDescent="0.25">
      <c r="D506" s="17" t="s">
        <v>3</v>
      </c>
      <c r="E506" s="29">
        <f>E504+E502</f>
        <v>4630386</v>
      </c>
      <c r="F506" s="922">
        <f>SUM(F502:H505)</f>
        <v>124</v>
      </c>
      <c r="G506" s="923"/>
      <c r="H506" s="924"/>
      <c r="I506" s="116">
        <f>SUM(I502:I505)</f>
        <v>1</v>
      </c>
      <c r="J506" s="116">
        <f>SUM(J502:J505)</f>
        <v>1</v>
      </c>
    </row>
    <row r="507" spans="4:10" ht="13.5" thickTop="1" x14ac:dyDescent="0.2"/>
    <row r="508" spans="4:10" ht="15.75" x14ac:dyDescent="0.2">
      <c r="D508" s="1101" t="s">
        <v>441</v>
      </c>
      <c r="E508" s="1102"/>
      <c r="F508" s="1103"/>
    </row>
    <row r="509" spans="4:10" ht="13.5" thickBot="1" x14ac:dyDescent="0.25"/>
    <row r="510" spans="4:10" ht="46.5" thickTop="1" thickBot="1" x14ac:dyDescent="0.25">
      <c r="D510" s="455" t="s">
        <v>33</v>
      </c>
      <c r="E510" s="456" t="s">
        <v>395</v>
      </c>
      <c r="F510" s="998" t="s">
        <v>15</v>
      </c>
      <c r="G510" s="1111"/>
      <c r="H510" s="1112"/>
      <c r="I510" s="457" t="s">
        <v>72</v>
      </c>
      <c r="J510" s="458" t="s">
        <v>18</v>
      </c>
    </row>
    <row r="511" spans="4:10" ht="15.75" thickTop="1" x14ac:dyDescent="0.2">
      <c r="D511" s="518" t="s">
        <v>436</v>
      </c>
      <c r="E511" s="488">
        <v>1685583</v>
      </c>
      <c r="F511" s="1113">
        <v>90</v>
      </c>
      <c r="G511" s="1114"/>
      <c r="H511" s="1115"/>
      <c r="I511" s="478">
        <f>E511/E527</f>
        <v>0.40962497162778966</v>
      </c>
      <c r="J511" s="479">
        <f>IF(F$417=0," ",F511/F527)</f>
        <v>0.72</v>
      </c>
    </row>
    <row r="512" spans="4:10" ht="15" x14ac:dyDescent="0.2">
      <c r="D512" s="519" t="s">
        <v>437</v>
      </c>
      <c r="E512" s="520">
        <v>591077</v>
      </c>
      <c r="F512" s="1116">
        <v>21</v>
      </c>
      <c r="G512" s="1117"/>
      <c r="H512" s="1118"/>
      <c r="I512" s="478">
        <f>E512/E527</f>
        <v>0.14364163577518224</v>
      </c>
      <c r="J512" s="479">
        <f>IF(F$417=0," ",F512/F527)</f>
        <v>0.16800000000000001</v>
      </c>
    </row>
    <row r="513" spans="4:10" ht="15" x14ac:dyDescent="0.2">
      <c r="D513" s="519" t="s">
        <v>438</v>
      </c>
      <c r="E513" s="520">
        <v>634535</v>
      </c>
      <c r="F513" s="1116">
        <v>11</v>
      </c>
      <c r="G513" s="1117"/>
      <c r="H513" s="1118"/>
      <c r="I513" s="478">
        <f>E513/E527</f>
        <v>0.15420265947855402</v>
      </c>
      <c r="J513" s="479">
        <f>IF(F$417=0," ",F513/F527)</f>
        <v>8.7999999999999995E-2</v>
      </c>
    </row>
    <row r="514" spans="4:10" ht="15" x14ac:dyDescent="0.2">
      <c r="D514" s="519" t="s">
        <v>439</v>
      </c>
      <c r="E514" s="520">
        <v>600708</v>
      </c>
      <c r="F514" s="1116">
        <v>3</v>
      </c>
      <c r="G514" s="1117"/>
      <c r="H514" s="1118"/>
      <c r="I514" s="478">
        <f>E514/E527</f>
        <v>0.14598213048932404</v>
      </c>
      <c r="J514" s="479">
        <f>IF(F$417=0," ",F514/F527)</f>
        <v>2.4E-2</v>
      </c>
    </row>
    <row r="515" spans="4:10" ht="15" x14ac:dyDescent="0.2">
      <c r="D515" s="519" t="s">
        <v>440</v>
      </c>
      <c r="E515" s="520">
        <v>530786</v>
      </c>
      <c r="F515" s="1116">
        <v>0</v>
      </c>
      <c r="G515" s="1117"/>
      <c r="H515" s="1118"/>
      <c r="I515" s="478">
        <f>E515/E527</f>
        <v>0.12898991042887117</v>
      </c>
      <c r="J515" s="479">
        <f>IF(F$417=0," ",F515/F527)</f>
        <v>0</v>
      </c>
    </row>
    <row r="516" spans="4:10" ht="15" x14ac:dyDescent="0.2">
      <c r="D516" s="519" t="s">
        <v>98</v>
      </c>
      <c r="E516" s="520">
        <f>4112821-4042689</f>
        <v>70132</v>
      </c>
      <c r="F516" s="1116">
        <v>0</v>
      </c>
      <c r="G516" s="1117"/>
      <c r="H516" s="1118"/>
      <c r="I516" s="478">
        <f>E516/E527</f>
        <v>1.704325358656331E-2</v>
      </c>
      <c r="J516" s="479">
        <f>IF(F$417=0," ",F516/F527)</f>
        <v>0</v>
      </c>
    </row>
    <row r="517" spans="4:10" ht="15" x14ac:dyDescent="0.2">
      <c r="D517" s="730"/>
      <c r="E517" s="731"/>
      <c r="F517" s="881"/>
      <c r="G517" s="882"/>
      <c r="H517" s="882"/>
      <c r="I517" s="478">
        <f>E517/E527</f>
        <v>0</v>
      </c>
      <c r="J517" s="479">
        <f>IF(F$417=0," ",F517/F527)</f>
        <v>0</v>
      </c>
    </row>
    <row r="518" spans="4:10" ht="15" x14ac:dyDescent="0.2">
      <c r="D518" s="730"/>
      <c r="E518" s="731"/>
      <c r="F518" s="881"/>
      <c r="G518" s="882"/>
      <c r="H518" s="882"/>
      <c r="I518" s="478">
        <f>E518/E527</f>
        <v>0</v>
      </c>
      <c r="J518" s="479">
        <f>IF(F$417=0," ",F518/F527)</f>
        <v>0</v>
      </c>
    </row>
    <row r="519" spans="4:10" ht="15" x14ac:dyDescent="0.2">
      <c r="D519" s="730"/>
      <c r="E519" s="731"/>
      <c r="F519" s="881"/>
      <c r="G519" s="882"/>
      <c r="H519" s="882"/>
      <c r="I519" s="478">
        <f>E519/E527</f>
        <v>0</v>
      </c>
      <c r="J519" s="479">
        <f>IF(F$417=0," ",F519/F527)</f>
        <v>0</v>
      </c>
    </row>
    <row r="520" spans="4:10" ht="15" x14ac:dyDescent="0.2">
      <c r="D520" s="730"/>
      <c r="E520" s="731"/>
      <c r="F520" s="881"/>
      <c r="G520" s="882"/>
      <c r="H520" s="882"/>
      <c r="I520" s="478">
        <f>E520/E527</f>
        <v>0</v>
      </c>
      <c r="J520" s="479">
        <f>IF(F$417=0," ",F520/F527)</f>
        <v>0</v>
      </c>
    </row>
    <row r="521" spans="4:10" ht="15" x14ac:dyDescent="0.2">
      <c r="D521" s="730"/>
      <c r="E521" s="731"/>
      <c r="F521" s="881"/>
      <c r="G521" s="882"/>
      <c r="H521" s="882"/>
      <c r="I521" s="478">
        <f>E521/E527</f>
        <v>0</v>
      </c>
      <c r="J521" s="479">
        <f>IF(F$417=0," ",F521/F527)</f>
        <v>0</v>
      </c>
    </row>
    <row r="522" spans="4:10" ht="15.75" thickBot="1" x14ac:dyDescent="0.25">
      <c r="D522" s="732"/>
      <c r="E522" s="733"/>
      <c r="F522" s="914"/>
      <c r="G522" s="915"/>
      <c r="H522" s="915"/>
      <c r="I522" s="478">
        <f>E522/E527</f>
        <v>0</v>
      </c>
      <c r="J522" s="479">
        <f>IF(F$417=0," ",F522/F527)</f>
        <v>0</v>
      </c>
    </row>
    <row r="523" spans="4:10" ht="16.5" thickTop="1" thickBot="1" x14ac:dyDescent="0.25">
      <c r="D523" s="17" t="s">
        <v>4</v>
      </c>
      <c r="E523" s="29">
        <f>SUM(E511:E522)</f>
        <v>4112821</v>
      </c>
      <c r="F523" s="922">
        <f>SUM(F511:F522)</f>
        <v>125</v>
      </c>
      <c r="G523" s="923"/>
      <c r="H523" s="924"/>
      <c r="I523" s="32">
        <f>SUM(I511:I522)</f>
        <v>0.99948456138628461</v>
      </c>
      <c r="J523" s="30">
        <f>SUM(J511:J522)</f>
        <v>1</v>
      </c>
    </row>
    <row r="524" spans="4:10" ht="17.25" thickTop="1" thickBot="1" x14ac:dyDescent="0.25">
      <c r="D524" s="480" t="s">
        <v>0</v>
      </c>
      <c r="I524" s="73"/>
      <c r="J524" s="159"/>
    </row>
    <row r="525" spans="4:10" ht="15.75" thickTop="1" x14ac:dyDescent="0.2">
      <c r="D525" s="481" t="s">
        <v>396</v>
      </c>
      <c r="E525" s="488"/>
      <c r="F525" s="1106">
        <v>0</v>
      </c>
      <c r="G525" s="1107"/>
      <c r="H525" s="1108"/>
      <c r="I525" s="459">
        <f>E525/E527</f>
        <v>0</v>
      </c>
      <c r="J525" s="479">
        <f>IF(F$417=0," ",F525/F527)</f>
        <v>0</v>
      </c>
    </row>
    <row r="526" spans="4:10" ht="15.75" thickBot="1" x14ac:dyDescent="0.25">
      <c r="D526" s="477" t="s">
        <v>189</v>
      </c>
      <c r="E526" s="489">
        <v>2121</v>
      </c>
      <c r="F526" s="1119">
        <v>0</v>
      </c>
      <c r="G526" s="1120"/>
      <c r="H526" s="1121"/>
      <c r="I526" s="463">
        <f>E526/E527</f>
        <v>5.1543861371557609E-4</v>
      </c>
      <c r="J526" s="479">
        <f>IF(F$417=0," ",F526/F527)</f>
        <v>0</v>
      </c>
    </row>
    <row r="527" spans="4:10" ht="16.5" thickTop="1" thickBot="1" x14ac:dyDescent="0.25">
      <c r="D527" s="17" t="s">
        <v>3</v>
      </c>
      <c r="E527" s="29">
        <f>SUM(E523:E526)</f>
        <v>4114942</v>
      </c>
      <c r="F527" s="922">
        <f>SUM(F523:H526)</f>
        <v>125</v>
      </c>
      <c r="G527" s="923"/>
      <c r="H527" s="924"/>
      <c r="I527" s="116">
        <f>SUM(I523:I526)</f>
        <v>1.0000000000000002</v>
      </c>
      <c r="J527" s="116">
        <f>SUM(J523:J526)</f>
        <v>1</v>
      </c>
    </row>
    <row r="528" spans="4:10" ht="14.25" thickTop="1" thickBot="1" x14ac:dyDescent="0.25"/>
    <row r="529" spans="4:10" ht="17.25" thickTop="1" thickBot="1" x14ac:dyDescent="0.25">
      <c r="D529" s="1109"/>
      <c r="E529" s="1250"/>
      <c r="F529" s="1251"/>
    </row>
    <row r="530" spans="4:10" ht="14.25" thickTop="1" thickBot="1" x14ac:dyDescent="0.25"/>
    <row r="531" spans="4:10" ht="46.5" thickTop="1" thickBot="1" x14ac:dyDescent="0.25">
      <c r="D531" s="455" t="s">
        <v>33</v>
      </c>
      <c r="E531" s="456" t="s">
        <v>395</v>
      </c>
      <c r="F531" s="998" t="s">
        <v>15</v>
      </c>
      <c r="G531" s="1111"/>
      <c r="H531" s="1112"/>
      <c r="I531" s="457" t="s">
        <v>72</v>
      </c>
      <c r="J531" s="458" t="s">
        <v>18</v>
      </c>
    </row>
    <row r="532" spans="4:10" ht="15.75" thickTop="1" x14ac:dyDescent="0.2">
      <c r="D532" s="518"/>
      <c r="E532" s="488"/>
      <c r="F532" s="1113"/>
      <c r="G532" s="1114"/>
      <c r="H532" s="1115"/>
      <c r="I532" s="478" t="e">
        <f>E532/E548</f>
        <v>#DIV/0!</v>
      </c>
      <c r="J532" s="479" t="e">
        <f>IF(F$417=0," ",F532/F548)</f>
        <v>#DIV/0!</v>
      </c>
    </row>
    <row r="533" spans="4:10" ht="15" x14ac:dyDescent="0.2">
      <c r="D533" s="519"/>
      <c r="E533" s="520"/>
      <c r="F533" s="1116"/>
      <c r="G533" s="1117"/>
      <c r="H533" s="1118"/>
      <c r="I533" s="478" t="e">
        <f>E533/E548</f>
        <v>#DIV/0!</v>
      </c>
      <c r="J533" s="479" t="e">
        <f>IF(F$417=0," ",F533/F548)</f>
        <v>#DIV/0!</v>
      </c>
    </row>
    <row r="534" spans="4:10" ht="15" x14ac:dyDescent="0.2">
      <c r="D534" s="519"/>
      <c r="E534" s="520"/>
      <c r="F534" s="1116"/>
      <c r="G534" s="1117"/>
      <c r="H534" s="1118"/>
      <c r="I534" s="478" t="e">
        <f>E534/E548</f>
        <v>#DIV/0!</v>
      </c>
      <c r="J534" s="479" t="e">
        <f>IF(F$417=0," ",F534/F548)</f>
        <v>#DIV/0!</v>
      </c>
    </row>
    <row r="535" spans="4:10" ht="15" x14ac:dyDescent="0.2">
      <c r="D535" s="519"/>
      <c r="E535" s="520"/>
      <c r="F535" s="1116"/>
      <c r="G535" s="1117"/>
      <c r="H535" s="1118"/>
      <c r="I535" s="478" t="e">
        <f>E535/E548</f>
        <v>#DIV/0!</v>
      </c>
      <c r="J535" s="479" t="e">
        <f>IF(F$417=0," ",F535/F548)</f>
        <v>#DIV/0!</v>
      </c>
    </row>
    <row r="536" spans="4:10" ht="15" x14ac:dyDescent="0.2">
      <c r="D536" s="519"/>
      <c r="E536" s="520"/>
      <c r="F536" s="1116"/>
      <c r="G536" s="1117"/>
      <c r="H536" s="1118"/>
      <c r="I536" s="478" t="e">
        <f>E536/E548</f>
        <v>#DIV/0!</v>
      </c>
      <c r="J536" s="479" t="e">
        <f>IF(F$417=0," ",F536/F548)</f>
        <v>#DIV/0!</v>
      </c>
    </row>
    <row r="537" spans="4:10" ht="15" x14ac:dyDescent="0.2">
      <c r="D537" s="519"/>
      <c r="E537" s="520"/>
      <c r="F537" s="1116"/>
      <c r="G537" s="1117"/>
      <c r="H537" s="1118"/>
      <c r="I537" s="478" t="e">
        <f>E537/E548</f>
        <v>#DIV/0!</v>
      </c>
      <c r="J537" s="479" t="e">
        <f>IF(F$417=0," ",F537/F548)</f>
        <v>#DIV/0!</v>
      </c>
    </row>
    <row r="538" spans="4:10" ht="15" x14ac:dyDescent="0.2">
      <c r="D538" s="730"/>
      <c r="E538" s="731"/>
      <c r="F538" s="881"/>
      <c r="G538" s="882"/>
      <c r="H538" s="882"/>
      <c r="I538" s="478" t="e">
        <f>E538/E548</f>
        <v>#DIV/0!</v>
      </c>
      <c r="J538" s="479" t="e">
        <f>IF(F$417=0," ",F538/F548)</f>
        <v>#DIV/0!</v>
      </c>
    </row>
    <row r="539" spans="4:10" ht="15" x14ac:dyDescent="0.2">
      <c r="D539" s="730"/>
      <c r="E539" s="731"/>
      <c r="F539" s="881"/>
      <c r="G539" s="882"/>
      <c r="H539" s="882"/>
      <c r="I539" s="478" t="e">
        <f>E539/E548</f>
        <v>#DIV/0!</v>
      </c>
      <c r="J539" s="479" t="e">
        <f>IF(F$417=0," ",F539/F548)</f>
        <v>#DIV/0!</v>
      </c>
    </row>
    <row r="540" spans="4:10" ht="15" x14ac:dyDescent="0.2">
      <c r="D540" s="730"/>
      <c r="E540" s="731"/>
      <c r="F540" s="881"/>
      <c r="G540" s="882"/>
      <c r="H540" s="882"/>
      <c r="I540" s="478" t="e">
        <f>E540/E548</f>
        <v>#DIV/0!</v>
      </c>
      <c r="J540" s="479" t="e">
        <f>IF(F$417=0," ",F540/F548)</f>
        <v>#DIV/0!</v>
      </c>
    </row>
    <row r="541" spans="4:10" ht="15" x14ac:dyDescent="0.2">
      <c r="D541" s="730"/>
      <c r="E541" s="731"/>
      <c r="F541" s="881"/>
      <c r="G541" s="882"/>
      <c r="H541" s="882"/>
      <c r="I541" s="478" t="e">
        <f>E541/E548</f>
        <v>#DIV/0!</v>
      </c>
      <c r="J541" s="479" t="e">
        <f>IF(F$417=0," ",F541/F548)</f>
        <v>#DIV/0!</v>
      </c>
    </row>
    <row r="542" spans="4:10" ht="15" x14ac:dyDescent="0.2">
      <c r="D542" s="730"/>
      <c r="E542" s="731"/>
      <c r="F542" s="881"/>
      <c r="G542" s="882"/>
      <c r="H542" s="882"/>
      <c r="I542" s="478" t="e">
        <f>E542/E548</f>
        <v>#DIV/0!</v>
      </c>
      <c r="J542" s="479" t="e">
        <f>IF(F$417=0," ",F542/F548)</f>
        <v>#DIV/0!</v>
      </c>
    </row>
    <row r="543" spans="4:10" ht="15.75" thickBot="1" x14ac:dyDescent="0.25">
      <c r="D543" s="732"/>
      <c r="E543" s="733"/>
      <c r="F543" s="914"/>
      <c r="G543" s="915"/>
      <c r="H543" s="915"/>
      <c r="I543" s="478" t="e">
        <f>E543/E548</f>
        <v>#DIV/0!</v>
      </c>
      <c r="J543" s="479" t="e">
        <f>IF(F$417=0," ",F543/F548)</f>
        <v>#DIV/0!</v>
      </c>
    </row>
    <row r="544" spans="4:10" ht="16.5" thickTop="1" thickBot="1" x14ac:dyDescent="0.25">
      <c r="D544" s="17" t="s">
        <v>4</v>
      </c>
      <c r="E544" s="29">
        <f>SUM(E532:E543)</f>
        <v>0</v>
      </c>
      <c r="F544" s="922">
        <f>SUM(F532:F543)</f>
        <v>0</v>
      </c>
      <c r="G544" s="923"/>
      <c r="H544" s="924"/>
      <c r="I544" s="32" t="e">
        <f>SUM(I532:I543)</f>
        <v>#DIV/0!</v>
      </c>
      <c r="J544" s="30" t="e">
        <f>SUM(J532:J543)</f>
        <v>#DIV/0!</v>
      </c>
    </row>
    <row r="545" spans="4:10" ht="17.25" thickTop="1" thickBot="1" x14ac:dyDescent="0.25">
      <c r="D545" s="480" t="s">
        <v>0</v>
      </c>
      <c r="I545" s="73"/>
      <c r="J545" s="159"/>
    </row>
    <row r="546" spans="4:10" ht="15.75" thickTop="1" x14ac:dyDescent="0.2">
      <c r="D546" s="481" t="s">
        <v>396</v>
      </c>
      <c r="E546" s="734"/>
      <c r="F546" s="1066"/>
      <c r="G546" s="1067"/>
      <c r="H546" s="1068"/>
      <c r="I546" s="459" t="e">
        <f>E546/E548</f>
        <v>#DIV/0!</v>
      </c>
      <c r="J546" s="479" t="e">
        <f>IF(F$417=0," ",F546/F548)</f>
        <v>#DIV/0!</v>
      </c>
    </row>
    <row r="547" spans="4:10" ht="15.75" thickBot="1" x14ac:dyDescent="0.25">
      <c r="D547" s="477" t="s">
        <v>189</v>
      </c>
      <c r="E547" s="735"/>
      <c r="F547" s="916"/>
      <c r="G547" s="917"/>
      <c r="H547" s="918"/>
      <c r="I547" s="463" t="e">
        <f>E547/E548</f>
        <v>#DIV/0!</v>
      </c>
      <c r="J547" s="479" t="e">
        <f>IF(F$417=0," ",F547/F548)</f>
        <v>#DIV/0!</v>
      </c>
    </row>
    <row r="548" spans="4:10" ht="16.5" thickTop="1" thickBot="1" x14ac:dyDescent="0.25">
      <c r="D548" s="17" t="s">
        <v>3</v>
      </c>
      <c r="E548" s="29">
        <f>SUM(E544:E547)</f>
        <v>0</v>
      </c>
      <c r="F548" s="922">
        <f>SUM(F544:H547)</f>
        <v>0</v>
      </c>
      <c r="G548" s="923"/>
      <c r="H548" s="924"/>
      <c r="I548" s="116" t="e">
        <f>SUM(I544:I547)</f>
        <v>#DIV/0!</v>
      </c>
      <c r="J548" s="116" t="e">
        <f>SUM(J544:J547)</f>
        <v>#DIV/0!</v>
      </c>
    </row>
    <row r="549" spans="4:10" ht="13.5" thickTop="1" x14ac:dyDescent="0.2"/>
  </sheetData>
  <protectedRanges>
    <protectedRange sqref="E243:H243 F202:H202 P243 L243:M243" name="Range9"/>
    <protectedRange sqref="D50:H59 D88:H97 K107:K112 D107:E115 F113:H118 D128:H137 F99:H99 D147:H160 D251:H262 D230:H241 L230:L241 N230:N241 P230:P241 D117:E118 D116:H116 D272:H283 D292:H298 D300:H303 E299:H299" name="Range1_1"/>
    <protectedRange sqref="D61:H61 D162:H162 D120:H120 D139:H139 D243:H243 D99:E99 F202:H202 D202 D222 D42 P243 L243:M243 D264:H264 D285:H285 D305:H307 D327:H327 D349:H349 D482:H482 D392:H392 D414:H414 D436:H436 D80 D370:H370 D459:H459 D503:H503 D524:H524 D545:H545" name="Range2_1"/>
    <protectedRange sqref="D50:H59 D88:H97 K107:K112 D107:E115 F113:H118 D128:H137 F99:H99 D147:H160 D251:H262 D230:H241 L230:L241 N230:N241 P230:P241 D117:E118 D116:H116 D272:H283 D292:H298 D300:H303 E299:H299" name="Range3_1"/>
    <protectedRange sqref="D230:H241 L230:L241 N230:N241 P230:P241" name="Range8"/>
    <protectedRange sqref="D170:F179" name="Range1_1_1"/>
    <protectedRange sqref="E202" name="Range2_1_1_1"/>
    <protectedRange sqref="D211:H220" name="Range3"/>
    <protectedRange sqref="D218:E220 F220:G220 D211:G214 D215:F217 F218:F219 H211:H220" name="Range1"/>
    <protectedRange sqref="F42:H42 F80:H80" name="Range2_1_2"/>
    <protectedRange sqref="D31:H40 D69:H78" name="Range3_3"/>
    <protectedRange sqref="D299" name="Range1_1_1_1"/>
    <protectedRange sqref="D299" name="Range3_1_1_1"/>
    <protectedRange sqref="D324:H325 D347:H347 D346:E346" name="Range1_1_7"/>
    <protectedRange sqref="D324:H325 D347:H347 D346:E346" name="Range3_1_7"/>
    <protectedRange sqref="D314:H323 D336:H345 F346:H346" name="Range1_1_1_2"/>
    <protectedRange sqref="D314:H323 D336:H345 F346:H346" name="Range3_1_1_2"/>
    <protectedRange sqref="D328:D329 D350:D351 D483:D484 D393:D394 D415:D416 D437:D438 D371:D372 D460:D461 D504:D505 D525:D526 D546:D547" name="Range2_2"/>
    <protectedRange sqref="F329:H329 F351:H351 F484:H484 F394:H394 F416:H416 F438:H438 F372:H372 F461:H461 F505:H505 F547:H547" name="Range2_1_1_3"/>
    <protectedRange sqref="E328:H328 E350:H350 E483:H483 E393:H393 E415:H415 E437:H437 E371:H371 E460:H460 E504:H504 E546:H546" name="Range2_3"/>
    <protectedRange sqref="E328:H328 E350:H350 E483:H483 E393:H393 E415:H415 E437:H437 E371:H371 E460:H460 E504:H504 E546:H546" name="Range7_2"/>
    <protectedRange sqref="E329 E351 E484 E394 E416 E438 E372 E461 E505 E547" name="Range2_1_5"/>
    <protectedRange sqref="D358" name="Range1_3_2"/>
    <protectedRange sqref="D358" name="Range3_3_2"/>
    <protectedRange sqref="H357:H358 D357:G357 D359:D366 E358:G358 E359:H368" name="Range1_3_1_2"/>
    <protectedRange sqref="D357:H357 D359:D366 E358:H368" name="Range3_3_1_2"/>
    <protectedRange sqref="D367" name="Range3_1_1_2_1_2_1"/>
    <protectedRange sqref="A357:A368" name="Range1_3_1_8"/>
    <protectedRange sqref="A357:A368" name="Range3_3_1_8"/>
    <protectedRange sqref="D532:H537 D511:H516" name="Range1_1_1_2_1"/>
    <protectedRange sqref="D532:H537 D511:H516" name="Range3_1_1_2_1"/>
    <protectedRange sqref="F526:H526" name="Range2_1_1_3_1"/>
    <protectedRange sqref="E525:H525" name="Range2_3_1"/>
    <protectedRange sqref="E525:H525" name="Range7_2_1"/>
    <protectedRange sqref="E526" name="Range2_1_5_1"/>
    <protectedRange sqref="D8:H19" name="Range63_1"/>
    <protectedRange sqref="E23" name="Range2_1_5_1_2"/>
    <protectedRange sqref="E22:H22" name="Range7_2_1_2"/>
    <protectedRange sqref="E22:H22" name="Range2_3_1_2"/>
    <protectedRange sqref="F23:H23" name="Range2_1_1_3_1_2"/>
    <protectedRange sqref="D22:D23" name="Range2_2_1_1_1"/>
    <protectedRange sqref="D4:F4" name="Range64"/>
  </protectedRanges>
  <customSheetViews>
    <customSheetView guid="{828C1003-5BBC-4D2D-BF7A-3218457CB106}" scale="85" topLeftCell="A17">
      <selection activeCell="D23" sqref="D23:F23"/>
      <pageMargins left="0.75" right="0.75" top="1" bottom="1" header="0.5" footer="0.5"/>
      <pageSetup orientation="portrait" r:id="rId1"/>
      <headerFooter alignWithMargins="0"/>
    </customSheetView>
  </customSheetViews>
  <mergeCells count="467">
    <mergeCell ref="F22:H22"/>
    <mergeCell ref="F23:H23"/>
    <mergeCell ref="F24:H24"/>
    <mergeCell ref="D4:F4"/>
    <mergeCell ref="F13:H13"/>
    <mergeCell ref="F14:H14"/>
    <mergeCell ref="F15:H15"/>
    <mergeCell ref="F16:H16"/>
    <mergeCell ref="F17:H17"/>
    <mergeCell ref="F18:H18"/>
    <mergeCell ref="F19:H19"/>
    <mergeCell ref="F20:H20"/>
    <mergeCell ref="F21:H21"/>
    <mergeCell ref="F6:H6"/>
    <mergeCell ref="I6:I7"/>
    <mergeCell ref="J6:J7"/>
    <mergeCell ref="D7:H7"/>
    <mergeCell ref="F8:H8"/>
    <mergeCell ref="F9:H9"/>
    <mergeCell ref="F10:H10"/>
    <mergeCell ref="F11:H11"/>
    <mergeCell ref="F12:H12"/>
    <mergeCell ref="F539:H539"/>
    <mergeCell ref="D466:E466"/>
    <mergeCell ref="F468:H468"/>
    <mergeCell ref="F469:H469"/>
    <mergeCell ref="F470:H470"/>
    <mergeCell ref="F471:H471"/>
    <mergeCell ref="F472:H472"/>
    <mergeCell ref="F473:H473"/>
    <mergeCell ref="F474:H474"/>
    <mergeCell ref="F475:H475"/>
    <mergeCell ref="F76:H76"/>
    <mergeCell ref="F77:H77"/>
    <mergeCell ref="F78:H78"/>
    <mergeCell ref="F79:H79"/>
    <mergeCell ref="F80:H80"/>
    <mergeCell ref="F81:H81"/>
    <mergeCell ref="F540:H540"/>
    <mergeCell ref="F541:H541"/>
    <mergeCell ref="F542:H542"/>
    <mergeCell ref="F543:H543"/>
    <mergeCell ref="F544:H544"/>
    <mergeCell ref="F546:H546"/>
    <mergeCell ref="F547:H547"/>
    <mergeCell ref="F548:H548"/>
    <mergeCell ref="D529:F529"/>
    <mergeCell ref="F531:H531"/>
    <mergeCell ref="F532:H532"/>
    <mergeCell ref="F533:H533"/>
    <mergeCell ref="F534:H534"/>
    <mergeCell ref="F535:H535"/>
    <mergeCell ref="F536:H536"/>
    <mergeCell ref="F537:H537"/>
    <mergeCell ref="F538:H538"/>
    <mergeCell ref="D66:F66"/>
    <mergeCell ref="F68:H68"/>
    <mergeCell ref="F69:H69"/>
    <mergeCell ref="F70:H70"/>
    <mergeCell ref="F71:H71"/>
    <mergeCell ref="F72:H72"/>
    <mergeCell ref="F73:H73"/>
    <mergeCell ref="F74:H74"/>
    <mergeCell ref="F75:H75"/>
    <mergeCell ref="D376:E376"/>
    <mergeCell ref="D311:F311"/>
    <mergeCell ref="D104:F104"/>
    <mergeCell ref="D227:F227"/>
    <mergeCell ref="D248:F248"/>
    <mergeCell ref="D269:F269"/>
    <mergeCell ref="D289:F289"/>
    <mergeCell ref="F430:H430"/>
    <mergeCell ref="F409:H409"/>
    <mergeCell ref="F410:H410"/>
    <mergeCell ref="F411:H411"/>
    <mergeCell ref="F412:H412"/>
    <mergeCell ref="F413:H413"/>
    <mergeCell ref="F415:H415"/>
    <mergeCell ref="F416:H416"/>
    <mergeCell ref="F417:H417"/>
    <mergeCell ref="D398:E398"/>
    <mergeCell ref="F400:H400"/>
    <mergeCell ref="F401:H401"/>
    <mergeCell ref="F402:H402"/>
    <mergeCell ref="F403:H403"/>
    <mergeCell ref="F404:H404"/>
    <mergeCell ref="F405:H405"/>
    <mergeCell ref="F408:H408"/>
    <mergeCell ref="F431:H431"/>
    <mergeCell ref="F432:H432"/>
    <mergeCell ref="F433:H433"/>
    <mergeCell ref="F434:H434"/>
    <mergeCell ref="F435:H435"/>
    <mergeCell ref="F437:H437"/>
    <mergeCell ref="F438:H438"/>
    <mergeCell ref="F439:H439"/>
    <mergeCell ref="D420:E420"/>
    <mergeCell ref="F422:H422"/>
    <mergeCell ref="F423:H423"/>
    <mergeCell ref="F424:H424"/>
    <mergeCell ref="F425:H425"/>
    <mergeCell ref="F426:H426"/>
    <mergeCell ref="F427:H427"/>
    <mergeCell ref="F428:H428"/>
    <mergeCell ref="F429:H429"/>
    <mergeCell ref="F391:H391"/>
    <mergeCell ref="F393:H393"/>
    <mergeCell ref="F394:H394"/>
    <mergeCell ref="F395:H395"/>
    <mergeCell ref="F380:H380"/>
    <mergeCell ref="F381:H381"/>
    <mergeCell ref="F382:H382"/>
    <mergeCell ref="F383:H383"/>
    <mergeCell ref="F384:H384"/>
    <mergeCell ref="F385:H385"/>
    <mergeCell ref="F386:H386"/>
    <mergeCell ref="F406:H406"/>
    <mergeCell ref="F407:H407"/>
    <mergeCell ref="F347:H347"/>
    <mergeCell ref="F348:H348"/>
    <mergeCell ref="F350:H350"/>
    <mergeCell ref="F351:H351"/>
    <mergeCell ref="F352:H352"/>
    <mergeCell ref="F343:H343"/>
    <mergeCell ref="F346:H346"/>
    <mergeCell ref="F378:H378"/>
    <mergeCell ref="F379:H379"/>
    <mergeCell ref="F364:H364"/>
    <mergeCell ref="F365:H365"/>
    <mergeCell ref="F366:H366"/>
    <mergeCell ref="F367:H367"/>
    <mergeCell ref="F368:H368"/>
    <mergeCell ref="F369:H369"/>
    <mergeCell ref="F371:H371"/>
    <mergeCell ref="F372:H372"/>
    <mergeCell ref="F373:H373"/>
    <mergeCell ref="F387:H387"/>
    <mergeCell ref="F388:H388"/>
    <mergeCell ref="F389:H389"/>
    <mergeCell ref="F390:H390"/>
    <mergeCell ref="F322:H322"/>
    <mergeCell ref="F323:H323"/>
    <mergeCell ref="F325:H325"/>
    <mergeCell ref="F326:H326"/>
    <mergeCell ref="F328:H328"/>
    <mergeCell ref="F329:H329"/>
    <mergeCell ref="F330:H330"/>
    <mergeCell ref="F344:H344"/>
    <mergeCell ref="F345:H345"/>
    <mergeCell ref="F313:H313"/>
    <mergeCell ref="F314:H314"/>
    <mergeCell ref="F315:H315"/>
    <mergeCell ref="F316:H316"/>
    <mergeCell ref="F317:H317"/>
    <mergeCell ref="F318:H318"/>
    <mergeCell ref="F319:H319"/>
    <mergeCell ref="F320:H320"/>
    <mergeCell ref="F321:H321"/>
    <mergeCell ref="F300:H300"/>
    <mergeCell ref="F301:H301"/>
    <mergeCell ref="F302:H302"/>
    <mergeCell ref="F303:H303"/>
    <mergeCell ref="F304:H304"/>
    <mergeCell ref="F308:H308"/>
    <mergeCell ref="F306:H306"/>
    <mergeCell ref="F307:H307"/>
    <mergeCell ref="F291:H291"/>
    <mergeCell ref="F292:H292"/>
    <mergeCell ref="F293:H293"/>
    <mergeCell ref="F294:H294"/>
    <mergeCell ref="F295:H295"/>
    <mergeCell ref="F296:H296"/>
    <mergeCell ref="F297:H297"/>
    <mergeCell ref="F298:H298"/>
    <mergeCell ref="F299:H299"/>
    <mergeCell ref="N228:P228"/>
    <mergeCell ref="Q228:S228"/>
    <mergeCell ref="L227:S227"/>
    <mergeCell ref="AA48:AC48"/>
    <mergeCell ref="X48:Z48"/>
    <mergeCell ref="U48:W48"/>
    <mergeCell ref="R48:T48"/>
    <mergeCell ref="L48:N48"/>
    <mergeCell ref="O48:Q48"/>
    <mergeCell ref="L216:O218"/>
    <mergeCell ref="AM48:AO48"/>
    <mergeCell ref="AJ48:AL48"/>
    <mergeCell ref="AG48:AI48"/>
    <mergeCell ref="AD48:AF48"/>
    <mergeCell ref="AY48:BA48"/>
    <mergeCell ref="AV48:AX48"/>
    <mergeCell ref="AS48:AU48"/>
    <mergeCell ref="AP48:AR48"/>
    <mergeCell ref="F43:H43"/>
    <mergeCell ref="D47:F47"/>
    <mergeCell ref="D2:J2"/>
    <mergeCell ref="F37:H37"/>
    <mergeCell ref="F38:H38"/>
    <mergeCell ref="F39:H39"/>
    <mergeCell ref="F40:H40"/>
    <mergeCell ref="F33:H33"/>
    <mergeCell ref="F34:H34"/>
    <mergeCell ref="F239:H239"/>
    <mergeCell ref="L228:M228"/>
    <mergeCell ref="F35:H35"/>
    <mergeCell ref="F36:H36"/>
    <mergeCell ref="D28:F28"/>
    <mergeCell ref="F30:H30"/>
    <mergeCell ref="F31:H31"/>
    <mergeCell ref="F32:H32"/>
    <mergeCell ref="F41:H41"/>
    <mergeCell ref="F42:H42"/>
    <mergeCell ref="F188:H188"/>
    <mergeCell ref="F189:H189"/>
    <mergeCell ref="L222:O224"/>
    <mergeCell ref="F61:H61"/>
    <mergeCell ref="F106:H106"/>
    <mergeCell ref="F62:H62"/>
    <mergeCell ref="F107:H107"/>
    <mergeCell ref="F95:H95"/>
    <mergeCell ref="F96:H96"/>
    <mergeCell ref="F97:H97"/>
    <mergeCell ref="F243:H243"/>
    <mergeCell ref="F244:H244"/>
    <mergeCell ref="F242:H242"/>
    <mergeCell ref="F238:H238"/>
    <mergeCell ref="F236:H236"/>
    <mergeCell ref="F235:H235"/>
    <mergeCell ref="F231:H231"/>
    <mergeCell ref="F109:H109"/>
    <mergeCell ref="F110:H110"/>
    <mergeCell ref="D186:H186"/>
    <mergeCell ref="F234:H234"/>
    <mergeCell ref="F233:H233"/>
    <mergeCell ref="F232:H232"/>
    <mergeCell ref="F237:H237"/>
    <mergeCell ref="F230:H230"/>
    <mergeCell ref="F229:H229"/>
    <mergeCell ref="D208:F208"/>
    <mergeCell ref="F210:H210"/>
    <mergeCell ref="F211:H211"/>
    <mergeCell ref="F129:H129"/>
    <mergeCell ref="F130:H130"/>
    <mergeCell ref="F53:H53"/>
    <mergeCell ref="F54:H54"/>
    <mergeCell ref="F55:H55"/>
    <mergeCell ref="F60:H60"/>
    <mergeCell ref="F49:H49"/>
    <mergeCell ref="F50:H50"/>
    <mergeCell ref="F51:H51"/>
    <mergeCell ref="F52:H52"/>
    <mergeCell ref="F56:H56"/>
    <mergeCell ref="F57:H57"/>
    <mergeCell ref="F98:H98"/>
    <mergeCell ref="F111:H111"/>
    <mergeCell ref="F112:H112"/>
    <mergeCell ref="F108:H108"/>
    <mergeCell ref="F113:H113"/>
    <mergeCell ref="F58:H58"/>
    <mergeCell ref="F59:H59"/>
    <mergeCell ref="F133:H133"/>
    <mergeCell ref="F99:H99"/>
    <mergeCell ref="F100:H100"/>
    <mergeCell ref="F127:H127"/>
    <mergeCell ref="F128:H128"/>
    <mergeCell ref="F119:H119"/>
    <mergeCell ref="F120:H120"/>
    <mergeCell ref="D85:F85"/>
    <mergeCell ref="D125:F125"/>
    <mergeCell ref="F91:H91"/>
    <mergeCell ref="F92:H92"/>
    <mergeCell ref="F93:H93"/>
    <mergeCell ref="F94:H94"/>
    <mergeCell ref="F87:H87"/>
    <mergeCell ref="F88:H88"/>
    <mergeCell ref="F89:H89"/>
    <mergeCell ref="F90:H90"/>
    <mergeCell ref="F139:H139"/>
    <mergeCell ref="F121:H121"/>
    <mergeCell ref="F114:H114"/>
    <mergeCell ref="F115:H115"/>
    <mergeCell ref="F118:H118"/>
    <mergeCell ref="F140:H140"/>
    <mergeCell ref="F146:H146"/>
    <mergeCell ref="D144:F144"/>
    <mergeCell ref="F134:H134"/>
    <mergeCell ref="F135:H135"/>
    <mergeCell ref="F136:H136"/>
    <mergeCell ref="F137:H137"/>
    <mergeCell ref="F131:H131"/>
    <mergeCell ref="F132:H132"/>
    <mergeCell ref="F138:H138"/>
    <mergeCell ref="F116:H116"/>
    <mergeCell ref="F151:H151"/>
    <mergeCell ref="F152:H152"/>
    <mergeCell ref="F153:H153"/>
    <mergeCell ref="F154:H154"/>
    <mergeCell ref="F147:H147"/>
    <mergeCell ref="F148:H148"/>
    <mergeCell ref="F149:H149"/>
    <mergeCell ref="F150:H150"/>
    <mergeCell ref="F159:H159"/>
    <mergeCell ref="F160:H160"/>
    <mergeCell ref="F161:H161"/>
    <mergeCell ref="F175:H175"/>
    <mergeCell ref="F176:H176"/>
    <mergeCell ref="F177:H177"/>
    <mergeCell ref="F178:H178"/>
    <mergeCell ref="F194:H194"/>
    <mergeCell ref="F162:H162"/>
    <mergeCell ref="F155:H155"/>
    <mergeCell ref="F156:H156"/>
    <mergeCell ref="F157:H157"/>
    <mergeCell ref="F158:H158"/>
    <mergeCell ref="F171:H171"/>
    <mergeCell ref="F172:H172"/>
    <mergeCell ref="F173:H173"/>
    <mergeCell ref="F174:H174"/>
    <mergeCell ref="F163:H163"/>
    <mergeCell ref="F169:H169"/>
    <mergeCell ref="F170:H170"/>
    <mergeCell ref="D167:H167"/>
    <mergeCell ref="F190:H190"/>
    <mergeCell ref="F191:H191"/>
    <mergeCell ref="F192:H192"/>
    <mergeCell ref="F193:H193"/>
    <mergeCell ref="F179:H179"/>
    <mergeCell ref="F180:H180"/>
    <mergeCell ref="F181:H181"/>
    <mergeCell ref="F182:H182"/>
    <mergeCell ref="F222:H222"/>
    <mergeCell ref="F223:H223"/>
    <mergeCell ref="F216:H216"/>
    <mergeCell ref="F217:H217"/>
    <mergeCell ref="F218:H218"/>
    <mergeCell ref="F219:H219"/>
    <mergeCell ref="F220:H220"/>
    <mergeCell ref="F221:H221"/>
    <mergeCell ref="F195:H195"/>
    <mergeCell ref="F196:H196"/>
    <mergeCell ref="F197:H197"/>
    <mergeCell ref="F215:H215"/>
    <mergeCell ref="F200:H200"/>
    <mergeCell ref="F201:H201"/>
    <mergeCell ref="F202:H202"/>
    <mergeCell ref="F203:H203"/>
    <mergeCell ref="F212:H212"/>
    <mergeCell ref="F213:H213"/>
    <mergeCell ref="F198:H198"/>
    <mergeCell ref="F199:H199"/>
    <mergeCell ref="F262:H262"/>
    <mergeCell ref="F263:H263"/>
    <mergeCell ref="F264:H264"/>
    <mergeCell ref="F250:H250"/>
    <mergeCell ref="F251:H251"/>
    <mergeCell ref="F252:H252"/>
    <mergeCell ref="F253:H253"/>
    <mergeCell ref="F254:H254"/>
    <mergeCell ref="F255:H255"/>
    <mergeCell ref="F256:H256"/>
    <mergeCell ref="F257:H257"/>
    <mergeCell ref="F214:H214"/>
    <mergeCell ref="F285:H285"/>
    <mergeCell ref="F286:H286"/>
    <mergeCell ref="F276:H276"/>
    <mergeCell ref="F277:H277"/>
    <mergeCell ref="F278:H278"/>
    <mergeCell ref="F279:H279"/>
    <mergeCell ref="F280:H280"/>
    <mergeCell ref="F281:H281"/>
    <mergeCell ref="F282:H282"/>
    <mergeCell ref="F283:H283"/>
    <mergeCell ref="F284:H284"/>
    <mergeCell ref="F240:H240"/>
    <mergeCell ref="F241:H241"/>
    <mergeCell ref="F271:H271"/>
    <mergeCell ref="F272:H272"/>
    <mergeCell ref="F273:H273"/>
    <mergeCell ref="F274:H274"/>
    <mergeCell ref="F275:H275"/>
    <mergeCell ref="F265:H265"/>
    <mergeCell ref="F258:H258"/>
    <mergeCell ref="F259:H259"/>
    <mergeCell ref="F260:H260"/>
    <mergeCell ref="F261:H261"/>
    <mergeCell ref="D333:E333"/>
    <mergeCell ref="F335:H335"/>
    <mergeCell ref="F336:H336"/>
    <mergeCell ref="F337:H337"/>
    <mergeCell ref="F338:H338"/>
    <mergeCell ref="F339:H339"/>
    <mergeCell ref="F340:H340"/>
    <mergeCell ref="F341:H341"/>
    <mergeCell ref="F342:H342"/>
    <mergeCell ref="D354:E354"/>
    <mergeCell ref="F356:H356"/>
    <mergeCell ref="F357:H357"/>
    <mergeCell ref="F358:H358"/>
    <mergeCell ref="F359:H359"/>
    <mergeCell ref="F360:H360"/>
    <mergeCell ref="F361:H361"/>
    <mergeCell ref="F362:H362"/>
    <mergeCell ref="F363:H363"/>
    <mergeCell ref="D443:E443"/>
    <mergeCell ref="F445:H445"/>
    <mergeCell ref="F446:H446"/>
    <mergeCell ref="F447:H447"/>
    <mergeCell ref="F448:H448"/>
    <mergeCell ref="F449:H449"/>
    <mergeCell ref="F450:H450"/>
    <mergeCell ref="F451:H451"/>
    <mergeCell ref="F452:H452"/>
    <mergeCell ref="F494:H494"/>
    <mergeCell ref="F495:H495"/>
    <mergeCell ref="F496:H496"/>
    <mergeCell ref="F453:H453"/>
    <mergeCell ref="F454:H454"/>
    <mergeCell ref="F455:H455"/>
    <mergeCell ref="F456:H456"/>
    <mergeCell ref="F457:H457"/>
    <mergeCell ref="F458:H458"/>
    <mergeCell ref="F460:H460"/>
    <mergeCell ref="F461:H461"/>
    <mergeCell ref="F462:H462"/>
    <mergeCell ref="F476:H476"/>
    <mergeCell ref="F477:H477"/>
    <mergeCell ref="F478:H478"/>
    <mergeCell ref="F479:H479"/>
    <mergeCell ref="F480:H480"/>
    <mergeCell ref="F481:H481"/>
    <mergeCell ref="F483:H483"/>
    <mergeCell ref="F484:H484"/>
    <mergeCell ref="F485:H485"/>
    <mergeCell ref="F527:H527"/>
    <mergeCell ref="F510:H510"/>
    <mergeCell ref="F511:H511"/>
    <mergeCell ref="F512:H512"/>
    <mergeCell ref="F513:H513"/>
    <mergeCell ref="F514:H514"/>
    <mergeCell ref="F515:H515"/>
    <mergeCell ref="F516:H516"/>
    <mergeCell ref="F517:H517"/>
    <mergeCell ref="F526:H526"/>
    <mergeCell ref="D508:F508"/>
    <mergeCell ref="D440:J440"/>
    <mergeCell ref="F518:H518"/>
    <mergeCell ref="F519:H519"/>
    <mergeCell ref="F520:H520"/>
    <mergeCell ref="F521:H521"/>
    <mergeCell ref="F522:H522"/>
    <mergeCell ref="F523:H523"/>
    <mergeCell ref="F525:H525"/>
    <mergeCell ref="F497:H497"/>
    <mergeCell ref="F498:H498"/>
    <mergeCell ref="F499:H499"/>
    <mergeCell ref="F500:H500"/>
    <mergeCell ref="F501:H501"/>
    <mergeCell ref="F502:H502"/>
    <mergeCell ref="F504:H504"/>
    <mergeCell ref="F505:H505"/>
    <mergeCell ref="F506:H506"/>
    <mergeCell ref="D487:E487"/>
    <mergeCell ref="F489:H489"/>
    <mergeCell ref="F490:H490"/>
    <mergeCell ref="F491:H491"/>
    <mergeCell ref="F492:H492"/>
    <mergeCell ref="F493:H493"/>
  </mergeCells>
  <phoneticPr fontId="2" type="noConversion"/>
  <hyperlinks>
    <hyperlink ref="I466" r:id="rId2" xr:uid="{802E5B55-4591-4A66-BD79-114006F66861}"/>
  </hyperlinks>
  <pageMargins left="0.75" right="0.75" top="1" bottom="1" header="0.5" footer="0.5"/>
  <pageSetup orientation="portrait" r:id="rId3"/>
  <headerFooter alignWithMargins="0"/>
  <ignoredErrors>
    <ignoredError sqref="I423 I424:I435 J435 I437:I438 J439 I401:I413 I415:I417 J417 J413" evalError="1"/>
  </ignoredError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HowItWorks</vt:lpstr>
      <vt:lpstr>Summary</vt:lpstr>
      <vt:lpstr>Other Elections</vt:lpstr>
      <vt:lpstr>A_National_General_Election</vt:lpstr>
      <vt:lpstr>HowItWorks!Print_Area</vt:lpstr>
    </vt:vector>
  </TitlesOfParts>
  <Company>stillich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stillich</dc:creator>
  <cp:lastModifiedBy>John Stillich</cp:lastModifiedBy>
  <cp:lastPrinted>2017-06-09T19:44:46Z</cp:lastPrinted>
  <dcterms:created xsi:type="dcterms:W3CDTF">2000-11-28T18:00:42Z</dcterms:created>
  <dcterms:modified xsi:type="dcterms:W3CDTF">2025-05-23T01:48:19Z</dcterms:modified>
</cp:coreProperties>
</file>