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defaultThemeVersion="124226"/>
  <mc:AlternateContent xmlns:mc="http://schemas.openxmlformats.org/markup-compatibility/2006">
    <mc:Choice Requires="x15">
      <x15ac:absPath xmlns:x15ac="http://schemas.microsoft.com/office/spreadsheetml/2010/11/ac" url="C:\Users\Shirley\Desktop\Older Desktop Icons\OLD D DRIVE\Electoral Reform\Simple Vote PR\"/>
    </mc:Choice>
  </mc:AlternateContent>
  <xr:revisionPtr revIDLastSave="0" documentId="8_{F7F55DED-0697-4903-8E7C-08A1385ADFDF}" xr6:coauthVersionLast="47" xr6:coauthVersionMax="47" xr10:uidLastSave="{00000000-0000-0000-0000-000000000000}"/>
  <bookViews>
    <workbookView xWindow="-120" yWindow="-120" windowWidth="29040" windowHeight="15840" tabRatio="474" activeTab="1" xr2:uid="{00000000-000D-0000-FFFF-FFFF00000000}"/>
  </bookViews>
  <sheets>
    <sheet name="HowItWorks" sheetId="1" r:id="rId1"/>
    <sheet name="SUMMARY" sheetId="2" r:id="rId2"/>
  </sheets>
  <definedNames>
    <definedName name="A_National_General_Election">HowItWorks!$E$39</definedName>
    <definedName name="_xlnm.Print_Area" localSheetId="0">HowItWorks!$C$138:$N$209</definedName>
    <definedName name="_xlnm.Print_Area" localSheetId="1">SUMMARY!#REF!</definedName>
    <definedName name="Z_828C1003_5BBC_4D2D_BF7A_3218457CB106_.wvu.PrintArea" localSheetId="0" hidden="1">HowItWorks!$C$138:$N$209</definedName>
    <definedName name="Z_828C1003_5BBC_4D2D_BF7A_3218457CB106_.wvu.PrintArea" localSheetId="1" hidden="1">SUMMARY!#REF!</definedName>
  </definedNames>
  <calcPr calcId="191029"/>
  <customWorkbookViews>
    <customWorkbookView name="JOHN - Personal View" guid="{828C1003-5BBC-4D2D-BF7A-3218457CB106}" mergeInterval="0" personalView="1" maximized="1" xWindow="1" yWindow="1" windowWidth="1096" windowHeight="540" activeSheetId="2"/>
  </customWorkbookViews>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F267" i="1" l="1"/>
  <c r="AF266" i="1"/>
  <c r="AF265" i="1"/>
  <c r="AF264" i="1"/>
  <c r="AF263" i="1"/>
  <c r="AF262" i="1"/>
  <c r="AF261" i="1"/>
  <c r="AF260" i="1"/>
  <c r="AF259" i="1"/>
  <c r="AF258" i="1"/>
  <c r="AF257" i="1"/>
  <c r="AF256" i="1"/>
  <c r="AF255" i="1"/>
  <c r="AF254" i="1"/>
  <c r="AF253" i="1"/>
  <c r="AF252" i="1"/>
  <c r="AF251" i="1"/>
  <c r="AF250" i="1"/>
  <c r="AF249" i="1"/>
  <c r="AD269" i="1"/>
  <c r="AC269" i="1"/>
  <c r="Z269" i="1"/>
  <c r="AA269" i="1" s="1"/>
  <c r="AD268" i="1"/>
  <c r="AC268" i="1"/>
  <c r="Z268" i="1"/>
  <c r="AA268" i="1" s="1"/>
  <c r="AD267" i="1"/>
  <c r="AC267" i="1"/>
  <c r="AE267" i="1" s="1"/>
  <c r="Z267" i="1"/>
  <c r="AA267" i="1" s="1"/>
  <c r="AB267" i="1" s="1"/>
  <c r="T267" i="1" s="1"/>
  <c r="AD266" i="1"/>
  <c r="AC266" i="1"/>
  <c r="Z266" i="1"/>
  <c r="AA266" i="1" s="1"/>
  <c r="AB266" i="1" s="1"/>
  <c r="T266" i="1" s="1"/>
  <c r="AD265" i="1"/>
  <c r="AC265" i="1"/>
  <c r="Z265" i="1"/>
  <c r="AA265" i="1" s="1"/>
  <c r="AB265" i="1" s="1"/>
  <c r="T265" i="1" s="1"/>
  <c r="AD264" i="1"/>
  <c r="AC264" i="1"/>
  <c r="Z264" i="1"/>
  <c r="AA264" i="1" s="1"/>
  <c r="AB264" i="1" s="1"/>
  <c r="T264" i="1" s="1"/>
  <c r="AD263" i="1"/>
  <c r="AC263" i="1"/>
  <c r="AE263" i="1" s="1"/>
  <c r="Z263" i="1"/>
  <c r="AA263" i="1" s="1"/>
  <c r="AB263" i="1" s="1"/>
  <c r="T263" i="1" s="1"/>
  <c r="AD262" i="1"/>
  <c r="AC262" i="1"/>
  <c r="Z262" i="1"/>
  <c r="AA262" i="1" s="1"/>
  <c r="AB262" i="1" s="1"/>
  <c r="T262" i="1" s="1"/>
  <c r="AD261" i="1"/>
  <c r="AC261" i="1"/>
  <c r="Z261" i="1"/>
  <c r="AA261" i="1" s="1"/>
  <c r="AB261" i="1" s="1"/>
  <c r="T261" i="1" s="1"/>
  <c r="AD260" i="1"/>
  <c r="AC260" i="1"/>
  <c r="Z260" i="1"/>
  <c r="AA260" i="1" s="1"/>
  <c r="AB260" i="1" s="1"/>
  <c r="T260" i="1" s="1"/>
  <c r="AD259" i="1"/>
  <c r="AC259" i="1"/>
  <c r="AE259" i="1" s="1"/>
  <c r="Z259" i="1"/>
  <c r="AA259" i="1" s="1"/>
  <c r="AB259" i="1" s="1"/>
  <c r="T259" i="1" s="1"/>
  <c r="AD258" i="1"/>
  <c r="AC258" i="1"/>
  <c r="Z258" i="1"/>
  <c r="AA258" i="1" s="1"/>
  <c r="AB258" i="1" s="1"/>
  <c r="T258" i="1" s="1"/>
  <c r="AD257" i="1"/>
  <c r="AC257" i="1"/>
  <c r="Z257" i="1"/>
  <c r="AA257" i="1" s="1"/>
  <c r="AB257" i="1" s="1"/>
  <c r="T257" i="1" s="1"/>
  <c r="AD256" i="1"/>
  <c r="AC256" i="1"/>
  <c r="Z256" i="1"/>
  <c r="AA256" i="1" s="1"/>
  <c r="AB256" i="1" s="1"/>
  <c r="T256" i="1" s="1"/>
  <c r="AD255" i="1"/>
  <c r="AC255" i="1"/>
  <c r="AE255" i="1" s="1"/>
  <c r="Z255" i="1"/>
  <c r="AA255" i="1" s="1"/>
  <c r="AB255" i="1" s="1"/>
  <c r="T255" i="1" s="1"/>
  <c r="AD254" i="1"/>
  <c r="AC254" i="1"/>
  <c r="Z254" i="1"/>
  <c r="AA254" i="1" s="1"/>
  <c r="AB254" i="1" s="1"/>
  <c r="T254" i="1" s="1"/>
  <c r="AD253" i="1"/>
  <c r="AC253" i="1"/>
  <c r="Z253" i="1"/>
  <c r="AA253" i="1" s="1"/>
  <c r="AB253" i="1" s="1"/>
  <c r="T253" i="1" s="1"/>
  <c r="AD252" i="1"/>
  <c r="AC252" i="1"/>
  <c r="Z252" i="1"/>
  <c r="AA252" i="1" s="1"/>
  <c r="AB252" i="1" s="1"/>
  <c r="T252" i="1" s="1"/>
  <c r="AD251" i="1"/>
  <c r="AC251" i="1"/>
  <c r="AE251" i="1" s="1"/>
  <c r="Z251" i="1"/>
  <c r="AA251" i="1" s="1"/>
  <c r="AB251" i="1" s="1"/>
  <c r="T251" i="1" s="1"/>
  <c r="AD250" i="1"/>
  <c r="AC250" i="1"/>
  <c r="Z250" i="1"/>
  <c r="AA250" i="1" s="1"/>
  <c r="AB250" i="1" s="1"/>
  <c r="T250" i="1" s="1"/>
  <c r="H33" i="1"/>
  <c r="AE250" i="1" l="1"/>
  <c r="AE253" i="1"/>
  <c r="AE254" i="1"/>
  <c r="AE257" i="1"/>
  <c r="AE258" i="1"/>
  <c r="AE261" i="1"/>
  <c r="AE262" i="1"/>
  <c r="AE265" i="1"/>
  <c r="AE266" i="1"/>
  <c r="AE269" i="1"/>
  <c r="AE252" i="1"/>
  <c r="AE256" i="1"/>
  <c r="AE260" i="1"/>
  <c r="AE264" i="1"/>
  <c r="AE268" i="1"/>
  <c r="J147" i="1" l="1"/>
  <c r="R56" i="1"/>
  <c r="G106" i="2"/>
  <c r="G105" i="2"/>
  <c r="G104" i="2"/>
  <c r="D79" i="2"/>
  <c r="F79" i="2"/>
  <c r="F118" i="2" s="1"/>
  <c r="F74" i="2"/>
  <c r="F113" i="2" s="1"/>
  <c r="F75" i="2"/>
  <c r="F114" i="2" s="1"/>
  <c r="F110" i="2"/>
  <c r="H62" i="1"/>
  <c r="S270" i="1" l="1"/>
  <c r="T270" i="1" s="1"/>
  <c r="AD249" i="1"/>
  <c r="AD248" i="1"/>
  <c r="AD247" i="1"/>
  <c r="AD246" i="1"/>
  <c r="AD245" i="1"/>
  <c r="AD244" i="1"/>
  <c r="AD243" i="1"/>
  <c r="AD242" i="1"/>
  <c r="AD241" i="1"/>
  <c r="AD240" i="1"/>
  <c r="AD239" i="1"/>
  <c r="AD238" i="1"/>
  <c r="AD237" i="1"/>
  <c r="AD236" i="1"/>
  <c r="AD235" i="1"/>
  <c r="AD234" i="1"/>
  <c r="AD233" i="1"/>
  <c r="AD232" i="1"/>
  <c r="AD231" i="1"/>
  <c r="AD230" i="1"/>
  <c r="AD229" i="1"/>
  <c r="AD228" i="1"/>
  <c r="AD227" i="1"/>
  <c r="AD226" i="1"/>
  <c r="AD225" i="1"/>
  <c r="AD224" i="1"/>
  <c r="AD223" i="1"/>
  <c r="AD222" i="1"/>
  <c r="AC249" i="1"/>
  <c r="AC248" i="1"/>
  <c r="AC247" i="1"/>
  <c r="AC246" i="1"/>
  <c r="AC245" i="1"/>
  <c r="AE245" i="1" s="1"/>
  <c r="AC244" i="1"/>
  <c r="AE244" i="1" s="1"/>
  <c r="AC243" i="1"/>
  <c r="AE243" i="1" s="1"/>
  <c r="AC242" i="1"/>
  <c r="AE242" i="1" s="1"/>
  <c r="AC241" i="1"/>
  <c r="AE241" i="1" s="1"/>
  <c r="AC240" i="1"/>
  <c r="AE240" i="1" s="1"/>
  <c r="AC239" i="1"/>
  <c r="AE239" i="1" s="1"/>
  <c r="AC238" i="1"/>
  <c r="AE238" i="1" s="1"/>
  <c r="AC237" i="1"/>
  <c r="AE237" i="1" s="1"/>
  <c r="AC236" i="1"/>
  <c r="AC235" i="1"/>
  <c r="AC234" i="1"/>
  <c r="AE234" i="1" s="1"/>
  <c r="AC233" i="1"/>
  <c r="AC232" i="1"/>
  <c r="AE232" i="1" s="1"/>
  <c r="AC231" i="1"/>
  <c r="AE231" i="1" s="1"/>
  <c r="AC230" i="1"/>
  <c r="AE230" i="1" s="1"/>
  <c r="AC229" i="1"/>
  <c r="AE229" i="1" s="1"/>
  <c r="AC228" i="1"/>
  <c r="AC227" i="1"/>
  <c r="AE227" i="1" s="1"/>
  <c r="AC226" i="1"/>
  <c r="AE226" i="1" s="1"/>
  <c r="AC225" i="1"/>
  <c r="AE225" i="1" s="1"/>
  <c r="AC224" i="1"/>
  <c r="AE224" i="1" s="1"/>
  <c r="AC223" i="1"/>
  <c r="AE223" i="1" s="1"/>
  <c r="AC222" i="1"/>
  <c r="AE222" i="1" s="1"/>
  <c r="AD270" i="1" l="1"/>
  <c r="AE236" i="1"/>
  <c r="AC270" i="1"/>
  <c r="AE228" i="1"/>
  <c r="AE247" i="1"/>
  <c r="AE249" i="1"/>
  <c r="AE233" i="1"/>
  <c r="AE248" i="1"/>
  <c r="AE235" i="1"/>
  <c r="AE246" i="1"/>
  <c r="AE270" i="1" l="1"/>
  <c r="Z249" i="1"/>
  <c r="AA249" i="1" s="1"/>
  <c r="AB249" i="1" s="1"/>
  <c r="T249" i="1" s="1"/>
  <c r="Z248" i="1"/>
  <c r="Z247" i="1"/>
  <c r="Z246" i="1"/>
  <c r="Z245" i="1"/>
  <c r="Z244" i="1"/>
  <c r="Z243" i="1"/>
  <c r="AA243" i="1" s="1"/>
  <c r="Z242" i="1"/>
  <c r="AA242" i="1" s="1"/>
  <c r="Z241" i="1"/>
  <c r="AA241" i="1" s="1"/>
  <c r="AB241" i="1" s="1"/>
  <c r="Z240" i="1"/>
  <c r="AA240" i="1" s="1"/>
  <c r="AB240" i="1" s="1"/>
  <c r="Z239" i="1"/>
  <c r="AA239" i="1" s="1"/>
  <c r="Z238" i="1"/>
  <c r="AA238" i="1" s="1"/>
  <c r="Z237" i="1"/>
  <c r="AA237" i="1" s="1"/>
  <c r="Z236" i="1"/>
  <c r="AA236" i="1" s="1"/>
  <c r="AB236" i="1" s="1"/>
  <c r="Z235" i="1"/>
  <c r="AA235" i="1" s="1"/>
  <c r="Z234" i="1"/>
  <c r="AA234" i="1" s="1"/>
  <c r="Z233" i="1"/>
  <c r="AA233" i="1" s="1"/>
  <c r="Z232" i="1"/>
  <c r="AA232" i="1" s="1"/>
  <c r="Z231" i="1"/>
  <c r="AA231" i="1" s="1"/>
  <c r="AB231" i="1" s="1"/>
  <c r="Z230" i="1"/>
  <c r="AA230" i="1" s="1"/>
  <c r="Z229" i="1"/>
  <c r="AA229" i="1" s="1"/>
  <c r="Z228" i="1"/>
  <c r="AA228" i="1" s="1"/>
  <c r="Z227" i="1"/>
  <c r="AA227" i="1" s="1"/>
  <c r="Z226" i="1"/>
  <c r="AA226" i="1" s="1"/>
  <c r="AB226" i="1" s="1"/>
  <c r="Z225" i="1"/>
  <c r="AA225" i="1" s="1"/>
  <c r="Z224" i="1"/>
  <c r="AA224" i="1" s="1"/>
  <c r="Z223" i="1"/>
  <c r="AA223" i="1" s="1"/>
  <c r="Z222" i="1"/>
  <c r="AA222" i="1" s="1"/>
  <c r="AB222" i="1" s="1"/>
  <c r="AF222" i="1" s="1"/>
  <c r="H72" i="1"/>
  <c r="AA247" i="1" l="1"/>
  <c r="AA246" i="1"/>
  <c r="AA248" i="1"/>
  <c r="AA245" i="1"/>
  <c r="AA244" i="1"/>
  <c r="T231" i="1"/>
  <c r="AF231" i="1"/>
  <c r="T236" i="1"/>
  <c r="AF236" i="1"/>
  <c r="T240" i="1"/>
  <c r="AF240" i="1"/>
  <c r="T241" i="1"/>
  <c r="AF241" i="1"/>
  <c r="T226" i="1"/>
  <c r="AF226" i="1"/>
  <c r="T222" i="1"/>
  <c r="H149" i="1"/>
  <c r="G205" i="1"/>
  <c r="I205" i="1" s="1"/>
  <c r="Q54" i="1"/>
  <c r="K205" i="1" l="1"/>
  <c r="F205" i="1"/>
  <c r="L205" i="1" l="1"/>
  <c r="L69" i="2" l="1"/>
  <c r="AF122" i="1" l="1"/>
  <c r="AF124" i="1"/>
  <c r="Q64" i="1" l="1"/>
  <c r="F187" i="1" l="1"/>
  <c r="Y111" i="1" l="1"/>
  <c r="Y110" i="1"/>
  <c r="Y109" i="1"/>
  <c r="Y108" i="1"/>
  <c r="Y107" i="1"/>
  <c r="Y106" i="1"/>
  <c r="Y105" i="1"/>
  <c r="Y104" i="1"/>
  <c r="Y103" i="1"/>
  <c r="Y102" i="1"/>
  <c r="Y101" i="1"/>
  <c r="Y100" i="1"/>
  <c r="E110" i="1" l="1"/>
  <c r="X110" i="1" s="1"/>
  <c r="AA100" i="1"/>
  <c r="D88" i="2" l="1"/>
  <c r="E87" i="2"/>
  <c r="E126" i="2" s="1"/>
  <c r="D87" i="2"/>
  <c r="D86" i="2"/>
  <c r="F85" i="2"/>
  <c r="F124" i="2" s="1"/>
  <c r="E85" i="2"/>
  <c r="E124" i="2" s="1"/>
  <c r="D85" i="2"/>
  <c r="D124" i="2" s="1"/>
  <c r="F84" i="2"/>
  <c r="F123" i="2" s="1"/>
  <c r="E84" i="2"/>
  <c r="E123" i="2" s="1"/>
  <c r="D84" i="2"/>
  <c r="D123" i="2" s="1"/>
  <c r="F83" i="2"/>
  <c r="F122" i="2" s="1"/>
  <c r="E83" i="2"/>
  <c r="E122" i="2" s="1"/>
  <c r="D83" i="2"/>
  <c r="D122" i="2" s="1"/>
  <c r="F82" i="2"/>
  <c r="F121" i="2" s="1"/>
  <c r="E82" i="2"/>
  <c r="E121" i="2" s="1"/>
  <c r="D82" i="2"/>
  <c r="D121" i="2" s="1"/>
  <c r="E81" i="2"/>
  <c r="E120" i="2" s="1"/>
  <c r="D81" i="2"/>
  <c r="D120" i="2" s="1"/>
  <c r="E80" i="2"/>
  <c r="E119" i="2" s="1"/>
  <c r="D80" i="2"/>
  <c r="D119" i="2" s="1"/>
  <c r="E79" i="2"/>
  <c r="E118" i="2" s="1"/>
  <c r="D118" i="2"/>
  <c r="F78" i="2"/>
  <c r="F117" i="2" s="1"/>
  <c r="E78" i="2"/>
  <c r="E117" i="2" s="1"/>
  <c r="D78" i="2"/>
  <c r="D117" i="2" s="1"/>
  <c r="F77" i="2"/>
  <c r="F116" i="2" s="1"/>
  <c r="E77" i="2"/>
  <c r="E116" i="2" s="1"/>
  <c r="D77" i="2"/>
  <c r="D116" i="2" s="1"/>
  <c r="F76" i="2"/>
  <c r="F115" i="2" s="1"/>
  <c r="E76" i="2"/>
  <c r="E115" i="2" s="1"/>
  <c r="D76" i="2"/>
  <c r="D115" i="2" s="1"/>
  <c r="E75" i="2"/>
  <c r="E114" i="2" s="1"/>
  <c r="D75" i="2"/>
  <c r="D114" i="2" s="1"/>
  <c r="E74" i="2"/>
  <c r="E113" i="2" s="1"/>
  <c r="D74" i="2"/>
  <c r="D113" i="2" s="1"/>
  <c r="J72" i="2"/>
  <c r="H72" i="2"/>
  <c r="G110" i="2" s="1"/>
  <c r="E72" i="2"/>
  <c r="E110" i="2" s="1"/>
  <c r="D72" i="2"/>
  <c r="D108" i="2" s="1"/>
  <c r="F68" i="2"/>
  <c r="E125" i="2" l="1"/>
  <c r="K65" i="2"/>
  <c r="H61" i="1"/>
  <c r="E101" i="1" l="1"/>
  <c r="X101" i="1" s="1"/>
  <c r="F80" i="2" l="1"/>
  <c r="F119" i="2" s="1"/>
  <c r="F81" i="2" l="1"/>
  <c r="F120" i="2" s="1"/>
  <c r="F125" i="2" s="1"/>
  <c r="F224" i="1" l="1"/>
  <c r="F55" i="1" l="1"/>
  <c r="E86" i="2" s="1"/>
  <c r="Q223" i="1" l="1"/>
  <c r="Q224" i="1" s="1"/>
  <c r="Q225" i="1" s="1"/>
  <c r="Q226" i="1" s="1"/>
  <c r="Q227" i="1" s="1"/>
  <c r="Q228" i="1" s="1"/>
  <c r="Q229" i="1" s="1"/>
  <c r="Q230" i="1" s="1"/>
  <c r="Q231" i="1" s="1"/>
  <c r="Q232" i="1" s="1"/>
  <c r="Q233" i="1" s="1"/>
  <c r="Q234" i="1" s="1"/>
  <c r="Q235" i="1" s="1"/>
  <c r="Q236" i="1" s="1"/>
  <c r="Q237" i="1" s="1"/>
  <c r="Q238" i="1" s="1"/>
  <c r="Q239" i="1" s="1"/>
  <c r="Q240" i="1" s="1"/>
  <c r="Q241" i="1" s="1"/>
  <c r="Q242" i="1" s="1"/>
  <c r="Q243" i="1" s="1"/>
  <c r="Q244" i="1" s="1"/>
  <c r="Q245" i="1" s="1"/>
  <c r="Q246" i="1" s="1"/>
  <c r="Q247" i="1" s="1"/>
  <c r="Q248" i="1" s="1"/>
  <c r="Q249" i="1" s="1"/>
  <c r="Q250" i="1" s="1"/>
  <c r="Q251" i="1" s="1"/>
  <c r="Q252" i="1" s="1"/>
  <c r="Q253" i="1" s="1"/>
  <c r="Q254" i="1" s="1"/>
  <c r="Q255" i="1" s="1"/>
  <c r="Q256" i="1" s="1"/>
  <c r="Q257" i="1" s="1"/>
  <c r="Q258" i="1" s="1"/>
  <c r="Q259" i="1" s="1"/>
  <c r="Q260" i="1" s="1"/>
  <c r="Q261" i="1" s="1"/>
  <c r="Q262" i="1" s="1"/>
  <c r="Q263" i="1" s="1"/>
  <c r="Q264" i="1" s="1"/>
  <c r="Q265" i="1" s="1"/>
  <c r="Q266" i="1" s="1"/>
  <c r="Q267" i="1" s="1"/>
  <c r="Q268" i="1" s="1"/>
  <c r="Q269" i="1" s="1"/>
  <c r="AE271" i="1"/>
  <c r="AB268" i="1" s="1"/>
  <c r="T268" i="1" l="1"/>
  <c r="AF268" i="1"/>
  <c r="AB247" i="1"/>
  <c r="AF247" i="1" s="1"/>
  <c r="AB269" i="1"/>
  <c r="AB248" i="1"/>
  <c r="T248" i="1" s="1"/>
  <c r="AB246" i="1"/>
  <c r="AB244" i="1"/>
  <c r="T244" i="1" s="1"/>
  <c r="AB245" i="1"/>
  <c r="AB243" i="1"/>
  <c r="AB242" i="1"/>
  <c r="AB225" i="1"/>
  <c r="AB238" i="1"/>
  <c r="AB229" i="1"/>
  <c r="AB228" i="1"/>
  <c r="AB227" i="1"/>
  <c r="AB237" i="1"/>
  <c r="AB232" i="1"/>
  <c r="AB230" i="1"/>
  <c r="AB235" i="1"/>
  <c r="AB223" i="1"/>
  <c r="AF223" i="1" s="1"/>
  <c r="AB239" i="1"/>
  <c r="AB224" i="1"/>
  <c r="AB233" i="1"/>
  <c r="AB234" i="1"/>
  <c r="AF269" i="1" l="1"/>
  <c r="T269" i="1"/>
  <c r="T247" i="1"/>
  <c r="T246" i="1"/>
  <c r="AF246" i="1"/>
  <c r="AF248" i="1"/>
  <c r="T245" i="1"/>
  <c r="AF245" i="1"/>
  <c r="AF244" i="1"/>
  <c r="T224" i="1"/>
  <c r="AF224" i="1"/>
  <c r="T230" i="1"/>
  <c r="AF230" i="1"/>
  <c r="T228" i="1"/>
  <c r="AF228" i="1"/>
  <c r="T242" i="1"/>
  <c r="AF242" i="1"/>
  <c r="T239" i="1"/>
  <c r="AF239" i="1"/>
  <c r="T232" i="1"/>
  <c r="AF232" i="1"/>
  <c r="T229" i="1"/>
  <c r="AF229" i="1"/>
  <c r="T243" i="1"/>
  <c r="AF243" i="1"/>
  <c r="T234" i="1"/>
  <c r="AF234" i="1"/>
  <c r="T237" i="1"/>
  <c r="AF237" i="1"/>
  <c r="T238" i="1"/>
  <c r="AF238" i="1"/>
  <c r="T233" i="1"/>
  <c r="AF233" i="1"/>
  <c r="T235" i="1"/>
  <c r="AF235" i="1"/>
  <c r="T227" i="1"/>
  <c r="AF227" i="1"/>
  <c r="T225" i="1"/>
  <c r="AF225" i="1"/>
  <c r="AB270" i="1"/>
  <c r="T223" i="1"/>
  <c r="H240" i="1"/>
  <c r="E238" i="1"/>
  <c r="E237" i="1"/>
  <c r="E236" i="1"/>
  <c r="E235" i="1"/>
  <c r="E234" i="1"/>
  <c r="E233" i="1"/>
  <c r="E232" i="1"/>
  <c r="E231" i="1"/>
  <c r="E230" i="1"/>
  <c r="E229" i="1"/>
  <c r="E228" i="1"/>
  <c r="E227" i="1"/>
  <c r="AF270" i="1" l="1"/>
  <c r="T271" i="1" s="1"/>
  <c r="S271" i="1" s="1"/>
  <c r="R274" i="1" s="1"/>
  <c r="AF76" i="1"/>
  <c r="AF77" i="1"/>
  <c r="AF78" i="1"/>
  <c r="AF79" i="1"/>
  <c r="AF80" i="1"/>
  <c r="AF81" i="1"/>
  <c r="AF82" i="1"/>
  <c r="AF83" i="1"/>
  <c r="AF84" i="1"/>
  <c r="AF85" i="1"/>
  <c r="AF86" i="1"/>
  <c r="AF87" i="1"/>
  <c r="J87" i="1" l="1"/>
  <c r="J86" i="1"/>
  <c r="J85" i="1"/>
  <c r="J84" i="1"/>
  <c r="J83" i="1"/>
  <c r="J82" i="1"/>
  <c r="J81" i="1"/>
  <c r="J80" i="1"/>
  <c r="J79" i="1"/>
  <c r="J78" i="1"/>
  <c r="J77" i="1"/>
  <c r="J76" i="1"/>
  <c r="AG73" i="1"/>
  <c r="AE73" i="1"/>
  <c r="E204" i="1"/>
  <c r="E86" i="1"/>
  <c r="E87" i="1"/>
  <c r="J88" i="1" l="1"/>
  <c r="G152" i="1" l="1"/>
  <c r="R43" i="1" s="1"/>
  <c r="G153" i="1"/>
  <c r="R44" i="1" s="1"/>
  <c r="G154" i="1"/>
  <c r="R45" i="1" s="1"/>
  <c r="G155" i="1"/>
  <c r="R46" i="1" s="1"/>
  <c r="G156" i="1"/>
  <c r="R47" i="1" s="1"/>
  <c r="G157" i="1"/>
  <c r="R48" i="1" s="1"/>
  <c r="G158" i="1"/>
  <c r="R49" i="1" s="1"/>
  <c r="G159" i="1"/>
  <c r="R50" i="1" s="1"/>
  <c r="G160" i="1"/>
  <c r="R51" i="1" s="1"/>
  <c r="G161" i="1"/>
  <c r="R52" i="1" s="1"/>
  <c r="G162" i="1"/>
  <c r="R53" i="1" s="1"/>
  <c r="G163" i="1"/>
  <c r="R54" i="1" s="1"/>
  <c r="R55" i="1" l="1"/>
  <c r="E200" i="1"/>
  <c r="Q53" i="1" s="1"/>
  <c r="E199" i="1"/>
  <c r="Q52" i="1" s="1"/>
  <c r="E133" i="1"/>
  <c r="E109" i="1"/>
  <c r="AA86" i="1"/>
  <c r="E85" i="1"/>
  <c r="AA85" i="1" s="1"/>
  <c r="AC86" i="1"/>
  <c r="AC85" i="1"/>
  <c r="E111" i="1"/>
  <c r="AC87" i="1"/>
  <c r="F59" i="1"/>
  <c r="AC84" i="1"/>
  <c r="AC83" i="1"/>
  <c r="AC82" i="1"/>
  <c r="AC81" i="1"/>
  <c r="AC80" i="1"/>
  <c r="AC76" i="1"/>
  <c r="AC77" i="1"/>
  <c r="AC78" i="1"/>
  <c r="AC79" i="1"/>
  <c r="E102" i="1"/>
  <c r="E100" i="1"/>
  <c r="E124" i="1"/>
  <c r="E153" i="1" s="1"/>
  <c r="E103" i="1"/>
  <c r="E104" i="1"/>
  <c r="E105" i="1"/>
  <c r="E106" i="1"/>
  <c r="E107" i="1"/>
  <c r="E108" i="1"/>
  <c r="G55" i="1"/>
  <c r="G59" i="1" s="1"/>
  <c r="D153" i="1"/>
  <c r="E190" i="1"/>
  <c r="Q43" i="1" s="1"/>
  <c r="D44" i="1"/>
  <c r="D45" i="1" s="1"/>
  <c r="D46" i="1" s="1"/>
  <c r="D47" i="1" s="1"/>
  <c r="D48" i="1" s="1"/>
  <c r="D49" i="1" s="1"/>
  <c r="D50" i="1" s="1"/>
  <c r="D51" i="1" s="1"/>
  <c r="D52" i="1" s="1"/>
  <c r="D53" i="1" s="1"/>
  <c r="D54" i="1" s="1"/>
  <c r="D57" i="1" s="1"/>
  <c r="E191" i="1"/>
  <c r="Q44" i="1" s="1"/>
  <c r="E192" i="1"/>
  <c r="Q45" i="1" s="1"/>
  <c r="E193" i="1"/>
  <c r="Q46" i="1" s="1"/>
  <c r="E194" i="1"/>
  <c r="Q47" i="1" s="1"/>
  <c r="E195" i="1"/>
  <c r="Q48" i="1" s="1"/>
  <c r="E196" i="1"/>
  <c r="Q49" i="1" s="1"/>
  <c r="E197" i="1"/>
  <c r="Q50" i="1" s="1"/>
  <c r="E198" i="1"/>
  <c r="Q51" i="1" s="1"/>
  <c r="E76" i="1"/>
  <c r="AA76" i="1" s="1"/>
  <c r="D77" i="1"/>
  <c r="D78" i="1" s="1"/>
  <c r="D79" i="1" s="1"/>
  <c r="D80" i="1" s="1"/>
  <c r="D81" i="1" s="1"/>
  <c r="D82" i="1" s="1"/>
  <c r="D83" i="1" s="1"/>
  <c r="D84" i="1" s="1"/>
  <c r="D85" i="1" s="1"/>
  <c r="D86" i="1" s="1"/>
  <c r="D87" i="1" s="1"/>
  <c r="E77" i="1"/>
  <c r="AA77" i="1" s="1"/>
  <c r="E78" i="1"/>
  <c r="AA78" i="1" s="1"/>
  <c r="E79" i="1"/>
  <c r="AA79" i="1" s="1"/>
  <c r="E80" i="1"/>
  <c r="AA80" i="1" s="1"/>
  <c r="E81" i="1"/>
  <c r="AA81" i="1" s="1"/>
  <c r="E82" i="1"/>
  <c r="AA82" i="1" s="1"/>
  <c r="E83" i="1"/>
  <c r="AA83" i="1" s="1"/>
  <c r="E84" i="1"/>
  <c r="AA84" i="1" s="1"/>
  <c r="AA87" i="1"/>
  <c r="D101" i="1"/>
  <c r="D102" i="1" s="1"/>
  <c r="D103" i="1" s="1"/>
  <c r="D104" i="1" s="1"/>
  <c r="D105" i="1" s="1"/>
  <c r="D106" i="1" s="1"/>
  <c r="D107" i="1" s="1"/>
  <c r="D108" i="1" s="1"/>
  <c r="D109" i="1" s="1"/>
  <c r="D110" i="1" s="1"/>
  <c r="D111" i="1" s="1"/>
  <c r="D124" i="1"/>
  <c r="D125" i="1" s="1"/>
  <c r="D126" i="1" s="1"/>
  <c r="D127" i="1" s="1"/>
  <c r="D128" i="1" s="1"/>
  <c r="D129" i="1" s="1"/>
  <c r="D130" i="1" s="1"/>
  <c r="D131" i="1" s="1"/>
  <c r="F151" i="1"/>
  <c r="D191" i="1"/>
  <c r="D192" i="1" s="1"/>
  <c r="D193" i="1" s="1"/>
  <c r="D194" i="1" s="1"/>
  <c r="D195" i="1" s="1"/>
  <c r="D196" i="1" s="1"/>
  <c r="D197" i="1" s="1"/>
  <c r="D198" i="1" s="1"/>
  <c r="E205" i="1"/>
  <c r="F86" i="2" l="1"/>
  <c r="F87" i="2"/>
  <c r="F126" i="2" s="1"/>
  <c r="E131" i="1"/>
  <c r="E160" i="1" s="1"/>
  <c r="X108" i="1"/>
  <c r="E127" i="1"/>
  <c r="E156" i="1" s="1"/>
  <c r="X104" i="1"/>
  <c r="E125" i="1"/>
  <c r="E154" i="1" s="1"/>
  <c r="X102" i="1"/>
  <c r="E134" i="1"/>
  <c r="E163" i="1" s="1"/>
  <c r="X111" i="1"/>
  <c r="E128" i="1"/>
  <c r="E157" i="1" s="1"/>
  <c r="X105" i="1"/>
  <c r="E130" i="1"/>
  <c r="E159" i="1" s="1"/>
  <c r="X107" i="1"/>
  <c r="E126" i="1"/>
  <c r="E155" i="1" s="1"/>
  <c r="X103" i="1"/>
  <c r="AD100" i="1"/>
  <c r="X100" i="1"/>
  <c r="E129" i="1"/>
  <c r="E158" i="1" s="1"/>
  <c r="X106" i="1"/>
  <c r="E132" i="1"/>
  <c r="E161" i="1" s="1"/>
  <c r="X109" i="1"/>
  <c r="J54" i="1"/>
  <c r="A54" i="1" s="1"/>
  <c r="J52" i="1"/>
  <c r="J51" i="1"/>
  <c r="J50" i="1"/>
  <c r="J53" i="1"/>
  <c r="E88" i="2"/>
  <c r="J49" i="1"/>
  <c r="Z129" i="1"/>
  <c r="J57" i="1"/>
  <c r="J46" i="1"/>
  <c r="D199" i="1"/>
  <c r="D200" i="1" s="1"/>
  <c r="E123" i="1"/>
  <c r="E162" i="1"/>
  <c r="D132" i="1"/>
  <c r="D133" i="1" s="1"/>
  <c r="D134" i="1" s="1"/>
  <c r="J58" i="1"/>
  <c r="D154" i="1"/>
  <c r="F127" i="2" l="1"/>
  <c r="H85" i="2"/>
  <c r="Z131" i="1"/>
  <c r="L87" i="2"/>
  <c r="L126" i="2" s="1"/>
  <c r="G204" i="1"/>
  <c r="K51" i="1"/>
  <c r="K52" i="1"/>
  <c r="Z133" i="1"/>
  <c r="AJ124" i="1"/>
  <c r="Z139" i="1"/>
  <c r="Z132" i="1"/>
  <c r="Z135" i="1"/>
  <c r="A49" i="1"/>
  <c r="A51" i="1"/>
  <c r="H77" i="2"/>
  <c r="G116" i="2" s="1"/>
  <c r="A52" i="1"/>
  <c r="K48" i="1"/>
  <c r="K54" i="1"/>
  <c r="H81" i="2"/>
  <c r="G120" i="2" s="1"/>
  <c r="A50" i="1"/>
  <c r="H84" i="2"/>
  <c r="G123" i="2" s="1"/>
  <c r="A53" i="1"/>
  <c r="K53" i="1"/>
  <c r="K49" i="1"/>
  <c r="F88" i="2"/>
  <c r="G75" i="2" s="1"/>
  <c r="H114" i="2" s="1"/>
  <c r="K50" i="1"/>
  <c r="K57" i="1"/>
  <c r="H87" i="2"/>
  <c r="AB87" i="1"/>
  <c r="AD87" i="1" s="1"/>
  <c r="AE87" i="1" s="1"/>
  <c r="AG87" i="1" s="1"/>
  <c r="AB86" i="1"/>
  <c r="AD86" i="1" s="1"/>
  <c r="AE86" i="1" s="1"/>
  <c r="AG86" i="1" s="1"/>
  <c r="AB83" i="1"/>
  <c r="AD83" i="1" s="1"/>
  <c r="AE83" i="1" s="1"/>
  <c r="AG83" i="1" s="1"/>
  <c r="F83" i="1" s="1"/>
  <c r="AB79" i="1"/>
  <c r="AD79" i="1" s="1"/>
  <c r="AE79" i="1" s="1"/>
  <c r="AG79" i="1" s="1"/>
  <c r="F79" i="1" s="1"/>
  <c r="Z137" i="1"/>
  <c r="Z130" i="1"/>
  <c r="Z134" i="1"/>
  <c r="Z136" i="1"/>
  <c r="Z138" i="1"/>
  <c r="H83" i="2"/>
  <c r="G122" i="2" s="1"/>
  <c r="J48" i="1"/>
  <c r="J44" i="1"/>
  <c r="K58" i="1"/>
  <c r="H82" i="2"/>
  <c r="H80" i="2"/>
  <c r="G119" i="2" s="1"/>
  <c r="J47" i="1"/>
  <c r="J45" i="1"/>
  <c r="J43" i="1"/>
  <c r="K43" i="1"/>
  <c r="K44" i="1"/>
  <c r="K45" i="1"/>
  <c r="K46" i="1"/>
  <c r="K47" i="1"/>
  <c r="A46" i="1"/>
  <c r="E152" i="1"/>
  <c r="D155" i="1"/>
  <c r="G124" i="2" l="1"/>
  <c r="G121" i="2"/>
  <c r="H126" i="2"/>
  <c r="G126" i="2"/>
  <c r="H127" i="2"/>
  <c r="T56" i="1"/>
  <c r="R57" i="1"/>
  <c r="G87" i="2"/>
  <c r="F69" i="2"/>
  <c r="H74" i="2"/>
  <c r="G113" i="2" s="1"/>
  <c r="H78" i="2"/>
  <c r="G117" i="2" s="1"/>
  <c r="H75" i="2"/>
  <c r="G114" i="2" s="1"/>
  <c r="H76" i="2"/>
  <c r="G115" i="2" s="1"/>
  <c r="H79" i="2"/>
  <c r="G118" i="2" s="1"/>
  <c r="A48" i="1"/>
  <c r="F87" i="1"/>
  <c r="F111" i="1" s="1"/>
  <c r="AB139" i="1" s="1"/>
  <c r="AC139" i="1" s="1"/>
  <c r="F86" i="1"/>
  <c r="F110" i="1" s="1"/>
  <c r="AB138" i="1" s="1"/>
  <c r="AC138" i="1" s="1"/>
  <c r="G79" i="2"/>
  <c r="H118" i="2" s="1"/>
  <c r="G78" i="2"/>
  <c r="H117" i="2" s="1"/>
  <c r="G82" i="2"/>
  <c r="G81" i="2"/>
  <c r="H120" i="2" s="1"/>
  <c r="G76" i="2"/>
  <c r="H115" i="2" s="1"/>
  <c r="G77" i="2"/>
  <c r="H116" i="2" s="1"/>
  <c r="G80" i="2"/>
  <c r="H119" i="2" s="1"/>
  <c r="G85" i="2"/>
  <c r="G83" i="2"/>
  <c r="H122" i="2" s="1"/>
  <c r="G84" i="2"/>
  <c r="H123" i="2" s="1"/>
  <c r="G74" i="2"/>
  <c r="H113" i="2" s="1"/>
  <c r="AB77" i="1"/>
  <c r="AD77" i="1" s="1"/>
  <c r="AE77" i="1" s="1"/>
  <c r="AG77" i="1" s="1"/>
  <c r="F77" i="1" s="1"/>
  <c r="AB82" i="1"/>
  <c r="AD82" i="1" s="1"/>
  <c r="AE82" i="1" s="1"/>
  <c r="AB76" i="1"/>
  <c r="AD76" i="1" s="1"/>
  <c r="AE76" i="1" s="1"/>
  <c r="AG76" i="1" s="1"/>
  <c r="AB84" i="1"/>
  <c r="AD84" i="1" s="1"/>
  <c r="AE84" i="1" s="1"/>
  <c r="AG84" i="1" s="1"/>
  <c r="F84" i="1" s="1"/>
  <c r="AB81" i="1"/>
  <c r="AD81" i="1" s="1"/>
  <c r="AE81" i="1" s="1"/>
  <c r="F103" i="1"/>
  <c r="Z128" i="1"/>
  <c r="A47" i="1"/>
  <c r="AB80" i="1"/>
  <c r="A45" i="1"/>
  <c r="AB78" i="1"/>
  <c r="AB85" i="1"/>
  <c r="J55" i="1"/>
  <c r="H86" i="2" s="1"/>
  <c r="H88" i="2" s="1"/>
  <c r="K88" i="2" s="1"/>
  <c r="A44" i="1"/>
  <c r="A43" i="1"/>
  <c r="K55" i="1"/>
  <c r="K59" i="1" s="1"/>
  <c r="D156" i="1"/>
  <c r="H124" i="2" l="1"/>
  <c r="H121" i="2"/>
  <c r="G125" i="2"/>
  <c r="F76" i="1"/>
  <c r="F107" i="1"/>
  <c r="F108" i="1"/>
  <c r="AB136" i="1" s="1"/>
  <c r="AC136" i="1" s="1"/>
  <c r="G86" i="2"/>
  <c r="G88" i="2" s="1"/>
  <c r="J59" i="1"/>
  <c r="AG82" i="1"/>
  <c r="AG81" i="1"/>
  <c r="F101" i="1"/>
  <c r="AD85" i="1"/>
  <c r="AE85" i="1" s="1"/>
  <c r="AG85" i="1" s="1"/>
  <c r="F85" i="1" s="1"/>
  <c r="AD78" i="1"/>
  <c r="AE78" i="1" s="1"/>
  <c r="AD80" i="1"/>
  <c r="AE80" i="1" s="1"/>
  <c r="D157" i="1"/>
  <c r="H125" i="2" l="1"/>
  <c r="F100" i="1"/>
  <c r="F81" i="1"/>
  <c r="F82" i="1"/>
  <c r="F109" i="1"/>
  <c r="AB137" i="1" s="1"/>
  <c r="AC137" i="1" s="1"/>
  <c r="AG78" i="1"/>
  <c r="AG80" i="1"/>
  <c r="D158" i="1"/>
  <c r="F106" i="1" l="1"/>
  <c r="F105" i="1"/>
  <c r="F80" i="1"/>
  <c r="F78" i="1"/>
  <c r="D159" i="1"/>
  <c r="F104" i="1" l="1"/>
  <c r="F88" i="1"/>
  <c r="G85" i="1" s="1"/>
  <c r="Y85" i="1" s="1"/>
  <c r="F102" i="1"/>
  <c r="G86" i="1"/>
  <c r="Y86" i="1" s="1"/>
  <c r="G87" i="1"/>
  <c r="G84" i="1"/>
  <c r="D160" i="1"/>
  <c r="E127" i="2" l="1"/>
  <c r="G81" i="1"/>
  <c r="Y81" i="1" s="1"/>
  <c r="G83" i="1"/>
  <c r="G79" i="1"/>
  <c r="J103" i="1" s="1"/>
  <c r="F126" i="1" s="1"/>
  <c r="G82" i="1"/>
  <c r="Y82" i="1" s="1"/>
  <c r="G80" i="1"/>
  <c r="Y80" i="1" s="1"/>
  <c r="F112" i="1"/>
  <c r="G112" i="1" s="1"/>
  <c r="G77" i="1"/>
  <c r="Y77" i="1" s="1"/>
  <c r="G78" i="1"/>
  <c r="Y78" i="1" s="1"/>
  <c r="J109" i="1"/>
  <c r="F132" i="1" s="1"/>
  <c r="G76" i="1"/>
  <c r="J100" i="1" s="1"/>
  <c r="F123" i="1" s="1"/>
  <c r="J110" i="1"/>
  <c r="F133" i="1" s="1"/>
  <c r="Y87" i="1"/>
  <c r="J111" i="1"/>
  <c r="F134" i="1" s="1"/>
  <c r="Y84" i="1"/>
  <c r="J108" i="1"/>
  <c r="F131" i="1" s="1"/>
  <c r="D161" i="1"/>
  <c r="G164" i="1"/>
  <c r="AB130" i="1" l="1"/>
  <c r="AC130" i="1" s="1"/>
  <c r="AB135" i="1"/>
  <c r="AC135" i="1" s="1"/>
  <c r="AB131" i="1"/>
  <c r="AC131" i="1" s="1"/>
  <c r="AB129" i="1"/>
  <c r="AC129" i="1" s="1"/>
  <c r="AB128" i="1"/>
  <c r="AC128" i="1" s="1"/>
  <c r="AB134" i="1"/>
  <c r="AC134" i="1" s="1"/>
  <c r="AB133" i="1"/>
  <c r="AC133" i="1" s="1"/>
  <c r="AB132" i="1"/>
  <c r="AC132" i="1" s="1"/>
  <c r="J107" i="1"/>
  <c r="F130" i="1" s="1"/>
  <c r="F159" i="1" s="1"/>
  <c r="J105" i="1"/>
  <c r="F128" i="1" s="1"/>
  <c r="Y83" i="1"/>
  <c r="Y79" i="1"/>
  <c r="J106" i="1"/>
  <c r="F129" i="1" s="1"/>
  <c r="J104" i="1"/>
  <c r="F127" i="1" s="1"/>
  <c r="J101" i="1"/>
  <c r="F161" i="1"/>
  <c r="Z100" i="1"/>
  <c r="F152" i="1"/>
  <c r="G88" i="1"/>
  <c r="J102" i="1"/>
  <c r="Y76" i="1"/>
  <c r="G100" i="1"/>
  <c r="AB100" i="1" s="1"/>
  <c r="K100" i="1" s="1"/>
  <c r="G109" i="1"/>
  <c r="AB109" i="1" s="1"/>
  <c r="K109" i="1" s="1"/>
  <c r="G111" i="1"/>
  <c r="AB111" i="1" s="1"/>
  <c r="K111" i="1" s="1"/>
  <c r="G110" i="1"/>
  <c r="AB110" i="1" s="1"/>
  <c r="K110" i="1" s="1"/>
  <c r="F162" i="1"/>
  <c r="AG137" i="1"/>
  <c r="G108" i="1"/>
  <c r="AB108" i="1" s="1"/>
  <c r="K108" i="1" s="1"/>
  <c r="G103" i="1"/>
  <c r="AB103" i="1" s="1"/>
  <c r="D162" i="1"/>
  <c r="G107" i="1" l="1"/>
  <c r="AB107" i="1" s="1"/>
  <c r="K107" i="1" s="1"/>
  <c r="G127" i="2"/>
  <c r="G105" i="1"/>
  <c r="AB105" i="1" s="1"/>
  <c r="K105" i="1" s="1"/>
  <c r="G106" i="1"/>
  <c r="AB106" i="1" s="1"/>
  <c r="K106" i="1" s="1"/>
  <c r="F124" i="1"/>
  <c r="F153" i="1" s="1"/>
  <c r="F125" i="1"/>
  <c r="F154" i="1" s="1"/>
  <c r="G104" i="1"/>
  <c r="AB104" i="1" s="1"/>
  <c r="K104" i="1" s="1"/>
  <c r="G101" i="1"/>
  <c r="AB101" i="1" s="1"/>
  <c r="K101" i="1" s="1"/>
  <c r="J112" i="1"/>
  <c r="G102" i="1"/>
  <c r="AB102" i="1" s="1"/>
  <c r="K102" i="1" s="1"/>
  <c r="AC100" i="1"/>
  <c r="AG138" i="1"/>
  <c r="F163" i="1"/>
  <c r="K103" i="1"/>
  <c r="F155" i="1"/>
  <c r="F157" i="1"/>
  <c r="AG135" i="1"/>
  <c r="F160" i="1"/>
  <c r="F158" i="1"/>
  <c r="AG130" i="1"/>
  <c r="AG128" i="1"/>
  <c r="AG129" i="1"/>
  <c r="F156" i="1"/>
  <c r="D163" i="1"/>
  <c r="F135" i="1" l="1"/>
  <c r="AD101" i="1"/>
  <c r="AC101" i="1"/>
  <c r="AA101" i="1" s="1"/>
  <c r="AG139" i="1"/>
  <c r="AG136" i="1"/>
  <c r="AG133" i="1"/>
  <c r="AG132" i="1"/>
  <c r="AG134" i="1"/>
  <c r="AG131" i="1"/>
  <c r="F164" i="1"/>
  <c r="AC102" i="1" l="1"/>
  <c r="AC103" i="1" s="1"/>
  <c r="AC104" i="1" s="1"/>
  <c r="AC105" i="1" s="1"/>
  <c r="AC106" i="1" s="1"/>
  <c r="AC107" i="1" s="1"/>
  <c r="AC108" i="1" s="1"/>
  <c r="AC109" i="1" s="1"/>
  <c r="AC110" i="1" s="1"/>
  <c r="AC111" i="1" s="1"/>
  <c r="AD102" i="1"/>
  <c r="Z101" i="1"/>
  <c r="AG140" i="1"/>
  <c r="AI140" i="1" s="1"/>
  <c r="AB140" i="1"/>
  <c r="AA102" i="1" l="1"/>
  <c r="AA103" i="1" s="1"/>
  <c r="AA104" i="1" s="1"/>
  <c r="AA105" i="1" s="1"/>
  <c r="AA106" i="1" s="1"/>
  <c r="AA107" i="1" s="1"/>
  <c r="AA108" i="1" s="1"/>
  <c r="AA109" i="1" s="1"/>
  <c r="AA110" i="1" s="1"/>
  <c r="AA111" i="1" s="1"/>
  <c r="F118" i="1" s="1"/>
  <c r="AD103" i="1"/>
  <c r="AD104" i="1" s="1"/>
  <c r="AD105" i="1" s="1"/>
  <c r="AD106" i="1" s="1"/>
  <c r="AD107" i="1" s="1"/>
  <c r="AD108" i="1" s="1"/>
  <c r="AD109" i="1" s="1"/>
  <c r="AD110" i="1" s="1"/>
  <c r="AD111" i="1" s="1"/>
  <c r="H96" i="1" s="1"/>
  <c r="Z102" i="1"/>
  <c r="Z103" i="1" s="1"/>
  <c r="Z104" i="1" s="1"/>
  <c r="Z105" i="1" s="1"/>
  <c r="Z106" i="1" s="1"/>
  <c r="Z107" i="1" l="1"/>
  <c r="J97" i="1" l="1"/>
  <c r="L43" i="1" s="1"/>
  <c r="Z108" i="1"/>
  <c r="Z109" i="1" s="1"/>
  <c r="Z110" i="1" s="1"/>
  <c r="Z111" i="1" s="1"/>
  <c r="F119" i="1" s="1"/>
  <c r="I74" i="2" l="1"/>
  <c r="I113" i="2" s="1"/>
  <c r="L49" i="1"/>
  <c r="L48" i="1"/>
  <c r="L44" i="1"/>
  <c r="L47" i="1"/>
  <c r="L46" i="1"/>
  <c r="L45" i="1"/>
  <c r="L53" i="1"/>
  <c r="L52" i="1"/>
  <c r="L51" i="1"/>
  <c r="L50" i="1"/>
  <c r="L54" i="1"/>
  <c r="E118" i="1"/>
  <c r="L100" i="1" l="1"/>
  <c r="I77" i="2"/>
  <c r="I116" i="2" s="1"/>
  <c r="L103" i="1"/>
  <c r="I80" i="2"/>
  <c r="I119" i="2" s="1"/>
  <c r="L106" i="1"/>
  <c r="I78" i="2"/>
  <c r="I117" i="2" s="1"/>
  <c r="L104" i="1"/>
  <c r="I84" i="2"/>
  <c r="I123" i="2" s="1"/>
  <c r="L110" i="1"/>
  <c r="I81" i="2"/>
  <c r="L107" i="1"/>
  <c r="I76" i="2"/>
  <c r="I115" i="2" s="1"/>
  <c r="L102" i="1"/>
  <c r="I79" i="2"/>
  <c r="I118" i="2" s="1"/>
  <c r="L105" i="1"/>
  <c r="I82" i="2"/>
  <c r="I121" i="2" s="1"/>
  <c r="L108" i="1"/>
  <c r="I85" i="2"/>
  <c r="L111" i="1"/>
  <c r="I75" i="2"/>
  <c r="I114" i="2" s="1"/>
  <c r="L101" i="1"/>
  <c r="I83" i="2"/>
  <c r="I122" i="2" s="1"/>
  <c r="L109" i="1"/>
  <c r="F120" i="1"/>
  <c r="J134" i="1" s="1"/>
  <c r="I125" i="2" l="1"/>
  <c r="I120" i="2"/>
  <c r="J129" i="1"/>
  <c r="F233" i="1" s="1"/>
  <c r="J233" i="1" s="1"/>
  <c r="J130" i="1"/>
  <c r="F234" i="1" s="1"/>
  <c r="J234" i="1" s="1"/>
  <c r="J132" i="1"/>
  <c r="AA137" i="1" s="1"/>
  <c r="J131" i="1"/>
  <c r="AA136" i="1" s="1"/>
  <c r="J128" i="1"/>
  <c r="F232" i="1" s="1"/>
  <c r="J232" i="1" s="1"/>
  <c r="H133" i="1"/>
  <c r="H124" i="1"/>
  <c r="F238" i="1"/>
  <c r="J238" i="1" s="1"/>
  <c r="AA139" i="1"/>
  <c r="J125" i="1"/>
  <c r="AA130" i="1" s="1"/>
  <c r="H129" i="1"/>
  <c r="H132" i="1"/>
  <c r="J133" i="1"/>
  <c r="H130" i="1"/>
  <c r="J126" i="1"/>
  <c r="F230" i="1" s="1"/>
  <c r="J230" i="1" s="1"/>
  <c r="J124" i="1"/>
  <c r="H128" i="1"/>
  <c r="H135" i="1"/>
  <c r="H127" i="1"/>
  <c r="J127" i="1"/>
  <c r="F231" i="1" s="1"/>
  <c r="J231" i="1" s="1"/>
  <c r="J123" i="1"/>
  <c r="H126" i="1"/>
  <c r="H131" i="1"/>
  <c r="H123" i="1"/>
  <c r="H125" i="1"/>
  <c r="H134" i="1"/>
  <c r="AA134" i="1" l="1"/>
  <c r="AA133" i="1"/>
  <c r="AA135" i="1"/>
  <c r="F236" i="1"/>
  <c r="J236" i="1" s="1"/>
  <c r="F235" i="1"/>
  <c r="J235" i="1" s="1"/>
  <c r="AA138" i="1"/>
  <c r="AA128" i="1"/>
  <c r="AA129" i="1"/>
  <c r="AD129" i="1"/>
  <c r="F229" i="1"/>
  <c r="J229" i="1" s="1"/>
  <c r="F237" i="1"/>
  <c r="J237" i="1" s="1"/>
  <c r="AA131" i="1"/>
  <c r="F228" i="1"/>
  <c r="J228" i="1" s="1"/>
  <c r="F227" i="1"/>
  <c r="J227" i="1" s="1"/>
  <c r="AA132" i="1"/>
  <c r="J135" i="1"/>
  <c r="AD138" i="1" s="1"/>
  <c r="AE138" i="1" s="1"/>
  <c r="AF138" i="1" s="1"/>
  <c r="AA140" i="1" l="1"/>
  <c r="AH138" i="1"/>
  <c r="AD133" i="1"/>
  <c r="AE133" i="1" s="1"/>
  <c r="AF133" i="1" s="1"/>
  <c r="AH133" i="1" s="1"/>
  <c r="AD136" i="1"/>
  <c r="AE136" i="1" s="1"/>
  <c r="AF136" i="1" s="1"/>
  <c r="AD137" i="1"/>
  <c r="AE137" i="1" s="1"/>
  <c r="AF137" i="1" s="1"/>
  <c r="AD135" i="1"/>
  <c r="AE135" i="1" s="1"/>
  <c r="AF135" i="1" s="1"/>
  <c r="AD128" i="1"/>
  <c r="AE129" i="1"/>
  <c r="AF129" i="1" s="1"/>
  <c r="AD123" i="1"/>
  <c r="AD139" i="1"/>
  <c r="AE139" i="1" s="1"/>
  <c r="AF139" i="1" s="1"/>
  <c r="AD134" i="1"/>
  <c r="AE134" i="1" s="1"/>
  <c r="AF134" i="1" s="1"/>
  <c r="AH134" i="1" s="1"/>
  <c r="AD130" i="1"/>
  <c r="AE130" i="1" s="1"/>
  <c r="AF130" i="1" s="1"/>
  <c r="AH130" i="1" s="1"/>
  <c r="AD131" i="1"/>
  <c r="AE131" i="1" s="1"/>
  <c r="AF131" i="1" s="1"/>
  <c r="AH131" i="1" s="1"/>
  <c r="AD132" i="1"/>
  <c r="AE132" i="1" s="1"/>
  <c r="AF132" i="1" s="1"/>
  <c r="AH132" i="1" s="1"/>
  <c r="AE128" i="1" l="1"/>
  <c r="AF128" i="1" s="1"/>
  <c r="AH128" i="1" s="1"/>
  <c r="AD140" i="1"/>
  <c r="AH136" i="1"/>
  <c r="AI136" i="1"/>
  <c r="AJ136" i="1" s="1"/>
  <c r="AK136" i="1" s="1"/>
  <c r="AH137" i="1"/>
  <c r="AH129" i="1"/>
  <c r="AH139" i="1"/>
  <c r="AH135" i="1"/>
  <c r="AF140" i="1" l="1"/>
  <c r="AI135" i="1" s="1"/>
  <c r="AJ135" i="1" s="1"/>
  <c r="AK135" i="1" s="1"/>
  <c r="AL135" i="1" s="1"/>
  <c r="J159" i="1" s="1"/>
  <c r="S50" i="1" s="1"/>
  <c r="T50" i="1" s="1"/>
  <c r="AE140" i="1"/>
  <c r="AI128" i="1"/>
  <c r="AJ128" i="1" s="1"/>
  <c r="AK128" i="1" s="1"/>
  <c r="AL128" i="1" s="1"/>
  <c r="AI129" i="1"/>
  <c r="AJ129" i="1" s="1"/>
  <c r="AK129" i="1" s="1"/>
  <c r="AL129" i="1" s="1"/>
  <c r="J153" i="1" s="1"/>
  <c r="S44" i="1" s="1"/>
  <c r="T44" i="1" s="1"/>
  <c r="AH140" i="1"/>
  <c r="AI139" i="1"/>
  <c r="AJ139" i="1" s="1"/>
  <c r="AK139" i="1" s="1"/>
  <c r="AL139" i="1" s="1"/>
  <c r="J163" i="1" s="1"/>
  <c r="AI130" i="1"/>
  <c r="AJ130" i="1" s="1"/>
  <c r="AK130" i="1" s="1"/>
  <c r="AL130" i="1" s="1"/>
  <c r="J154" i="1" s="1"/>
  <c r="S45" i="1" s="1"/>
  <c r="T45" i="1" s="1"/>
  <c r="AL136" i="1"/>
  <c r="J160" i="1" s="1"/>
  <c r="S51" i="1" s="1"/>
  <c r="T51" i="1" l="1"/>
  <c r="L121" i="2" s="1"/>
  <c r="K121" i="2"/>
  <c r="AI132" i="1"/>
  <c r="AJ132" i="1" s="1"/>
  <c r="AK132" i="1" s="1"/>
  <c r="AL132" i="1" s="1"/>
  <c r="J156" i="1" s="1"/>
  <c r="S47" i="1" s="1"/>
  <c r="T47" i="1" s="1"/>
  <c r="AI133" i="1"/>
  <c r="AJ133" i="1" s="1"/>
  <c r="AI138" i="1"/>
  <c r="AJ138" i="1" s="1"/>
  <c r="AK138" i="1" s="1"/>
  <c r="AL138" i="1" s="1"/>
  <c r="J162" i="1" s="1"/>
  <c r="S53" i="1" s="1"/>
  <c r="K163" i="1"/>
  <c r="F201" i="1" s="1"/>
  <c r="S54" i="1"/>
  <c r="AI131" i="1"/>
  <c r="AJ131" i="1" s="1"/>
  <c r="AK131" i="1" s="1"/>
  <c r="AL131" i="1" s="1"/>
  <c r="J155" i="1" s="1"/>
  <c r="AI134" i="1"/>
  <c r="AJ134" i="1" s="1"/>
  <c r="AK134" i="1" s="1"/>
  <c r="AL134" i="1" s="1"/>
  <c r="J158" i="1" s="1"/>
  <c r="AI137" i="1"/>
  <c r="AJ137" i="1" s="1"/>
  <c r="AK137" i="1" s="1"/>
  <c r="AL137" i="1" s="1"/>
  <c r="J161" i="1" s="1"/>
  <c r="K154" i="1"/>
  <c r="K159" i="1"/>
  <c r="G197" i="1" s="1"/>
  <c r="L81" i="2" s="1"/>
  <c r="L120" i="2" s="1"/>
  <c r="K120" i="2" s="1"/>
  <c r="K153" i="1"/>
  <c r="K160" i="1"/>
  <c r="J152" i="1"/>
  <c r="K156" i="1" l="1"/>
  <c r="G194" i="1" s="1"/>
  <c r="L78" i="2" s="1"/>
  <c r="T54" i="1"/>
  <c r="L124" i="2" s="1"/>
  <c r="K124" i="2"/>
  <c r="T53" i="1"/>
  <c r="L123" i="2" s="1"/>
  <c r="K123" i="2"/>
  <c r="G201" i="1"/>
  <c r="K162" i="1"/>
  <c r="F200" i="1" s="1"/>
  <c r="U53" i="1" s="1"/>
  <c r="K155" i="1"/>
  <c r="G193" i="1" s="1"/>
  <c r="L77" i="2" s="1"/>
  <c r="S46" i="1"/>
  <c r="T46" i="1" s="1"/>
  <c r="K152" i="1"/>
  <c r="F190" i="1" s="1"/>
  <c r="S43" i="1"/>
  <c r="K161" i="1"/>
  <c r="F199" i="1" s="1"/>
  <c r="U52" i="1" s="1"/>
  <c r="S52" i="1"/>
  <c r="K158" i="1"/>
  <c r="G196" i="1" s="1"/>
  <c r="L80" i="2" s="1"/>
  <c r="S49" i="1"/>
  <c r="T49" i="1" s="1"/>
  <c r="L201" i="1"/>
  <c r="U54" i="1"/>
  <c r="F198" i="1"/>
  <c r="U51" i="1" s="1"/>
  <c r="G198" i="1"/>
  <c r="F192" i="1"/>
  <c r="U45" i="1" s="1"/>
  <c r="G192" i="1"/>
  <c r="L76" i="2" s="1"/>
  <c r="F191" i="1"/>
  <c r="U44" i="1" s="1"/>
  <c r="G191" i="1"/>
  <c r="L75" i="2" s="1"/>
  <c r="F197" i="1"/>
  <c r="U50" i="1" s="1"/>
  <c r="AK133" i="1"/>
  <c r="AJ140" i="1"/>
  <c r="J85" i="2"/>
  <c r="J124" i="2" s="1"/>
  <c r="F194" i="1" l="1"/>
  <c r="U47" i="1" s="1"/>
  <c r="T52" i="1"/>
  <c r="L122" i="2" s="1"/>
  <c r="K122" i="2"/>
  <c r="G200" i="1"/>
  <c r="F193" i="1"/>
  <c r="U46" i="1" s="1"/>
  <c r="G199" i="1"/>
  <c r="J83" i="2"/>
  <c r="J122" i="2" s="1"/>
  <c r="T43" i="1"/>
  <c r="G190" i="1"/>
  <c r="L74" i="2" s="1"/>
  <c r="F196" i="1"/>
  <c r="U49" i="1" s="1"/>
  <c r="J76" i="2"/>
  <c r="J115" i="2" s="1"/>
  <c r="J75" i="2"/>
  <c r="J114" i="2" s="1"/>
  <c r="U43" i="1"/>
  <c r="L190" i="1"/>
  <c r="L198" i="1"/>
  <c r="L197" i="1"/>
  <c r="L191" i="1"/>
  <c r="L192" i="1"/>
  <c r="L199" i="1"/>
  <c r="J74" i="2"/>
  <c r="J113" i="2" s="1"/>
  <c r="L200" i="1"/>
  <c r="J84" i="2"/>
  <c r="J123" i="2" s="1"/>
  <c r="J81" i="2"/>
  <c r="J120" i="2" s="1"/>
  <c r="J82" i="2"/>
  <c r="J121" i="2" s="1"/>
  <c r="AL133" i="1"/>
  <c r="J157" i="1" s="1"/>
  <c r="AK140" i="1"/>
  <c r="AL140" i="1" s="1"/>
  <c r="J78" i="2" l="1"/>
  <c r="J117" i="2" s="1"/>
  <c r="L194" i="1"/>
  <c r="L193" i="1"/>
  <c r="J80" i="2"/>
  <c r="J119" i="2" s="1"/>
  <c r="J77" i="2"/>
  <c r="J116" i="2" s="1"/>
  <c r="K157" i="1"/>
  <c r="F195" i="1" s="1"/>
  <c r="S48" i="1"/>
  <c r="L196" i="1"/>
  <c r="G195" i="1" l="1"/>
  <c r="L79" i="2" s="1"/>
  <c r="T48" i="1"/>
  <c r="S55" i="1"/>
  <c r="S57" i="1" s="1"/>
  <c r="U48" i="1"/>
  <c r="U55" i="1" s="1"/>
  <c r="L195" i="1"/>
  <c r="L202" i="1" s="1"/>
  <c r="J79" i="2"/>
  <c r="J118" i="2" s="1"/>
  <c r="J125" i="2" s="1"/>
  <c r="J164" i="1"/>
  <c r="K164" i="1"/>
  <c r="T55" i="1" l="1"/>
  <c r="T57" i="1" s="1"/>
  <c r="L118" i="2"/>
  <c r="N124" i="2"/>
  <c r="F202" i="1"/>
  <c r="W55" i="1" l="1"/>
  <c r="J86" i="2"/>
  <c r="L119" i="2" l="1"/>
  <c r="K119" i="2" s="1"/>
  <c r="K118" i="2"/>
  <c r="L84" i="2"/>
  <c r="L85" i="2"/>
  <c r="L117" i="2"/>
  <c r="K117" i="2" s="1"/>
  <c r="L83" i="2"/>
  <c r="L115" i="2"/>
  <c r="K115" i="2" s="1"/>
  <c r="L116" i="2"/>
  <c r="K116" i="2" s="1"/>
  <c r="L82" i="2"/>
  <c r="L114" i="2"/>
  <c r="K114" i="2" s="1"/>
  <c r="I193" i="1" l="1"/>
  <c r="W46" i="1" s="1"/>
  <c r="I201" i="1"/>
  <c r="M85" i="2" s="1"/>
  <c r="M124" i="2" s="1"/>
  <c r="I197" i="1"/>
  <c r="W50" i="1" s="1"/>
  <c r="I192" i="1"/>
  <c r="W45" i="1" s="1"/>
  <c r="I200" i="1"/>
  <c r="M84" i="2" s="1"/>
  <c r="M123" i="2" s="1"/>
  <c r="I191" i="1"/>
  <c r="W44" i="1" s="1"/>
  <c r="I199" i="1"/>
  <c r="I195" i="1"/>
  <c r="W48" i="1" s="1"/>
  <c r="I198" i="1"/>
  <c r="I194" i="1"/>
  <c r="W47" i="1" s="1"/>
  <c r="I196" i="1"/>
  <c r="W49" i="1" l="1"/>
  <c r="M80" i="2"/>
  <c r="M119" i="2" s="1"/>
  <c r="W52" i="1"/>
  <c r="M83" i="2"/>
  <c r="M122" i="2" s="1"/>
  <c r="W51" i="1"/>
  <c r="M82" i="2"/>
  <c r="M121" i="2" s="1"/>
  <c r="L86" i="2"/>
  <c r="M87" i="2" s="1"/>
  <c r="L113" i="2"/>
  <c r="L125" i="2" s="1"/>
  <c r="M125" i="2" s="1"/>
  <c r="W54" i="1"/>
  <c r="W53" i="1"/>
  <c r="M79" i="2"/>
  <c r="M118" i="2" s="1"/>
  <c r="M76" i="2"/>
  <c r="M115" i="2" s="1"/>
  <c r="M81" i="2"/>
  <c r="M120" i="2" s="1"/>
  <c r="M78" i="2"/>
  <c r="M117" i="2" s="1"/>
  <c r="M75" i="2"/>
  <c r="M114" i="2" s="1"/>
  <c r="M77" i="2"/>
  <c r="M116" i="2" s="1"/>
  <c r="I190" i="1"/>
  <c r="W43" i="1" s="1"/>
  <c r="G202" i="1"/>
  <c r="M86" i="2" l="1"/>
  <c r="J87" i="2" s="1"/>
  <c r="J126" i="2" s="1"/>
  <c r="N126" i="2" s="1"/>
  <c r="L88" i="2"/>
  <c r="K113" i="2"/>
  <c r="K125" i="2" s="1"/>
  <c r="G206" i="1"/>
  <c r="F211" i="1" s="1"/>
  <c r="I202" i="1"/>
  <c r="F204" i="1" s="1"/>
  <c r="U56" i="1" s="1"/>
  <c r="M74" i="2"/>
  <c r="M113" i="2" s="1"/>
  <c r="H184" i="1"/>
  <c r="K127" i="2" l="1"/>
  <c r="J127" i="2"/>
  <c r="J88" i="2"/>
  <c r="K80" i="2" s="1"/>
  <c r="L127" i="2"/>
  <c r="I204" i="1"/>
  <c r="J239" i="1" l="1"/>
  <c r="F239" i="1"/>
  <c r="N123" i="2"/>
  <c r="N122" i="2"/>
  <c r="N121" i="2"/>
  <c r="N120" i="2"/>
  <c r="N116" i="2"/>
  <c r="N119" i="2"/>
  <c r="N115" i="2"/>
  <c r="N113" i="2"/>
  <c r="N118" i="2"/>
  <c r="N114" i="2"/>
  <c r="N117" i="2"/>
  <c r="K85" i="2"/>
  <c r="K79" i="2"/>
  <c r="M88" i="2"/>
  <c r="M126" i="2" s="1"/>
  <c r="K87" i="2"/>
  <c r="K82" i="2"/>
  <c r="K74" i="2"/>
  <c r="K75" i="2"/>
  <c r="K84" i="2"/>
  <c r="K78" i="2"/>
  <c r="K81" i="2"/>
  <c r="K76" i="2"/>
  <c r="K77" i="2"/>
  <c r="K83" i="2"/>
  <c r="M127" i="2"/>
  <c r="L204" i="1"/>
  <c r="L206" i="1" s="1"/>
  <c r="N125" i="2" l="1"/>
  <c r="N127" i="2" s="1"/>
  <c r="K86" i="2"/>
  <c r="U57" i="1"/>
  <c r="W57" i="1" s="1"/>
  <c r="W56" i="1"/>
  <c r="F206" i="1"/>
  <c r="F240" i="1" l="1"/>
  <c r="I206" i="1"/>
  <c r="F210" i="1"/>
  <c r="K192" i="1"/>
  <c r="V45" i="1" s="1"/>
  <c r="K197" i="1"/>
  <c r="V50" i="1" s="1"/>
  <c r="K198" i="1"/>
  <c r="V51" i="1" s="1"/>
  <c r="K193" i="1"/>
  <c r="V46" i="1" s="1"/>
  <c r="K195" i="1"/>
  <c r="V48" i="1" s="1"/>
  <c r="K190" i="1"/>
  <c r="V43" i="1" s="1"/>
  <c r="K196" i="1"/>
  <c r="V49" i="1" s="1"/>
  <c r="K199" i="1"/>
  <c r="V52" i="1" s="1"/>
  <c r="K194" i="1"/>
  <c r="V47" i="1" s="1"/>
  <c r="K200" i="1"/>
  <c r="V53" i="1" s="1"/>
  <c r="K201" i="1"/>
  <c r="V54" i="1" s="1"/>
  <c r="K204" i="1"/>
  <c r="V56" i="1" s="1"/>
  <c r="K191" i="1"/>
  <c r="V44" i="1" s="1"/>
  <c r="V55" i="1" l="1"/>
  <c r="V57" i="1" s="1"/>
  <c r="K206" i="1"/>
  <c r="K20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John Stillich</author>
    <author>Shirley</author>
  </authors>
  <commentList>
    <comment ref="H32" authorId="0" shapeId="0" xr:uid="{5E14133E-8D51-4B76-B5F0-33FC0D5753FF}">
      <text>
        <r>
          <rPr>
            <sz val="9"/>
            <color indexed="81"/>
            <rFont val="Tahoma"/>
            <family val="2"/>
          </rPr>
          <t xml:space="preserve">Once this is changed, make sure that the total number of "Members of House Elected" (below) also adds up to the total number of seats less the number inputted in this cell.  </t>
        </r>
      </text>
    </comment>
    <comment ref="G54" authorId="0" shapeId="0" xr:uid="{DE79BF6D-9D7F-40BC-B7A5-3E29EC69D011}">
      <text>
        <r>
          <rPr>
            <sz val="9"/>
            <color indexed="81"/>
            <rFont val="Tahoma"/>
            <family val="2"/>
          </rPr>
          <t>No input here.</t>
        </r>
      </text>
    </comment>
    <comment ref="G58" authorId="0" shapeId="0" xr:uid="{CB605ECD-E6D8-4585-A51D-57BB7F5E2A5C}">
      <text>
        <r>
          <rPr>
            <sz val="9"/>
            <color indexed="81"/>
            <rFont val="Tahoma"/>
            <family val="2"/>
          </rPr>
          <t>No input here.</t>
        </r>
      </text>
    </comment>
    <comment ref="T271" authorId="1" shapeId="0" xr:uid="{A52CD34F-4D06-42E2-9019-37E5713E9900}">
      <text>
        <r>
          <rPr>
            <sz val="9"/>
            <color indexed="81"/>
            <rFont val="Tahoma"/>
            <family val="2"/>
          </rPr>
          <t>Votes per Members in this column.</t>
        </r>
      </text>
    </comment>
  </commentList>
</comments>
</file>

<file path=xl/sharedStrings.xml><?xml version="1.0" encoding="utf-8"?>
<sst xmlns="http://schemas.openxmlformats.org/spreadsheetml/2006/main" count="356" uniqueCount="301">
  <si>
    <t>Independents</t>
  </si>
  <si>
    <t xml:space="preserve"> </t>
  </si>
  <si>
    <t>Do Not Erase</t>
  </si>
  <si>
    <t>Totals</t>
  </si>
  <si>
    <t>Total for Parties</t>
  </si>
  <si>
    <t>=</t>
  </si>
  <si>
    <t>X</t>
  </si>
  <si>
    <t xml:space="preserve"> =</t>
  </si>
  <si>
    <t>Additional Seats Awarded</t>
  </si>
  <si>
    <t xml:space="preserve"> % of Popular  Vote for Eligible Parties</t>
  </si>
  <si>
    <t>Total for All Parties</t>
  </si>
  <si>
    <t>Party Members Elected</t>
  </si>
  <si>
    <t xml:space="preserve">Total </t>
  </si>
  <si>
    <t xml:space="preserve">As shown by the example below, the </t>
  </si>
  <si>
    <t>divided by its</t>
  </si>
  <si>
    <t xml:space="preserve"> share of the popular vote</t>
  </si>
  <si>
    <t>% of Seats</t>
  </si>
  <si>
    <t>STEP 1:</t>
  </si>
  <si>
    <t>STEP 2:</t>
  </si>
  <si>
    <t>STEP 3:</t>
  </si>
  <si>
    <t>STEP 4:</t>
  </si>
  <si>
    <t>No other inputs are needed.</t>
  </si>
  <si>
    <r>
      <t>Political Parties</t>
    </r>
    <r>
      <rPr>
        <sz val="12"/>
        <rFont val="Arial"/>
        <family val="2"/>
      </rPr>
      <t xml:space="preserve"> </t>
    </r>
  </si>
  <si>
    <t xml:space="preserve">    Total for Parties</t>
  </si>
  <si>
    <t>% of Popular Vote</t>
  </si>
  <si>
    <t>votes.</t>
  </si>
  <si>
    <t>Other Parties</t>
  </si>
  <si>
    <t>(rounded)</t>
  </si>
  <si>
    <t xml:space="preserve">Minimum Votes for true Majority </t>
  </si>
  <si>
    <t>average</t>
  </si>
  <si>
    <t>of seats</t>
  </si>
  <si>
    <t>Parl. Vote Entltmt of all Eligible Parties</t>
  </si>
  <si>
    <t>Votes cast for non-winners</t>
  </si>
  <si>
    <t>% of Popular Vote for Eligible Parties</t>
  </si>
  <si>
    <t>If pop vote is &lt; thrshld,0,1</t>
  </si>
  <si>
    <t>if List allowance is 0 and no one elected, party is excluded</t>
  </si>
  <si>
    <t>Pop Vote if Thrshld + elected &gt;0</t>
  </si>
  <si>
    <t>Final Eligibility</t>
  </si>
  <si>
    <t>Additional Seats Awarded:</t>
  </si>
  <si>
    <t>Eligibility = parties w less than</t>
  </si>
  <si>
    <t>Ratio</t>
  </si>
  <si>
    <t>(Insert a name for your scenario)</t>
  </si>
  <si>
    <t>At the Ballot Box:</t>
  </si>
  <si>
    <t>Threshold + Elected</t>
  </si>
  <si>
    <t>TOTALS</t>
  </si>
  <si>
    <t xml:space="preserve">   </t>
  </si>
  <si>
    <t>Popular Vote % for Parties</t>
  </si>
  <si>
    <t>To Begin, scroll to top.</t>
  </si>
  <si>
    <t>of seats.</t>
  </si>
  <si>
    <t>Threshold for representation:</t>
  </si>
  <si>
    <t>Jack</t>
  </si>
  <si>
    <t>Leona</t>
  </si>
  <si>
    <t>Moira</t>
  </si>
  <si>
    <t>John</t>
  </si>
  <si>
    <t>Ahmed</t>
  </si>
  <si>
    <t>Mark</t>
  </si>
  <si>
    <t>Sandy</t>
  </si>
  <si>
    <t>Yitzak</t>
  </si>
  <si>
    <t>Phillip</t>
  </si>
  <si>
    <t>Remaining Distributon</t>
  </si>
  <si>
    <t>Boris</t>
  </si>
  <si>
    <t>Ginette</t>
  </si>
  <si>
    <t>Party Entitlement</t>
  </si>
  <si>
    <t>calc</t>
  </si>
  <si>
    <t>Edward</t>
  </si>
  <si>
    <t>Helmut</t>
  </si>
  <si>
    <t>Madison</t>
  </si>
  <si>
    <t>Jagmeet</t>
  </si>
  <si>
    <t>Based on legislated pre-set limits, in this case:</t>
  </si>
  <si>
    <t>SUMMARY</t>
  </si>
  <si>
    <t>Independent MPs</t>
  </si>
  <si>
    <t>Total Popular Vote</t>
  </si>
  <si>
    <t xml:space="preserve">Total Popular Vote </t>
  </si>
  <si>
    <t>Seats they have</t>
  </si>
  <si>
    <t>Seats eligible parties should have</t>
  </si>
  <si>
    <t>Shortfall</t>
  </si>
  <si>
    <t>Reduce to Max allowed</t>
  </si>
  <si>
    <t>(Insert a scenario)</t>
  </si>
  <si>
    <t>Remaining Allocation</t>
  </si>
  <si>
    <t>Alternative Party Vote Distribution:</t>
  </si>
  <si>
    <t>Members "Crossing the Floor" or voting contrary to party discipline</t>
  </si>
  <si>
    <t>of the overall popular vote, or elect a candidate.</t>
  </si>
  <si>
    <t>(Input your election scenario in the blue areas below)</t>
  </si>
  <si>
    <t>is the most advantaged party, with a positive Ratio of</t>
  </si>
  <si>
    <t xml:space="preserve">To be elgible for representation, a party must win at least  </t>
  </si>
  <si>
    <t>Voter participation is likely to increase (No more "What's the use? The system is rigged.").</t>
  </si>
  <si>
    <t>Ratio Seats to Pop Vote</t>
  </si>
  <si>
    <t>Seat calc</t>
  </si>
  <si>
    <t>PopVote Share Calc</t>
  </si>
  <si>
    <t>Most Advantaged Party</t>
  </si>
  <si>
    <t>Elected</t>
  </si>
  <si>
    <t>Hardeep</t>
  </si>
  <si>
    <t>Yvette</t>
  </si>
  <si>
    <t>If not elected, must meet a min. threshold for List MNAs of</t>
  </si>
  <si>
    <t>If MNAs elected &gt;0,1, otherwise 0</t>
  </si>
  <si>
    <t>If List MNA allowance = 0,0,1)</t>
  </si>
  <si>
    <t>So, how does the process of achieving proportionality work?....</t>
  </si>
  <si>
    <t>(Note:  A summary table of inputs from the HowItWorks page is shown below)</t>
  </si>
  <si>
    <t>Votes in Committee per Member</t>
  </si>
  <si>
    <t xml:space="preserve">each elected Independent MP would have </t>
  </si>
  <si>
    <t xml:space="preserve">  Party Members Elected  </t>
  </si>
  <si>
    <t>% of All Elected Members Won</t>
  </si>
  <si>
    <t>Number of Members Elected</t>
  </si>
  <si>
    <t>Members in Committee</t>
  </si>
  <si>
    <t xml:space="preserve">Total Members </t>
  </si>
  <si>
    <t>No. of Members Elected</t>
  </si>
  <si>
    <t>% of All Elected Members</t>
  </si>
  <si>
    <t>Pop. vote</t>
  </si>
  <si>
    <t>Percent of</t>
  </si>
  <si>
    <t>PR is achieved:</t>
  </si>
  <si>
    <t>Popular Vote</t>
  </si>
  <si>
    <t xml:space="preserve">If you want to change an entry, use the cursor to select the cell, and type the correction over the existing entry.  To clear the contents of a blue area, select it, and then click on 'Home' on the menu bar, then click 'Clear' and 'Clear Contents'.  </t>
  </si>
  <si>
    <t xml:space="preserve"> How It Works --- The Details</t>
  </si>
  <si>
    <t>Democratic Party</t>
  </si>
  <si>
    <t>Winners are determined by plurality: the candidate who receives more votes than any other candidate in the district becomes the sole Member of the federal House of Representatives or State Legislature for the district.</t>
  </si>
  <si>
    <t>Members elected</t>
  </si>
  <si>
    <t>STEP 5 and Final Outcome:</t>
  </si>
  <si>
    <t>Total No. of Party Members</t>
  </si>
  <si>
    <t>House Vote Entitlement</t>
  </si>
  <si>
    <t>Note:  A Party Leader may wish to allocate the House Vote Entitlement per Member according to a different method, for example, by gender or other manner.  View table at right.</t>
  </si>
  <si>
    <t xml:space="preserve"> of Members are "top-up" Members.</t>
  </si>
  <si>
    <t xml:space="preserve"> House Vote per Member</t>
  </si>
  <si>
    <t>Voters choose a single candidate or party to represent them.  The candidate receiving more votes than any other becomes the only Member of the House of Representatives for the district.</t>
  </si>
  <si>
    <t>Elected Representatives who have no party affiliation have a vote in the House equal to the overall average vote per member in the House.</t>
  </si>
  <si>
    <t xml:space="preserve">Representation by gender, ethnicity, culture or other component of society is indirectly supported by competition from new parties, and a recognition by existing parties that the votes of all parts of society count directly towards voting power in the House.  </t>
  </si>
  <si>
    <t>Max. No. of List Members =</t>
  </si>
  <si>
    <t xml:space="preserve">Rounded </t>
  </si>
  <si>
    <t>Total Party List Members</t>
  </si>
  <si>
    <t>avg. parl vote per elected Member</t>
  </si>
  <si>
    <t>Allotment for Parties with no Members</t>
  </si>
  <si>
    <t>Elected Reps of parties w &lt; X% seats</t>
  </si>
  <si>
    <t>Eligible for List Members?</t>
  </si>
  <si>
    <t>At the ballot box in each electoral district, all registered political parties are listed, including those without a candidate in the district.  All registered candidates, including those without party affiliation, are listed.</t>
  </si>
  <si>
    <t xml:space="preserve">If there is a special election to fill a vacant seat during a session of the House, the popular vote results of that election replace those of the previous election, and the overall voting power in the House is recalculated.  Normally, the change would be very minor. </t>
  </si>
  <si>
    <t>Members of the House</t>
  </si>
  <si>
    <t>% of All House Votes</t>
  </si>
  <si>
    <t>Members of House Elected</t>
  </si>
  <si>
    <t>Number of Represen-tatives</t>
  </si>
  <si>
    <t>elected Representatives.</t>
  </si>
  <si>
    <t>Make sure your scenario totals</t>
  </si>
  <si>
    <t>Based on the scenario selected</t>
  </si>
  <si>
    <t>of the overall popular vote, or elect</t>
  </si>
  <si>
    <t>a Member of House.  The percentage of the total popular vote received by each party is recalculated,</t>
  </si>
  <si>
    <t>The total number of votes in the House for eligible political parties is then electronically determined, by dividing the number of seats won by the most advantaged party by the percent of the popular vote it received in the election.</t>
  </si>
  <si>
    <t>Independent Members:</t>
  </si>
  <si>
    <t>Representation on House Committees</t>
  </si>
  <si>
    <t>(Note the comparisons in the yellow areas.)</t>
  </si>
  <si>
    <t>Voting power in the House is defined by the House Vote Entitlement carried by each party, rather than by the number of seats held by parties. All parties carry a House Vote Entitlement in proportion to each's overall share of the popular vote in the most recent election.</t>
  </si>
  <si>
    <t>Progressive Democratic Party</t>
  </si>
  <si>
    <r>
      <t xml:space="preserve">  </t>
    </r>
    <r>
      <rPr>
        <b/>
        <sz val="15"/>
        <color rgb="FFC00000"/>
        <rFont val="Arial"/>
        <family val="2"/>
      </rPr>
      <t>Proportional representation, in the form of voting power in the House of Representatives, is achieved.</t>
    </r>
  </si>
  <si>
    <t>Outcome using the Current Winner-Take-All System</t>
  </si>
  <si>
    <r>
      <rPr>
        <b/>
        <sz val="16"/>
        <color rgb="FFFF0000"/>
        <rFont val="Arial"/>
        <family val="2"/>
      </rPr>
      <t>Quick View:</t>
    </r>
    <r>
      <rPr>
        <b/>
        <sz val="16"/>
        <rFont val="Arial"/>
        <family val="2"/>
      </rPr>
      <t xml:space="preserve"> </t>
    </r>
  </si>
  <si>
    <t>Robert</t>
  </si>
  <si>
    <t>Top-Up seats: No more than</t>
  </si>
  <si>
    <t>Top-Up</t>
  </si>
  <si>
    <t>Total</t>
  </si>
  <si>
    <t>Average Vote per Member</t>
  </si>
  <si>
    <t>Lincoln Republicans</t>
  </si>
  <si>
    <t>Votes are added to under-represented political parties to produce proportional representation.</t>
  </si>
  <si>
    <t xml:space="preserve">     Totals for Parties</t>
  </si>
  <si>
    <t>You have decided that top-up seats are limited to parties with less than</t>
  </si>
  <si>
    <t xml:space="preserve">the number of Top-Up seats in the House is limited to </t>
  </si>
  <si>
    <t>(with leeway for rounding of numbers.)</t>
  </si>
  <si>
    <t>If you are inputting a scenario, you need to set some parameters:</t>
  </si>
  <si>
    <t xml:space="preserve">* Note: Make sure to list separately each small party that meets the </t>
  </si>
  <si>
    <t>threshold for representation, in this case</t>
  </si>
  <si>
    <t>www.makedemocracybetter.com</t>
  </si>
  <si>
    <t>Whitebear</t>
  </si>
  <si>
    <t>Every vote cast for a voter's preferred district candidate of a political party counts towards the voting power in the House of that party, whether the district candidate wins or loses.  By contrast, in today's 'winner-take-all' electoral system, if a candidate does not win, his/her vote is discarded by the system.</t>
  </si>
  <si>
    <t xml:space="preserve"> Total Party Votes in the House</t>
  </si>
  <si>
    <t>The voting power of parties represented in the House is then brought into line with each party's share of the popular vote, by giving additional House votes – rather than additional Representatives – to parties that were ‘short-changed’ in the election, based on their share of the popular vote. (Go to the "HowItWorks" sheet to see how this is done.)  This establishes a Party's House Vote Entitlement.</t>
  </si>
  <si>
    <t>Voting does not require ranking multiple candidates in a multi-member district, nor is there confusion by voters as to who represents them in their district.  Unlike in PR systems where voters cast separate ballots for a preferred party and a preferred candidate, SVPR assumes the two choices will be the same. The counting of ballots is simple, not requiring intricate formulas.</t>
  </si>
  <si>
    <t>The Simple Vote Proportional Representation Electoral Method</t>
  </si>
  <si>
    <t>Results Using Simple Vote PR</t>
  </si>
  <si>
    <t>What is Simple Vote PR?</t>
  </si>
  <si>
    <t>The Simple Vote PR system:  How it works -- A Summary:</t>
  </si>
  <si>
    <t>Simple Vote PR Electoral Method -- Summary for:</t>
  </si>
  <si>
    <t>THE SIMPLE VOTE PROPORTIONAL REPRESENTATION ELECTORAL METHOD</t>
  </si>
  <si>
    <r>
      <t xml:space="preserve">This interactive file enables election results to be calculated instantly as returns from polling stations become available on Election Day. </t>
    </r>
    <r>
      <rPr>
        <sz val="14"/>
        <rFont val="Arial"/>
        <family val="2"/>
      </rPr>
      <t xml:space="preserve"> </t>
    </r>
    <r>
      <rPr>
        <b/>
        <sz val="14"/>
        <rFont val="Arial"/>
        <family val="2"/>
      </rPr>
      <t>Input an election scenario below, or view the example given.</t>
    </r>
  </si>
  <si>
    <t>Other (non-winning) parties*</t>
  </si>
  <si>
    <r>
      <rPr>
        <b/>
        <i/>
        <sz val="12"/>
        <rFont val="Arial"/>
        <family val="2"/>
      </rPr>
      <t>Every vote</t>
    </r>
    <r>
      <rPr>
        <sz val="12"/>
        <rFont val="Arial"/>
        <family val="2"/>
      </rPr>
      <t xml:space="preserve"> cast for a voter's preferred local candidate of a political party counts towards voting power of that party in the House, including the votes cast for a district candidate that does not win a seat in the House.  In contrast, in today's electoral system, if a candidate does not win, his/her vote is discarded.</t>
    </r>
  </si>
  <si>
    <t>(select) of all seats in the House.</t>
  </si>
  <si>
    <t xml:space="preserve">Top-Up seats are limited to parties that have less than </t>
  </si>
  <si>
    <t>(It is best to select between 0% and 10% to avoid the possibility of distortions.)</t>
  </si>
  <si>
    <t>The House Votes of each elected Representative can be distributed in ways other than a simple average that gives all Members of a party an equal voice.  A Party Leader or leadership may adjust votes for each of his/her Members to boost the voting power of under-represented regions or for gender or for ethnicity, except that no Member shall have less than one vote.  View the following example, or insert a specific House Vote entitlement for a name, and the others will automatically adjust.  Note that the total number of House Votes for a Party must always remain constant.</t>
  </si>
  <si>
    <t>Members for Party X (Insert)</t>
  </si>
  <si>
    <t>Special Allocation (Insert)</t>
  </si>
  <si>
    <t>Frank</t>
  </si>
  <si>
    <t>Ensure that no Member has less than 1.0 vote.</t>
  </si>
  <si>
    <t>Select the number of top-up seats to be created</t>
  </si>
  <si>
    <t>The current number of seats in the House is</t>
  </si>
  <si>
    <t xml:space="preserve"> (select 0 if you do not want this feature)</t>
  </si>
  <si>
    <t xml:space="preserve"> (or keep the total no. of seats unchanged)</t>
  </si>
  <si>
    <t>SVPR creates a few Top-Up seats to enable small political parties to have a voice in the House.  If you wish to create top-up seats,</t>
  </si>
  <si>
    <t>Select the desired total number of seats in the House</t>
  </si>
  <si>
    <t>(Plus "Independents")</t>
  </si>
  <si>
    <t>The Simple Vote PR electoral method for the US House of Represenatives was devised by John Stillich.  He can be reached by telephone in Innisfil Ontario at 1-705-294-4110, or at johnstillich@rogers.com.  Www.makedemocracybetter.com includes this file.</t>
  </si>
  <si>
    <t xml:space="preserve">The table below shows a summary of the Simple Vote PR scenario based on data inputted on the "HowItWorks" page.  Note how the voting power of Representatives of under-represented parties is increased so that it closely reflects the overall popular vote (compare yellow areas in the summary below).  </t>
  </si>
  <si>
    <t>Total House Votes</t>
  </si>
  <si>
    <t>Top-Up Members</t>
  </si>
  <si>
    <t>Total Members</t>
  </si>
  <si>
    <t>House Votes/ Member</t>
  </si>
  <si>
    <t>A</t>
  </si>
  <si>
    <t>B</t>
  </si>
  <si>
    <t>C</t>
  </si>
  <si>
    <t>D</t>
  </si>
  <si>
    <t>E</t>
  </si>
  <si>
    <t>F</t>
  </si>
  <si>
    <t>G</t>
  </si>
  <si>
    <t>H</t>
  </si>
  <si>
    <t>I</t>
  </si>
  <si>
    <t>Total for All Eligible Parties</t>
  </si>
  <si>
    <t>As elected under current electoral systems, almost exclusively winner-take-all.</t>
  </si>
  <si>
    <t>Directly-elected Members plus Top-Up Members.</t>
  </si>
  <si>
    <t>File: SVPR DEMO USA HOUSE for July Description 2021</t>
  </si>
  <si>
    <t>Total for the Election</t>
  </si>
  <si>
    <t>Adjustments Made by Simple Vote PR</t>
  </si>
  <si>
    <t>As reported by all jurisdictions participating in the election. Voters cast their vote based on their true first preference, without compromise.</t>
  </si>
  <si>
    <t>% of All Seats</t>
  </si>
  <si>
    <t>J</t>
  </si>
  <si>
    <t>Total number of House Votes (the House Vote Entitlement) for each party divided by the total number of that party's Members.  Using an average is the basic formula, but party Leaders can adjust the votes of its Members to reflect internal priorities.</t>
  </si>
  <si>
    <t>The popular vote for each party divided by the total number of votes cast in the election.</t>
  </si>
  <si>
    <t>Normally, the winner-take-all electoral system produces both over-represented and under-represented political parties.</t>
  </si>
  <si>
    <t xml:space="preserve"> A National Election for the House of Representatives</t>
  </si>
  <si>
    <t>The percent of House Votes mirrors each party's share of the total popular vote, i.e. proportional representation.  Note that "Independent" Members have a House Vote equal to the average for all parties.</t>
  </si>
  <si>
    <t>"!!" marks the party with the highest percent of all seats won compared to its share of the total popular vote.  This is the ratio to which all other parties are raised, and is the first step in determining the total number of votes in the House of Representatives.</t>
  </si>
  <si>
    <t>The Lincoln Republican's 110 seats divided by its percent share of the total popular vote determines the total number of Votes in the House.  This total is then multiplied by each party's percent share of the total popular vote.  This achieves full proportional representation in terms of voting power in the House.</t>
  </si>
  <si>
    <t>In this example, legislation pre-set the number of Top-up seats at 20, and that the total number of seats in the House would be increased by 20, to 455, rather than reducing the 435 elected seats to create TopUp seats.  Any combination of directly-elected seats and Top-Up seats is possible,</t>
  </si>
  <si>
    <t>America First Party</t>
  </si>
  <si>
    <t>of all seats in the House.</t>
  </si>
  <si>
    <t>"Top-Up" seats are limited to parties that have less than</t>
  </si>
  <si>
    <t>Number of "Top-Up" seats to be created =</t>
  </si>
  <si>
    <t>of all votes, or elect a candidate, to be represented</t>
  </si>
  <si>
    <t>Simple Vote PR:  Outcomes and Effects</t>
  </si>
  <si>
    <t xml:space="preserve"> Average Vote  per Member</t>
  </si>
  <si>
    <t xml:space="preserve">Simple Vote PR Adjustments </t>
  </si>
  <si>
    <t>seats, and only for parties with fewer than</t>
  </si>
  <si>
    <t>The final SVPR electoral outcome is instantly calculated at the national level for the House of Representatives, as the total number of seats and total popular vote by political party become known.  Voting results at state and local levels keep the current winner-take-all system of electing Members, unless they decide otherwise.  The illustration below presents just one example of an election scenario.</t>
  </si>
  <si>
    <t>Explained differently:</t>
  </si>
  <si>
    <t xml:space="preserve">SVPR is simple for voters, and is based on treating every vote equally.  It achieves proportional representation without changing how the elected members of the House of Representatives are elected, and enables a limited number of "Top-Up" seats to be created to provide for representation by eligible small parties. </t>
  </si>
  <si>
    <r>
      <t xml:space="preserve">Proportional representation is achieved by adding </t>
    </r>
    <r>
      <rPr>
        <b/>
        <i/>
        <u/>
        <sz val="12"/>
        <rFont val="Arial"/>
        <family val="2"/>
      </rPr>
      <t>votes</t>
    </r>
    <r>
      <rPr>
        <sz val="12"/>
        <rFont val="Arial"/>
        <family val="2"/>
      </rPr>
      <t xml:space="preserve"> in the House to Representatives to parties that were 'short-changed' in an election based on their shares of the overall natonal popular vote, so that each political party's share of votes in the House is the same as its share of the overall national popular vote in a general election.  </t>
    </r>
  </si>
  <si>
    <t>Political parties receiving less than a pre-determined minimum percentage of the popular vote are excluded from representation, unless they elect a candidate in a district.  As a respect to democracy, a low is threshold recommended (2%).</t>
  </si>
  <si>
    <t>The voting power of each Member of a political party in the House is determined by dividing the party's total House Vote Entitlement equally among the number of the party's Members of the House.  However, party leaders may be empowered to allocate his/her House Vote Entitlement differently, to balance out inequities in gender, ethnicity, geography, etc.  Most Members have more than one vote each; no Member should have less than one fuill vote.</t>
  </si>
  <si>
    <t xml:space="preserve">The tradition of exactly one vote in the House of Representatives for each of its Members is ended.  Most Members are given additional votes, including fractions of a vote, to reflect the percent of the popular vote received by the party that they represent.  The number of votes in the House will exceed the number of seats.  No Member will have less than one full vote in the House.    
</t>
  </si>
  <si>
    <t>Except for a few Top-Up Members, all Members of the House are directly accountable to voters in their district.  Top-Up Members represent their party nationally.</t>
  </si>
  <si>
    <t>Negotiation and compromise across party lines on legislation becomes the norm, to enable a majority of House votes to be secured. No single party can force its own preferred legislation to be passed unless it has more than 50% of the votes in the House.  Votes of third and fourth parties become important to moderate against polarizing legislation.</t>
  </si>
  <si>
    <t>Members who decide to change their party affiliation during a session of the House have no effect on House vote standings; the total House Vote Entitlement remains with the party that the Member has abandoned, in accordance with the party's share of the popular vote in the most recent general election, modified by by-elections.  Members removed from a party by its caucus sit as Independents, and are given a House Vote Entitlement equal to the average for all Members of the House.  A Member will not voluntarily leave his/her party because he/she will have no vote.</t>
  </si>
  <si>
    <t xml:space="preserve">In this scenario, a party must win </t>
  </si>
  <si>
    <t>IF YOU WISH TO INPUT A SCENARIO, DO SO IN BLUE AREAS ONLY.</t>
  </si>
  <si>
    <t>The most advantaged political party -- being the one with the highest percent share of all Members of the House  relative to its percent share of the popular vote -- is then determined electronically, by dividing the percent of Members won by each party by the percent of the popular vote which that party received.  The highest ratio identifies the most advantaged party.</t>
  </si>
  <si>
    <t>This total number of votes for parties in the House is then multiplied by the percent of the overall popular vote received by each party to determine the vote entitlement for each party.  Results normally include fractions of a vote.  Note that the House Vote Entitlement for the most advantaged party is the same as the number of its Members.</t>
  </si>
  <si>
    <t>For each of the Members who are "Independents", a fair share of their voting power is calculated as the total House voting power for all parties divided by the number of Members of all parties.  In the example,</t>
  </si>
  <si>
    <t>Independents elected</t>
  </si>
  <si>
    <t>Quinlan</t>
  </si>
  <si>
    <t>Congress enables and directs the allocation of Top-Up seats. These added Members may be required to be selected by their respective parties from candidates fielded in the general election, and who may thereby be considered as 'elected' to a top-up seat.  In a U.S. federal election, they could be assigned to represent specific states or be National Members, representing voters across the country.  An officer of the Federal Election Commission can be empowered to assign all or some of the additional Members manually to accommodate anomolies, rather than having it electronically computed, and to round final numbers.  Distribution of Top-up seats will need to respect the proportional distribution of seats based on state by state populations.</t>
  </si>
  <si>
    <t xml:space="preserve">As a respect to the diversity of America, SVPR adds a few Members to the most under-represented eligible parties, to give those parties a human presence and functional ability, by awarding them "Top-Up" seats.  </t>
  </si>
  <si>
    <t>Top-Up Members are added to the total number of Members of the House.  If it is desired to restrict the total number of Members in the House, some states will have to be redistricted to accommodate the Top-up Members.</t>
  </si>
  <si>
    <t>Green Party</t>
  </si>
  <si>
    <t>Libertarian Party</t>
  </si>
  <si>
    <t>Electoral Results</t>
  </si>
  <si>
    <t>New West Party</t>
  </si>
  <si>
    <t>First Americans Party</t>
  </si>
  <si>
    <t>(Rounded)</t>
  </si>
  <si>
    <t>New Morality Party</t>
  </si>
  <si>
    <t>File: SVPR DEMO USA Oct 2023</t>
  </si>
  <si>
    <t>USA</t>
  </si>
  <si>
    <t>Existing district boundaries are maintained, and voters select a single candidate or party to represent them in the House of Representatives.  If a party is not fielding a candidate in the district, the party's name remains on the ballot to enable voters to choose that party.  Independent candidates in the district are also listed.</t>
  </si>
  <si>
    <t>Once all of the district winners are determined and all the votes have been counted, the totals for the nation are compiled.  To illustrate how the Simple Vote PR method is instantly applied to achieve proportional representation, you may input an election scenario of your choosing in the blue areas below, or just view the example shown.</t>
  </si>
  <si>
    <t>Proportional representation is achieved by adding votes in the House to elected Members of political parties that won a fewer share of seats than their proportionate share of the national popular vote, so that a political party's share of votes in House is the same as its share of the overall popular vote.  SVPR also reduces inequalities in representation by adding a few Members to the most under-represented parties.</t>
  </si>
  <si>
    <r>
      <t xml:space="preserve">The </t>
    </r>
    <r>
      <rPr>
        <b/>
        <sz val="14"/>
        <rFont val="Arial"/>
        <family val="2"/>
      </rPr>
      <t>Simple Vote PR</t>
    </r>
    <r>
      <rPr>
        <sz val="12"/>
        <rFont val="Arial"/>
        <family val="2"/>
      </rPr>
      <t xml:space="preserve"> (SVPR) electoral method is a system that is simple for voters at the ballot box, and is based on treating every vote equally.  It achieves proportional representation without changing how Members of the US House of Representatives or State legislative body are elected (for example, Simple Vote PR keeps the number of elected Members close to current levels, keeps districts single-member, and maintains direct district accountability of elected Members). </t>
    </r>
  </si>
  <si>
    <r>
      <t>win for it to be eligible for representation in the House</t>
    </r>
    <r>
      <rPr>
        <b/>
        <sz val="12"/>
        <rFont val="Arial"/>
        <family val="2"/>
      </rPr>
      <t>:</t>
    </r>
    <r>
      <rPr>
        <sz val="12"/>
        <rFont val="Arial"/>
        <family val="2"/>
      </rPr>
      <t xml:space="preserve"> </t>
    </r>
  </si>
  <si>
    <t xml:space="preserve">Set what you think should be the minimum percent of the national popular vote that a political party needs to </t>
  </si>
  <si>
    <t>Communist Party of America</t>
  </si>
  <si>
    <t>Other Party</t>
  </si>
  <si>
    <t>(input)</t>
  </si>
  <si>
    <t>Once the raw numbers of votes and Members across the USA are compiled, the process becomes how to bring the various results in line with proportionality.  Shown below is a description of the calculations done electronically, instantly, on Election Day using  Simple Vote PR, based on the information inputted above.</t>
  </si>
  <si>
    <t>Note:  In rare situations, a candidate is unopposed and is acclaimed the winner.  For the party he/she represents, the assumed popular vote of the acclaimed candidate is set as the total popular vote for winning candidates of his/her party in contested districts divided by the number of Members elected in those districts.  This figure is added to the popular vote of the acclaimed candidate's party.</t>
  </si>
  <si>
    <r>
      <t xml:space="preserve">based on </t>
    </r>
    <r>
      <rPr>
        <b/>
        <sz val="14"/>
        <rFont val="Calibri"/>
        <family val="2"/>
      </rPr>
      <t>eligible</t>
    </r>
    <r>
      <rPr>
        <sz val="14"/>
        <rFont val="Calibri"/>
        <family val="2"/>
      </rPr>
      <t xml:space="preserve"> </t>
    </r>
    <r>
      <rPr>
        <b/>
        <sz val="14"/>
        <rFont val="Calibri"/>
        <family val="2"/>
      </rPr>
      <t>parties only</t>
    </r>
    <r>
      <rPr>
        <sz val="14"/>
        <rFont val="Calibri"/>
        <family val="2"/>
      </rPr>
      <t>.</t>
    </r>
  </si>
  <si>
    <t>N.B. Excluding Independents.</t>
  </si>
  <si>
    <t>The Simple Vote PR system also adds Top-Up Members for the most under-represented eligible parties, as follows:</t>
  </si>
  <si>
    <t>of the total number</t>
  </si>
  <si>
    <t>of seats, and have less than their proportional share of votes in the House.  Also, you have decided that</t>
  </si>
  <si>
    <t>Finally, each party's voting power is then distributed equally to each Member within the party.  This normally results in fractions of a vote per Member except for the most advantaged party, which has exactly one vote per Member.  No Member can have less than one full vote in the House of Representatives.</t>
  </si>
  <si>
    <t>This increases the total number of Votes in the House of Representatives.</t>
  </si>
  <si>
    <t xml:space="preserve">With the Simple Vote PR electoral method, the composition of committees would not have to be set in line with the composition of seats in the House.  The voting power of parties in Committee would be set to mirror the total vote entitlement of each party.  That would enable any number of Members to participate.  The total of all votes in committee would be the same as for the House as a whole ─ the voting power of each Member at Committee would be the Total House Vote Entitlement for the Member's party divided by the number of Members in committee for each party.  Party or House leaders can appoint and limit representation by their party.  Independents would carry their House Vote Entitlement into committee. </t>
  </si>
  <si>
    <r>
      <t>With Simple Vote PR, Members of the House who, on heir own, decide to change parties have no effect on total House Vote standings.  Votes remain with the original party in accordance with its share of the popular vote in the most recent general election, as modified by interim elections, as a respect to the voters in the affected district.  Members removed from a party caucus by its leadership and choose to sit as Independents are given a House Vote equal to the average for all party Members (</t>
    </r>
    <r>
      <rPr>
        <i/>
        <sz val="12"/>
        <rFont val="Arial"/>
        <family val="2"/>
      </rPr>
      <t>so, the total number of votes in House increases</t>
    </r>
    <r>
      <rPr>
        <sz val="12"/>
        <rFont val="Arial"/>
        <family val="2"/>
      </rPr>
      <t>).  A Member will not leave his/her party caucus voluntarily because he/she will have no vote.  Those Members would likely rather abstain from some votes, and vote according to party discipline on others.</t>
    </r>
  </si>
  <si>
    <t>Donald</t>
  </si>
  <si>
    <t>Waldo</t>
  </si>
  <si>
    <t>Simple Vote PR (SVPR) is an electoral method to achieve full proportional representation (PR) in the US House of Representatives.  It does not require a constitutional amendment to be implemented.</t>
  </si>
  <si>
    <r>
      <t>A political party can be awarded additional Members if the party elects fewer candidates than it should have if the number of seats in the House were allocated on the basis of proportional representation,</t>
    </r>
    <r>
      <rPr>
        <b/>
        <i/>
        <sz val="12"/>
        <rFont val="Arial"/>
        <family val="2"/>
      </rPr>
      <t xml:space="preserve"> and</t>
    </r>
    <r>
      <rPr>
        <sz val="12"/>
        <rFont val="Arial"/>
        <family val="2"/>
      </rPr>
      <t xml:space="preserve"> if the party has  fewer seats overall than a pre-determined percent (for example, a party with less than 5% of the seats in the House).  A limit to the number of these "Top-Up" seats (for example, no more than 5% of the total number of Representatives) and the states in which they are allocated, is established by legislation prior to any general election.</t>
    </r>
  </si>
  <si>
    <t>Strategic or compromise voting is unnecessary (No more "I can't vote for her because she doesn't have a chance of winning."), because every vote cast at the ballot box for a candidate representing a political party counts towards Congressional voting power of each voter's first choice.</t>
  </si>
  <si>
    <t xml:space="preserve">The electoral system of the United States that allows for only two political points of view to be represented in Congress in a diverse country of more than 325,000,000 people is changed to enable a wider diversity of thought and opinion to be represented by more political parties.  </t>
  </si>
  <si>
    <t xml:space="preserve">Over time, proprtional representation in the House of Representatives will increase the diversity of representation.  Voters will have an effective choice in favour of parties that they see as being more representative of their views.  New parties that may form around segments of society (for example, a Pro-Life Environmentists Party, or a Green Party) have a better chance of representation. </t>
  </si>
  <si>
    <t>The practice of adjusting the geographic bundaries of electoral districts to suit a political desire ("gerrymandering") would no longer have a significant purpose, as voting power in the House is determined by the overall national (or State in State elections) popular vote.</t>
  </si>
  <si>
    <t>The tradition of a "Majority Leader" becoming Speaker of the House would change, because no single party is likely to have a House Vote Entitlement representing 50%+ of all votes in the House.  The Speaker of the House is chosen by a majority of House votes.  Procedures in the House may be set by a committee comprised of leaders of a majority of votes in the House.   Other options and changes may occur.</t>
  </si>
  <si>
    <t>Best Seats/ Vote %</t>
  </si>
  <si>
    <t>Brandon</t>
  </si>
  <si>
    <t>Wendy</t>
  </si>
  <si>
    <t>Paul</t>
  </si>
  <si>
    <t>Simple Vote PR cannot be applied to the US Senate, because the US Constitution stipulates that each Senator shall have one vote.  However, as new parties are formed, they may each field candidates for Senate.</t>
  </si>
  <si>
    <t>Reflects the popular vote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</si>
</sst>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1" formatCode="_-* #,##0_-;\-* #,##0_-;_-* &quot;-&quot;_-;_-@_-"/>
    <numFmt numFmtId="43" formatCode="_-* #,##0.00_-;\-* #,##0.00_-;_-* &quot;-&quot;??_-;_-@_-"/>
    <numFmt numFmtId="164" formatCode="_(* #,##0.00_);_(* \(#,##0.00\);_(* &quot;-&quot;??_);_(@_)"/>
    <numFmt numFmtId="165" formatCode="_-* #,##0.0_-;\-* #,##0.0_-;_-* &quot;-&quot;??_-;_-@_-"/>
    <numFmt numFmtId="166" formatCode="_-* #,##0_-;\-* #,##0_-;_-* &quot;-&quot;??_-;_-@_-"/>
    <numFmt numFmtId="167" formatCode="0.0"/>
    <numFmt numFmtId="168" formatCode="0.0%"/>
    <numFmt numFmtId="169" formatCode="#,##0.0"/>
    <numFmt numFmtId="170" formatCode="#,##0.00_ ;\-#,##0.00\ "/>
    <numFmt numFmtId="171" formatCode="#,##0.000000"/>
    <numFmt numFmtId="172" formatCode="#,##0_ ;\-#,##0\ "/>
    <numFmt numFmtId="173" formatCode="#,##0.0_ ;\-#,##0.0\ "/>
  </numFmts>
  <fonts count="80" x14ac:knownFonts="1">
    <font>
      <sz val="10"/>
      <name val="Arial"/>
    </font>
    <font>
      <sz val="10"/>
      <name val="Arial"/>
      <family val="2"/>
    </font>
    <font>
      <sz val="8"/>
      <name val="Arial"/>
      <family val="2"/>
    </font>
    <font>
      <sz val="10"/>
      <name val="Arial"/>
      <family val="2"/>
    </font>
    <font>
      <sz val="12"/>
      <name val="Arial"/>
      <family val="2"/>
    </font>
    <font>
      <u/>
      <sz val="15"/>
      <color indexed="12"/>
      <name val="Arial"/>
      <family val="2"/>
    </font>
    <font>
      <sz val="9"/>
      <name val="Arial"/>
      <family val="2"/>
    </font>
    <font>
      <sz val="16"/>
      <name val="Arial"/>
      <family val="2"/>
    </font>
    <font>
      <b/>
      <sz val="20"/>
      <color indexed="12"/>
      <name val="Arial"/>
      <family val="2"/>
    </font>
    <font>
      <sz val="20"/>
      <name val="Arial"/>
      <family val="2"/>
    </font>
    <font>
      <b/>
      <sz val="10"/>
      <color indexed="12"/>
      <name val="Arial"/>
      <family val="2"/>
    </font>
    <font>
      <sz val="12"/>
      <name val="Arial"/>
      <family val="2"/>
    </font>
    <font>
      <b/>
      <sz val="12"/>
      <name val="Arial"/>
      <family val="2"/>
    </font>
    <font>
      <sz val="14"/>
      <name val="Arial"/>
      <family val="2"/>
    </font>
    <font>
      <b/>
      <sz val="12"/>
      <name val="Arial"/>
      <family val="2"/>
    </font>
    <font>
      <sz val="11"/>
      <name val="Arial"/>
      <family val="2"/>
    </font>
    <font>
      <sz val="14"/>
      <name val="Calibri"/>
      <family val="2"/>
    </font>
    <font>
      <b/>
      <sz val="12"/>
      <color indexed="12"/>
      <name val="Arial"/>
      <family val="2"/>
    </font>
    <font>
      <b/>
      <sz val="14"/>
      <name val="Arial"/>
      <family val="2"/>
    </font>
    <font>
      <b/>
      <sz val="14"/>
      <color indexed="62"/>
      <name val="Arial"/>
      <family val="2"/>
    </font>
    <font>
      <b/>
      <u/>
      <sz val="12"/>
      <name val="Arial"/>
      <family val="2"/>
    </font>
    <font>
      <b/>
      <sz val="16"/>
      <name val="Arial"/>
      <family val="2"/>
    </font>
    <font>
      <sz val="12"/>
      <color indexed="20"/>
      <name val="Arial"/>
      <family val="2"/>
    </font>
    <font>
      <u/>
      <sz val="10"/>
      <name val="Arial"/>
      <family val="2"/>
    </font>
    <font>
      <b/>
      <sz val="10"/>
      <name val="Arial"/>
      <family val="2"/>
    </font>
    <font>
      <b/>
      <u/>
      <sz val="14"/>
      <color indexed="12"/>
      <name val="Calibri"/>
      <family val="2"/>
    </font>
    <font>
      <b/>
      <sz val="20"/>
      <color rgb="FFC00000"/>
      <name val="Arial"/>
      <family val="2"/>
    </font>
    <font>
      <b/>
      <sz val="16"/>
      <color rgb="FFC00000"/>
      <name val="Arial"/>
      <family val="2"/>
    </font>
    <font>
      <b/>
      <sz val="14"/>
      <color rgb="FFC00000"/>
      <name val="Arial"/>
      <family val="2"/>
    </font>
    <font>
      <b/>
      <u/>
      <sz val="14"/>
      <color rgb="FF0000CC"/>
      <name val="Arial"/>
      <family val="2"/>
    </font>
    <font>
      <sz val="12"/>
      <color theme="1"/>
      <name val="Arial"/>
      <family val="2"/>
    </font>
    <font>
      <b/>
      <i/>
      <u/>
      <sz val="18"/>
      <name val="Bookman Old Style"/>
      <family val="1"/>
    </font>
    <font>
      <i/>
      <u/>
      <sz val="18"/>
      <name val="Bookman Old Style"/>
      <family val="1"/>
    </font>
    <font>
      <sz val="18"/>
      <name val="Bookman Old Style"/>
      <family val="1"/>
    </font>
    <font>
      <sz val="8"/>
      <color theme="0" tint="-0.499984740745262"/>
      <name val="Arial"/>
      <family val="2"/>
    </font>
    <font>
      <sz val="10"/>
      <color theme="0" tint="-0.499984740745262"/>
      <name val="Arial"/>
      <family val="2"/>
    </font>
    <font>
      <sz val="12"/>
      <color theme="0" tint="-0.499984740745262"/>
      <name val="Arial"/>
      <family val="2"/>
    </font>
    <font>
      <strike/>
      <sz val="10"/>
      <color theme="0" tint="-0.499984740745262"/>
      <name val="Arial"/>
      <family val="2"/>
    </font>
    <font>
      <b/>
      <sz val="12"/>
      <color theme="0" tint="-0.499984740745262"/>
      <name val="Arial"/>
      <family val="2"/>
    </font>
    <font>
      <u/>
      <sz val="12"/>
      <color theme="0" tint="-0.499984740745262"/>
      <name val="Arial"/>
      <family val="2"/>
    </font>
    <font>
      <b/>
      <sz val="14"/>
      <color rgb="FF0000CC"/>
      <name val="Arial"/>
      <family val="2"/>
    </font>
    <font>
      <b/>
      <sz val="11"/>
      <name val="Arial"/>
      <family val="2"/>
    </font>
    <font>
      <sz val="15"/>
      <name val="Arial"/>
      <family val="2"/>
    </font>
    <font>
      <sz val="10"/>
      <color theme="0" tint="-0.34998626667073579"/>
      <name val="Arial"/>
      <family val="2"/>
    </font>
    <font>
      <b/>
      <i/>
      <u/>
      <sz val="14"/>
      <name val="Arial"/>
      <family val="2"/>
    </font>
    <font>
      <b/>
      <i/>
      <sz val="12"/>
      <name val="Arial"/>
      <family val="2"/>
    </font>
    <font>
      <sz val="12"/>
      <name val="Tahoma"/>
      <family val="2"/>
    </font>
    <font>
      <sz val="10"/>
      <name val="Tahoma"/>
      <family val="2"/>
    </font>
    <font>
      <b/>
      <u/>
      <sz val="22"/>
      <name val="Calibri"/>
      <family val="2"/>
      <scheme val="minor"/>
    </font>
    <font>
      <b/>
      <sz val="28"/>
      <name val="Calibri"/>
      <family val="2"/>
      <scheme val="minor"/>
    </font>
    <font>
      <b/>
      <sz val="10"/>
      <color rgb="FFFF0000"/>
      <name val="Arial"/>
      <family val="2"/>
    </font>
    <font>
      <b/>
      <i/>
      <sz val="18"/>
      <name val="Arial"/>
      <family val="2"/>
    </font>
    <font>
      <sz val="11"/>
      <color rgb="FF0000CC"/>
      <name val="Arial"/>
      <family val="2"/>
    </font>
    <font>
      <sz val="10"/>
      <color rgb="FF0000CC"/>
      <name val="Arial"/>
      <family val="2"/>
    </font>
    <font>
      <sz val="10"/>
      <color rgb="FFC00000"/>
      <name val="Arial"/>
      <family val="2"/>
    </font>
    <font>
      <b/>
      <i/>
      <sz val="14"/>
      <name val="Arial"/>
      <family val="2"/>
    </font>
    <font>
      <b/>
      <sz val="12"/>
      <color rgb="FF000000"/>
      <name val="Arial"/>
      <family val="2"/>
    </font>
    <font>
      <b/>
      <sz val="11"/>
      <color rgb="FF000000"/>
      <name val="Arial"/>
      <family val="2"/>
    </font>
    <font>
      <sz val="12"/>
      <color rgb="FF000099"/>
      <name val="Arial"/>
      <family val="2"/>
    </font>
    <font>
      <b/>
      <sz val="24"/>
      <name val="Arial"/>
      <family val="2"/>
    </font>
    <font>
      <sz val="9"/>
      <color theme="0" tint="-0.499984740745262"/>
      <name val="Arial"/>
      <family val="2"/>
    </font>
    <font>
      <b/>
      <sz val="15"/>
      <color rgb="FFFF0000"/>
      <name val="Arial"/>
      <family val="2"/>
    </font>
    <font>
      <b/>
      <i/>
      <u/>
      <sz val="12"/>
      <name val="Arial"/>
      <family val="2"/>
    </font>
    <font>
      <b/>
      <sz val="15"/>
      <color rgb="FFC00000"/>
      <name val="Arial"/>
      <family val="2"/>
    </font>
    <font>
      <sz val="9"/>
      <color indexed="81"/>
      <name val="Tahoma"/>
      <family val="2"/>
    </font>
    <font>
      <b/>
      <sz val="16"/>
      <color rgb="FFFF0000"/>
      <name val="Arial"/>
      <family val="2"/>
    </font>
    <font>
      <b/>
      <sz val="10"/>
      <color theme="0" tint="-0.499984740745262"/>
      <name val="Arial"/>
      <family val="2"/>
    </font>
    <font>
      <u/>
      <sz val="48"/>
      <name val="Arial"/>
      <family val="2"/>
    </font>
    <font>
      <b/>
      <sz val="12"/>
      <color rgb="FFC00000"/>
      <name val="Arial"/>
      <family val="2"/>
    </font>
    <font>
      <u/>
      <sz val="12"/>
      <color indexed="12"/>
      <name val="Arial"/>
      <family val="2"/>
    </font>
    <font>
      <b/>
      <sz val="18"/>
      <name val="Arial"/>
      <family val="2"/>
    </font>
    <font>
      <b/>
      <sz val="12"/>
      <color rgb="FFFF0000"/>
      <name val="Arial"/>
      <family val="2"/>
    </font>
    <font>
      <strike/>
      <sz val="12"/>
      <name val="Arial"/>
      <family val="2"/>
    </font>
    <font>
      <b/>
      <sz val="26"/>
      <name val="Calibri"/>
      <family val="2"/>
      <scheme val="minor"/>
    </font>
    <font>
      <b/>
      <sz val="14"/>
      <color rgb="FFFF0000"/>
      <name val="Arial"/>
      <family val="2"/>
    </font>
    <font>
      <b/>
      <sz val="20"/>
      <color rgb="FF3333FF"/>
      <name val="Arial"/>
      <family val="2"/>
    </font>
    <font>
      <b/>
      <sz val="14"/>
      <name val="Calibri"/>
      <family val="2"/>
    </font>
    <font>
      <i/>
      <sz val="12"/>
      <name val="Arial"/>
      <family val="2"/>
    </font>
    <font>
      <sz val="10"/>
      <color rgb="FFFF0000"/>
      <name val="Arial"/>
      <family val="2"/>
    </font>
    <font>
      <sz val="12"/>
      <color rgb="FFC00000"/>
      <name val="Arial"/>
      <family val="2"/>
    </font>
  </fonts>
  <fills count="13">
    <fill>
      <patternFill patternType="none"/>
    </fill>
    <fill>
      <patternFill patternType="gray125"/>
    </fill>
    <fill>
      <patternFill patternType="solid">
        <fgColor indexed="41"/>
        <bgColor indexed="64"/>
      </patternFill>
    </fill>
    <fill>
      <patternFill patternType="solid">
        <fgColor indexed="42"/>
        <bgColor indexed="64"/>
      </patternFill>
    </fill>
    <fill>
      <patternFill patternType="solid">
        <fgColor indexed="26"/>
        <bgColor indexed="64"/>
      </patternFill>
    </fill>
    <fill>
      <patternFill patternType="solid">
        <fgColor indexed="47"/>
        <bgColor indexed="64"/>
      </patternFill>
    </fill>
    <fill>
      <patternFill patternType="solid">
        <fgColor rgb="FFFFFFCC"/>
        <bgColor indexed="64"/>
      </patternFill>
    </fill>
    <fill>
      <patternFill patternType="solid">
        <fgColor theme="9" tint="0.79998168889431442"/>
        <bgColor indexed="64"/>
      </patternFill>
    </fill>
    <fill>
      <patternFill patternType="solid">
        <fgColor theme="0"/>
        <bgColor indexed="64"/>
      </patternFill>
    </fill>
    <fill>
      <patternFill patternType="solid">
        <fgColor rgb="FFCCFFCC"/>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rgb="FFCCECFF"/>
        <bgColor indexed="64"/>
      </patternFill>
    </fill>
  </fills>
  <borders count="110">
    <border>
      <left/>
      <right/>
      <top/>
      <bottom/>
      <diagonal/>
    </border>
    <border>
      <left style="double">
        <color indexed="64"/>
      </left>
      <right style="double">
        <color indexed="64"/>
      </right>
      <top style="double">
        <color indexed="64"/>
      </top>
      <bottom style="double">
        <color indexed="64"/>
      </bottom>
      <diagonal/>
    </border>
    <border>
      <left/>
      <right/>
      <top/>
      <bottom style="double">
        <color indexed="64"/>
      </bottom>
      <diagonal/>
    </border>
    <border>
      <left/>
      <right style="double">
        <color indexed="64"/>
      </right>
      <top/>
      <bottom/>
      <diagonal/>
    </border>
    <border>
      <left style="double">
        <color indexed="64"/>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double">
        <color indexed="64"/>
      </left>
      <right/>
      <top/>
      <bottom style="double">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double">
        <color indexed="64"/>
      </left>
      <right style="thin">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double">
        <color indexed="64"/>
      </left>
      <right style="double">
        <color indexed="64"/>
      </right>
      <top style="double">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double">
        <color indexed="64"/>
      </left>
      <right style="double">
        <color indexed="64"/>
      </right>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right style="double">
        <color indexed="64"/>
      </right>
      <top/>
      <bottom style="double">
        <color indexed="64"/>
      </bottom>
      <diagonal/>
    </border>
    <border>
      <left style="double">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double">
        <color indexed="64"/>
      </right>
      <top style="thin">
        <color indexed="64"/>
      </top>
      <bottom style="thin">
        <color indexed="64"/>
      </bottom>
      <diagonal/>
    </border>
    <border>
      <left style="double">
        <color indexed="64"/>
      </left>
      <right/>
      <top/>
      <bottom/>
      <diagonal/>
    </border>
    <border>
      <left style="thin">
        <color indexed="64"/>
      </left>
      <right style="double">
        <color indexed="64"/>
      </right>
      <top/>
      <bottom style="thin">
        <color indexed="64"/>
      </bottom>
      <diagonal/>
    </border>
    <border>
      <left/>
      <right style="double">
        <color indexed="64"/>
      </right>
      <top style="double">
        <color indexed="64"/>
      </top>
      <bottom style="thin">
        <color indexed="64"/>
      </bottom>
      <diagonal/>
    </border>
    <border>
      <left/>
      <right style="double">
        <color indexed="64"/>
      </right>
      <top style="double">
        <color indexed="64"/>
      </top>
      <bottom/>
      <diagonal/>
    </border>
    <border>
      <left/>
      <right/>
      <top/>
      <bottom style="medium">
        <color indexed="64"/>
      </bottom>
      <diagonal/>
    </border>
    <border>
      <left/>
      <right style="thick">
        <color indexed="64"/>
      </right>
      <top/>
      <bottom style="medium">
        <color indexed="64"/>
      </bottom>
      <diagonal/>
    </border>
    <border>
      <left style="thick">
        <color indexed="64"/>
      </left>
      <right/>
      <top/>
      <bottom style="medium">
        <color indexed="64"/>
      </bottom>
      <diagonal/>
    </border>
    <border>
      <left/>
      <right/>
      <top style="thick">
        <color indexed="64"/>
      </top>
      <bottom style="thick">
        <color indexed="64"/>
      </bottom>
      <diagonal/>
    </border>
    <border>
      <left/>
      <right/>
      <top style="medium">
        <color indexed="64"/>
      </top>
      <bottom/>
      <diagonal/>
    </border>
    <border>
      <left/>
      <right/>
      <top style="medium">
        <color indexed="64"/>
      </top>
      <bottom style="thick">
        <color indexed="64"/>
      </bottom>
      <diagonal/>
    </border>
    <border>
      <left style="medium">
        <color indexed="64"/>
      </left>
      <right style="double">
        <color indexed="64"/>
      </right>
      <top style="medium">
        <color indexed="64"/>
      </top>
      <bottom/>
      <diagonal/>
    </border>
    <border>
      <left style="medium">
        <color indexed="64"/>
      </left>
      <right style="double">
        <color indexed="64"/>
      </right>
      <top/>
      <bottom style="double">
        <color indexed="64"/>
      </bottom>
      <diagonal/>
    </border>
    <border>
      <left style="double">
        <color indexed="64"/>
      </left>
      <right/>
      <top style="double">
        <color indexed="64"/>
      </top>
      <bottom style="thin">
        <color indexed="64"/>
      </bottom>
      <diagonal/>
    </border>
    <border>
      <left style="double">
        <color indexed="64"/>
      </left>
      <right/>
      <top style="thin">
        <color indexed="64"/>
      </top>
      <bottom style="thin">
        <color indexed="64"/>
      </bottom>
      <diagonal/>
    </border>
    <border>
      <left style="double">
        <color indexed="64"/>
      </left>
      <right/>
      <top style="thin">
        <color indexed="64"/>
      </top>
      <bottom style="double">
        <color indexed="64"/>
      </bottom>
      <diagonal/>
    </border>
    <border>
      <left/>
      <right style="double">
        <color indexed="64"/>
      </right>
      <top style="thin">
        <color indexed="64"/>
      </top>
      <bottom style="double">
        <color indexed="64"/>
      </bottom>
      <diagonal/>
    </border>
    <border>
      <left style="thin">
        <color indexed="64"/>
      </left>
      <right/>
      <top style="double">
        <color indexed="64"/>
      </top>
      <bottom/>
      <diagonal/>
    </border>
    <border>
      <left/>
      <right/>
      <top style="double">
        <color indexed="64"/>
      </top>
      <bottom/>
      <diagonal/>
    </border>
    <border>
      <left style="thin">
        <color indexed="64"/>
      </left>
      <right style="double">
        <color indexed="64"/>
      </right>
      <top style="double">
        <color indexed="64"/>
      </top>
      <bottom/>
      <diagonal/>
    </border>
    <border>
      <left style="thin">
        <color indexed="64"/>
      </left>
      <right style="double">
        <color indexed="64"/>
      </right>
      <top/>
      <bottom/>
      <diagonal/>
    </border>
    <border>
      <left style="double">
        <color indexed="64"/>
      </left>
      <right style="thin">
        <color indexed="64"/>
      </right>
      <top style="double">
        <color indexed="64"/>
      </top>
      <bottom/>
      <diagonal/>
    </border>
    <border>
      <left/>
      <right style="thin">
        <color indexed="64"/>
      </right>
      <top style="double">
        <color indexed="64"/>
      </top>
      <bottom/>
      <diagonal/>
    </border>
    <border>
      <left style="double">
        <color indexed="64"/>
      </left>
      <right style="thin">
        <color indexed="64"/>
      </right>
      <top/>
      <bottom/>
      <diagonal/>
    </border>
    <border>
      <left style="double">
        <color indexed="64"/>
      </left>
      <right style="thin">
        <color indexed="64"/>
      </right>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style="double">
        <color indexed="64"/>
      </right>
      <top/>
      <bottom style="double">
        <color indexed="64"/>
      </bottom>
      <diagonal/>
    </border>
    <border>
      <left style="double">
        <color indexed="64"/>
      </left>
      <right style="double">
        <color indexed="64"/>
      </right>
      <top style="double">
        <color indexed="64"/>
      </top>
      <bottom style="thin">
        <color indexed="64"/>
      </bottom>
      <diagonal/>
    </border>
    <border>
      <left style="double">
        <color indexed="64"/>
      </left>
      <right style="double">
        <color indexed="64"/>
      </right>
      <top style="thin">
        <color indexed="64"/>
      </top>
      <bottom style="thin">
        <color indexed="64"/>
      </bottom>
      <diagonal/>
    </border>
    <border>
      <left style="double">
        <color indexed="64"/>
      </left>
      <right style="double">
        <color indexed="64"/>
      </right>
      <top style="thin">
        <color indexed="64"/>
      </top>
      <bottom style="double">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double">
        <color indexed="64"/>
      </right>
      <top style="thin">
        <color indexed="64"/>
      </top>
      <bottom/>
      <diagonal/>
    </border>
    <border>
      <left style="double">
        <color indexed="64"/>
      </left>
      <right style="thin">
        <color indexed="64"/>
      </right>
      <top style="double">
        <color indexed="64"/>
      </top>
      <bottom style="hair">
        <color indexed="64"/>
      </bottom>
      <diagonal/>
    </border>
    <border>
      <left style="double">
        <color indexed="64"/>
      </left>
      <right style="thin">
        <color indexed="64"/>
      </right>
      <top style="hair">
        <color indexed="64"/>
      </top>
      <bottom style="hair">
        <color indexed="64"/>
      </bottom>
      <diagonal/>
    </border>
    <border>
      <left style="double">
        <color indexed="64"/>
      </left>
      <right style="thin">
        <color indexed="64"/>
      </right>
      <top style="hair">
        <color indexed="64"/>
      </top>
      <bottom style="thin">
        <color indexed="64"/>
      </bottom>
      <diagonal/>
    </border>
    <border>
      <left/>
      <right style="double">
        <color indexed="64"/>
      </right>
      <top/>
      <bottom style="medium">
        <color indexed="64"/>
      </bottom>
      <diagonal/>
    </border>
    <border>
      <left/>
      <right style="double">
        <color indexed="64"/>
      </right>
      <top/>
      <bottom style="thin">
        <color indexed="64"/>
      </bottom>
      <diagonal/>
    </border>
    <border>
      <left style="thin">
        <color indexed="64"/>
      </left>
      <right style="thin">
        <color indexed="64"/>
      </right>
      <top style="thin">
        <color indexed="64"/>
      </top>
      <bottom style="dotted">
        <color indexed="64"/>
      </bottom>
      <diagonal/>
    </border>
    <border>
      <left/>
      <right/>
      <top style="thin">
        <color indexed="64"/>
      </top>
      <bottom style="dotted">
        <color indexed="64"/>
      </bottom>
      <diagonal/>
    </border>
    <border>
      <left/>
      <right style="double">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right/>
      <top style="dotted">
        <color indexed="64"/>
      </top>
      <bottom style="dotted">
        <color indexed="64"/>
      </bottom>
      <diagonal/>
    </border>
    <border>
      <left/>
      <right style="double">
        <color indexed="64"/>
      </right>
      <top style="dotted">
        <color indexed="64"/>
      </top>
      <bottom style="dotted">
        <color indexed="64"/>
      </bottom>
      <diagonal/>
    </border>
    <border>
      <left style="double">
        <color indexed="64"/>
      </left>
      <right style="thin">
        <color indexed="64"/>
      </right>
      <top style="thin">
        <color indexed="64"/>
      </top>
      <bottom style="dotted">
        <color indexed="64"/>
      </bottom>
      <diagonal/>
    </border>
    <border>
      <left style="double">
        <color indexed="64"/>
      </left>
      <right style="thin">
        <color indexed="64"/>
      </right>
      <top style="dotted">
        <color indexed="64"/>
      </top>
      <bottom style="hair">
        <color indexed="64"/>
      </bottom>
      <diagonal/>
    </border>
    <border>
      <left style="thin">
        <color indexed="64"/>
      </left>
      <right style="thin">
        <color indexed="64"/>
      </right>
      <top style="dotted">
        <color indexed="64"/>
      </top>
      <bottom style="thin">
        <color indexed="64"/>
      </bottom>
      <diagonal/>
    </border>
    <border>
      <left/>
      <right/>
      <top style="dotted">
        <color indexed="64"/>
      </top>
      <bottom style="thin">
        <color indexed="64"/>
      </bottom>
      <diagonal/>
    </border>
    <border>
      <left/>
      <right style="double">
        <color indexed="64"/>
      </right>
      <top style="dotted">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4">
    <xf numFmtId="0" fontId="0" fillId="0" borderId="0"/>
    <xf numFmtId="43" fontId="1" fillId="0" borderId="0" applyFont="0" applyFill="0" applyBorder="0" applyAlignment="0" applyProtection="0"/>
    <xf numFmtId="0" fontId="5" fillId="0" borderId="0" applyNumberFormat="0" applyFill="0" applyBorder="0" applyAlignment="0" applyProtection="0">
      <alignment vertical="top"/>
      <protection locked="0"/>
    </xf>
    <xf numFmtId="9" fontId="1" fillId="0" borderId="0" applyFont="0" applyFill="0" applyBorder="0" applyAlignment="0" applyProtection="0"/>
  </cellStyleXfs>
  <cellXfs count="944">
    <xf numFmtId="0" fontId="0" fillId="0" borderId="0" xfId="0"/>
    <xf numFmtId="49" fontId="0" fillId="0" borderId="0" xfId="0" applyNumberFormat="1" applyAlignment="1">
      <alignment vertical="top"/>
    </xf>
    <xf numFmtId="0" fontId="0" fillId="0" borderId="0" xfId="0" applyAlignment="1">
      <alignment vertical="top"/>
    </xf>
    <xf numFmtId="0" fontId="9" fillId="0" borderId="0" xfId="0" applyFont="1" applyAlignment="1">
      <alignment horizontal="center"/>
    </xf>
    <xf numFmtId="0" fontId="11" fillId="0" borderId="0" xfId="0" applyFont="1"/>
    <xf numFmtId="49" fontId="11" fillId="0" borderId="0" xfId="0" applyNumberFormat="1" applyFont="1" applyAlignment="1">
      <alignment vertical="top"/>
    </xf>
    <xf numFmtId="0" fontId="11" fillId="0" borderId="0" xfId="0" applyFont="1" applyAlignment="1">
      <alignment wrapText="1"/>
    </xf>
    <xf numFmtId="0" fontId="14" fillId="0" borderId="0" xfId="0" applyFont="1"/>
    <xf numFmtId="0" fontId="4" fillId="2" borderId="1" xfId="0" applyFont="1" applyFill="1" applyBorder="1" applyAlignment="1">
      <alignment horizontal="right" vertical="center" indent="2"/>
    </xf>
    <xf numFmtId="166" fontId="4" fillId="2" borderId="1" xfId="1" applyNumberFormat="1" applyFont="1" applyFill="1" applyBorder="1" applyAlignment="1">
      <alignment horizontal="left" vertical="center"/>
    </xf>
    <xf numFmtId="0" fontId="0" fillId="0" borderId="0" xfId="0" applyAlignment="1">
      <alignment vertical="top" wrapText="1"/>
    </xf>
    <xf numFmtId="0" fontId="0" fillId="0" borderId="0" xfId="0" applyAlignment="1">
      <alignment wrapText="1"/>
    </xf>
    <xf numFmtId="0" fontId="0" fillId="0" borderId="0" xfId="0" applyAlignment="1">
      <alignment horizontal="center" wrapText="1"/>
    </xf>
    <xf numFmtId="0" fontId="8" fillId="0" borderId="0" xfId="0" applyFont="1" applyAlignment="1">
      <alignment horizontal="left"/>
    </xf>
    <xf numFmtId="0" fontId="4" fillId="3" borderId="1" xfId="0" applyFont="1" applyFill="1" applyBorder="1" applyAlignment="1">
      <alignment horizontal="left" vertical="center" wrapText="1" indent="3"/>
    </xf>
    <xf numFmtId="10" fontId="4" fillId="3" borderId="13" xfId="0" applyNumberFormat="1" applyFont="1" applyFill="1" applyBorder="1" applyAlignment="1">
      <alignment vertical="center" wrapText="1"/>
    </xf>
    <xf numFmtId="0" fontId="17" fillId="0" borderId="0" xfId="0" applyFont="1" applyAlignment="1">
      <alignment horizontal="left" vertical="center" indent="1"/>
    </xf>
    <xf numFmtId="0" fontId="19" fillId="0" borderId="0" xfId="0" applyFont="1" applyAlignment="1">
      <alignment horizontal="left" vertical="center" indent="1"/>
    </xf>
    <xf numFmtId="10" fontId="3" fillId="3" borderId="11" xfId="0" applyNumberFormat="1" applyFont="1" applyFill="1" applyBorder="1" applyAlignment="1">
      <alignment horizontal="right" vertical="center" wrapText="1"/>
    </xf>
    <xf numFmtId="0" fontId="14" fillId="3" borderId="1" xfId="0" applyFont="1" applyFill="1" applyBorder="1" applyAlignment="1">
      <alignment horizontal="center" vertical="center"/>
    </xf>
    <xf numFmtId="166" fontId="14" fillId="3" borderId="1" xfId="1" applyNumberFormat="1" applyFont="1" applyFill="1" applyBorder="1" applyAlignment="1">
      <alignment horizontal="left" vertical="center"/>
    </xf>
    <xf numFmtId="0" fontId="14" fillId="3" borderId="1" xfId="0" applyFont="1" applyFill="1" applyBorder="1" applyAlignment="1">
      <alignment horizontal="right" vertical="center" indent="2"/>
    </xf>
    <xf numFmtId="0" fontId="3" fillId="0" borderId="0" xfId="0" applyFont="1" applyAlignment="1">
      <alignment horizontal="left"/>
    </xf>
    <xf numFmtId="0" fontId="3" fillId="0" borderId="0" xfId="0" applyFont="1" applyAlignment="1">
      <alignment horizontal="center"/>
    </xf>
    <xf numFmtId="3" fontId="4" fillId="3" borderId="1" xfId="0" applyNumberFormat="1" applyFont="1" applyFill="1" applyBorder="1" applyAlignment="1">
      <alignment horizontal="right" vertical="center" wrapText="1" indent="1"/>
    </xf>
    <xf numFmtId="1" fontId="4" fillId="3" borderId="11" xfId="0" applyNumberFormat="1" applyFont="1" applyFill="1" applyBorder="1" applyAlignment="1">
      <alignment horizontal="center" vertical="center"/>
    </xf>
    <xf numFmtId="0" fontId="4" fillId="3" borderId="11" xfId="0" applyFont="1" applyFill="1" applyBorder="1" applyAlignment="1">
      <alignment horizontal="left" vertical="center" indent="1"/>
    </xf>
    <xf numFmtId="0" fontId="14" fillId="3" borderId="1" xfId="0" applyFont="1" applyFill="1" applyBorder="1" applyAlignment="1">
      <alignment horizontal="left" vertical="center" wrapText="1" indent="3"/>
    </xf>
    <xf numFmtId="3" fontId="14" fillId="3" borderId="1" xfId="0" applyNumberFormat="1" applyFont="1" applyFill="1" applyBorder="1" applyAlignment="1">
      <alignment horizontal="right" vertical="center" wrapText="1" indent="1"/>
    </xf>
    <xf numFmtId="168" fontId="14" fillId="3" borderId="11" xfId="3" applyNumberFormat="1" applyFont="1" applyFill="1" applyBorder="1" applyAlignment="1">
      <alignment horizontal="right" vertical="center" indent="2"/>
    </xf>
    <xf numFmtId="168" fontId="14" fillId="3" borderId="1" xfId="3" applyNumberFormat="1" applyFont="1" applyFill="1" applyBorder="1" applyAlignment="1">
      <alignment horizontal="right" vertical="center" indent="1"/>
    </xf>
    <xf numFmtId="4" fontId="11" fillId="0" borderId="0" xfId="1" applyNumberFormat="1" applyFont="1" applyAlignment="1">
      <alignment horizontal="left"/>
    </xf>
    <xf numFmtId="0" fontId="16" fillId="0" borderId="0" xfId="0" applyFont="1" applyAlignment="1">
      <alignment horizontal="left" wrapText="1"/>
    </xf>
    <xf numFmtId="0" fontId="0" fillId="0" borderId="0" xfId="0" applyAlignment="1">
      <alignment horizontal="center"/>
    </xf>
    <xf numFmtId="0" fontId="16" fillId="0" borderId="0" xfId="0" applyFont="1" applyAlignment="1">
      <alignment wrapText="1"/>
    </xf>
    <xf numFmtId="0" fontId="0" fillId="0" borderId="28" xfId="0" applyBorder="1"/>
    <xf numFmtId="0" fontId="0" fillId="0" borderId="30" xfId="0" applyBorder="1"/>
    <xf numFmtId="0" fontId="11" fillId="0" borderId="28" xfId="0" applyFont="1" applyBorder="1"/>
    <xf numFmtId="0" fontId="11" fillId="0" borderId="30" xfId="0" applyFont="1" applyBorder="1"/>
    <xf numFmtId="0" fontId="4" fillId="0" borderId="28" xfId="0" applyFont="1" applyBorder="1"/>
    <xf numFmtId="0" fontId="0" fillId="0" borderId="28" xfId="0" applyBorder="1" applyAlignment="1">
      <alignment horizontal="center"/>
    </xf>
    <xf numFmtId="10" fontId="2" fillId="0" borderId="0" xfId="0" applyNumberFormat="1" applyFont="1" applyAlignment="1">
      <alignment horizontal="center"/>
    </xf>
    <xf numFmtId="168" fontId="11" fillId="0" borderId="0" xfId="3" applyNumberFormat="1" applyFont="1" applyAlignment="1">
      <alignment horizontal="right"/>
    </xf>
    <xf numFmtId="0" fontId="14" fillId="3" borderId="1" xfId="0" applyFont="1" applyFill="1" applyBorder="1" applyAlignment="1">
      <alignment horizontal="left" vertical="center" wrapText="1" indent="1"/>
    </xf>
    <xf numFmtId="0" fontId="4" fillId="3" borderId="1" xfId="0" applyFont="1" applyFill="1" applyBorder="1" applyAlignment="1">
      <alignment horizontal="center" vertical="center" wrapText="1"/>
    </xf>
    <xf numFmtId="0" fontId="11" fillId="3" borderId="1" xfId="0" applyFont="1" applyFill="1" applyBorder="1" applyAlignment="1">
      <alignment horizontal="center" vertical="center" wrapText="1"/>
    </xf>
    <xf numFmtId="0" fontId="4" fillId="3" borderId="38" xfId="0" applyFont="1" applyFill="1" applyBorder="1" applyAlignment="1">
      <alignment horizontal="center" vertical="center" wrapText="1"/>
    </xf>
    <xf numFmtId="0" fontId="4" fillId="0" borderId="36" xfId="0" applyFont="1" applyBorder="1" applyAlignment="1">
      <alignment horizontal="left" vertical="center" indent="2"/>
    </xf>
    <xf numFmtId="166" fontId="4" fillId="0" borderId="5" xfId="1" applyNumberFormat="1" applyFont="1" applyBorder="1" applyAlignment="1">
      <alignment horizontal="left" vertical="center"/>
    </xf>
    <xf numFmtId="0" fontId="4" fillId="0" borderId="5" xfId="0" applyFont="1" applyBorder="1" applyAlignment="1">
      <alignment horizontal="right" vertical="center" indent="2"/>
    </xf>
    <xf numFmtId="166" fontId="4" fillId="0" borderId="51" xfId="1" applyNumberFormat="1" applyFont="1" applyBorder="1" applyAlignment="1">
      <alignment horizontal="left" vertical="center"/>
    </xf>
    <xf numFmtId="3" fontId="4" fillId="0" borderId="48" xfId="0" applyNumberFormat="1" applyFont="1" applyBorder="1" applyAlignment="1">
      <alignment horizontal="right" vertical="center" indent="2"/>
    </xf>
    <xf numFmtId="0" fontId="0" fillId="0" borderId="0" xfId="0" applyAlignment="1">
      <alignment vertical="center"/>
    </xf>
    <xf numFmtId="0" fontId="14" fillId="0" borderId="0" xfId="0" applyFont="1" applyAlignment="1">
      <alignment horizontal="center" vertical="center"/>
    </xf>
    <xf numFmtId="0" fontId="24" fillId="0" borderId="0" xfId="0" applyFont="1" applyAlignment="1">
      <alignment horizontal="center" vertical="center"/>
    </xf>
    <xf numFmtId="49" fontId="11" fillId="0" borderId="28" xfId="0" applyNumberFormat="1" applyFont="1" applyBorder="1" applyAlignment="1">
      <alignment vertical="top"/>
    </xf>
    <xf numFmtId="49" fontId="11" fillId="0" borderId="61" xfId="0" applyNumberFormat="1" applyFont="1" applyBorder="1" applyAlignment="1">
      <alignment vertical="top"/>
    </xf>
    <xf numFmtId="0" fontId="11" fillId="0" borderId="61" xfId="0" applyFont="1" applyBorder="1"/>
    <xf numFmtId="49" fontId="11" fillId="0" borderId="62" xfId="0" applyNumberFormat="1" applyFont="1" applyBorder="1" applyAlignment="1">
      <alignment vertical="top"/>
    </xf>
    <xf numFmtId="0" fontId="11" fillId="0" borderId="62" xfId="0" applyFont="1" applyBorder="1"/>
    <xf numFmtId="0" fontId="0" fillId="0" borderId="62" xfId="0" applyBorder="1"/>
    <xf numFmtId="0" fontId="11" fillId="0" borderId="62" xfId="0" applyFont="1" applyBorder="1" applyAlignment="1">
      <alignment horizontal="left" indent="2"/>
    </xf>
    <xf numFmtId="0" fontId="4" fillId="0" borderId="0" xfId="0" applyFont="1" applyAlignment="1">
      <alignment horizontal="left"/>
    </xf>
    <xf numFmtId="0" fontId="1" fillId="0" borderId="0" xfId="0" applyFont="1"/>
    <xf numFmtId="0" fontId="4" fillId="0" borderId="0" xfId="0" applyFont="1"/>
    <xf numFmtId="168" fontId="4" fillId="2" borderId="49" xfId="3" applyNumberFormat="1" applyFont="1" applyFill="1" applyBorder="1" applyAlignment="1">
      <alignment horizontal="center" vertical="center"/>
    </xf>
    <xf numFmtId="168" fontId="4" fillId="3" borderId="49" xfId="0" applyNumberFormat="1" applyFont="1" applyFill="1" applyBorder="1" applyAlignment="1">
      <alignment horizontal="center" vertical="center"/>
    </xf>
    <xf numFmtId="165" fontId="0" fillId="0" borderId="0" xfId="1" applyNumberFormat="1" applyFont="1"/>
    <xf numFmtId="1" fontId="11" fillId="3" borderId="1" xfId="0" applyNumberFormat="1" applyFont="1" applyFill="1" applyBorder="1" applyAlignment="1">
      <alignment horizontal="right" vertical="center" indent="2"/>
    </xf>
    <xf numFmtId="168" fontId="4" fillId="0" borderId="46" xfId="0" applyNumberFormat="1" applyFont="1" applyBorder="1" applyAlignment="1">
      <alignment horizontal="center" vertical="center"/>
    </xf>
    <xf numFmtId="168" fontId="4" fillId="2" borderId="1" xfId="0" applyNumberFormat="1" applyFont="1" applyFill="1" applyBorder="1" applyAlignment="1">
      <alignment horizontal="center" vertical="center"/>
    </xf>
    <xf numFmtId="168" fontId="4" fillId="0" borderId="48" xfId="3" applyNumberFormat="1" applyFont="1" applyBorder="1" applyAlignment="1">
      <alignment horizontal="center" vertical="center"/>
    </xf>
    <xf numFmtId="168" fontId="14" fillId="3" borderId="1" xfId="0" applyNumberFormat="1" applyFont="1" applyFill="1" applyBorder="1" applyAlignment="1">
      <alignment horizontal="center" vertical="center"/>
    </xf>
    <xf numFmtId="167" fontId="4" fillId="2" borderId="11" xfId="0" applyNumberFormat="1" applyFont="1" applyFill="1" applyBorder="1" applyAlignment="1">
      <alignment horizontal="right" vertical="center" indent="1"/>
    </xf>
    <xf numFmtId="167" fontId="4" fillId="0" borderId="52" xfId="1" applyNumberFormat="1" applyFont="1" applyBorder="1" applyAlignment="1">
      <alignment horizontal="right" vertical="center" indent="1"/>
    </xf>
    <xf numFmtId="167" fontId="14" fillId="3" borderId="11" xfId="1" applyNumberFormat="1" applyFont="1" applyFill="1" applyBorder="1" applyAlignment="1">
      <alignment horizontal="right" vertical="center" indent="1"/>
    </xf>
    <xf numFmtId="0" fontId="2" fillId="0" borderId="0" xfId="0" applyFont="1" applyAlignment="1">
      <alignment horizontal="center" wrapText="1"/>
    </xf>
    <xf numFmtId="0" fontId="4" fillId="0" borderId="35" xfId="0" applyFont="1" applyBorder="1" applyAlignment="1">
      <alignment horizontal="left" vertical="center" indent="2"/>
    </xf>
    <xf numFmtId="0" fontId="4" fillId="0" borderId="1" xfId="0" applyFont="1" applyBorder="1" applyAlignment="1">
      <alignment horizontal="left" vertical="center" indent="2"/>
    </xf>
    <xf numFmtId="167" fontId="4" fillId="3" borderId="1" xfId="0" applyNumberFormat="1" applyFont="1" applyFill="1" applyBorder="1" applyAlignment="1">
      <alignment horizontal="right" vertical="center" wrapText="1" indent="2"/>
    </xf>
    <xf numFmtId="167" fontId="11" fillId="3" borderId="1" xfId="0" applyNumberFormat="1" applyFont="1" applyFill="1" applyBorder="1" applyAlignment="1">
      <alignment horizontal="right" indent="2"/>
    </xf>
    <xf numFmtId="169" fontId="11" fillId="0" borderId="0" xfId="1" applyNumberFormat="1" applyFont="1" applyAlignment="1">
      <alignment horizontal="right" indent="1"/>
    </xf>
    <xf numFmtId="0" fontId="4" fillId="3" borderId="1" xfId="0" applyFont="1" applyFill="1" applyBorder="1" applyAlignment="1">
      <alignment horizontal="right" vertical="center" wrapText="1" indent="2"/>
    </xf>
    <xf numFmtId="168" fontId="4" fillId="3" borderId="1" xfId="0" applyNumberFormat="1" applyFont="1" applyFill="1" applyBorder="1" applyAlignment="1">
      <alignment horizontal="right" vertical="center" wrapText="1" indent="1"/>
    </xf>
    <xf numFmtId="169" fontId="4" fillId="0" borderId="46" xfId="0" applyNumberFormat="1" applyFont="1" applyBorder="1" applyAlignment="1">
      <alignment horizontal="right" vertical="center" indent="1"/>
    </xf>
    <xf numFmtId="169" fontId="4" fillId="0" borderId="5" xfId="0" applyNumberFormat="1" applyFont="1" applyBorder="1" applyAlignment="1">
      <alignment horizontal="right" vertical="center" indent="1"/>
    </xf>
    <xf numFmtId="169" fontId="4" fillId="0" borderId="47" xfId="0" applyNumberFormat="1" applyFont="1" applyBorder="1" applyAlignment="1">
      <alignment horizontal="right" vertical="center" indent="1"/>
    </xf>
    <xf numFmtId="168" fontId="4" fillId="0" borderId="5" xfId="0" applyNumberFormat="1" applyFont="1" applyBorder="1" applyAlignment="1">
      <alignment horizontal="center" vertical="center"/>
    </xf>
    <xf numFmtId="168" fontId="4" fillId="0" borderId="47" xfId="0" applyNumberFormat="1" applyFont="1" applyBorder="1" applyAlignment="1">
      <alignment horizontal="center" vertical="center"/>
    </xf>
    <xf numFmtId="0" fontId="0" fillId="0" borderId="0" xfId="0" applyAlignment="1">
      <alignment horizontal="center" vertical="center"/>
    </xf>
    <xf numFmtId="3" fontId="11" fillId="3" borderId="1" xfId="0" applyNumberFormat="1" applyFont="1" applyFill="1" applyBorder="1" applyAlignment="1">
      <alignment horizontal="right" vertical="center" indent="1"/>
    </xf>
    <xf numFmtId="0" fontId="1" fillId="0" borderId="0" xfId="0" applyFont="1" applyAlignment="1">
      <alignment horizontal="right"/>
    </xf>
    <xf numFmtId="168" fontId="0" fillId="0" borderId="0" xfId="0" applyNumberFormat="1" applyAlignment="1">
      <alignment horizontal="left"/>
    </xf>
    <xf numFmtId="168" fontId="4" fillId="4" borderId="5" xfId="3" applyNumberFormat="1" applyFont="1" applyFill="1" applyBorder="1" applyAlignment="1">
      <alignment horizontal="center" vertical="center"/>
    </xf>
    <xf numFmtId="3" fontId="4" fillId="2" borderId="11" xfId="0" applyNumberFormat="1" applyFont="1" applyFill="1" applyBorder="1" applyAlignment="1">
      <alignment horizontal="right" vertical="center" indent="2"/>
    </xf>
    <xf numFmtId="0" fontId="4" fillId="0" borderId="52" xfId="0" applyFont="1" applyBorder="1" applyAlignment="1">
      <alignment horizontal="right" vertical="center" indent="2"/>
    </xf>
    <xf numFmtId="4" fontId="0" fillId="0" borderId="5" xfId="0" applyNumberFormat="1" applyBorder="1" applyAlignment="1">
      <alignment horizontal="right" indent="2"/>
    </xf>
    <xf numFmtId="2" fontId="34" fillId="0" borderId="0" xfId="0" applyNumberFormat="1" applyFont="1" applyAlignment="1">
      <alignment horizontal="right" indent="1"/>
    </xf>
    <xf numFmtId="4" fontId="0" fillId="0" borderId="43" xfId="0" applyNumberFormat="1" applyBorder="1" applyAlignment="1">
      <alignment horizontal="right" indent="2"/>
    </xf>
    <xf numFmtId="0" fontId="0" fillId="0" borderId="43" xfId="0" applyBorder="1"/>
    <xf numFmtId="0" fontId="35" fillId="0" borderId="0" xfId="0" applyFont="1"/>
    <xf numFmtId="0" fontId="36" fillId="0" borderId="0" xfId="0" applyFont="1" applyAlignment="1">
      <alignment wrapText="1"/>
    </xf>
    <xf numFmtId="168" fontId="35" fillId="0" borderId="0" xfId="0" applyNumberFormat="1" applyFont="1"/>
    <xf numFmtId="0" fontId="35" fillId="0" borderId="0" xfId="0" applyFont="1" applyAlignment="1">
      <alignment horizontal="center"/>
    </xf>
    <xf numFmtId="0" fontId="36" fillId="0" borderId="0" xfId="0" applyFont="1"/>
    <xf numFmtId="0" fontId="35" fillId="0" borderId="0" xfId="0" applyFont="1" applyAlignment="1">
      <alignment horizontal="center" wrapText="1"/>
    </xf>
    <xf numFmtId="0" fontId="37" fillId="0" borderId="0" xfId="0" applyFont="1" applyAlignment="1">
      <alignment horizontal="center" wrapText="1"/>
    </xf>
    <xf numFmtId="41" fontId="35" fillId="0" borderId="0" xfId="0" applyNumberFormat="1" applyFont="1"/>
    <xf numFmtId="3" fontId="35" fillId="0" borderId="0" xfId="0" applyNumberFormat="1" applyFont="1" applyAlignment="1">
      <alignment horizontal="center"/>
    </xf>
    <xf numFmtId="0" fontId="37" fillId="0" borderId="0" xfId="0" applyFont="1" applyAlignment="1">
      <alignment horizontal="center"/>
    </xf>
    <xf numFmtId="166" fontId="35" fillId="0" borderId="0" xfId="1" applyNumberFormat="1" applyFont="1"/>
    <xf numFmtId="0" fontId="35" fillId="0" borderId="0" xfId="0" applyFont="1" applyAlignment="1">
      <alignment vertical="center"/>
    </xf>
    <xf numFmtId="165" fontId="36" fillId="0" borderId="0" xfId="1" applyNumberFormat="1" applyFont="1" applyAlignment="1">
      <alignment vertical="center"/>
    </xf>
    <xf numFmtId="0" fontId="36" fillId="0" borderId="0" xfId="0" applyFont="1" applyAlignment="1">
      <alignment vertical="center"/>
    </xf>
    <xf numFmtId="43" fontId="35" fillId="0" borderId="0" xfId="1" applyFont="1"/>
    <xf numFmtId="0" fontId="39" fillId="0" borderId="0" xfId="0" applyFont="1"/>
    <xf numFmtId="0" fontId="38" fillId="0" borderId="0" xfId="0" applyFont="1" applyAlignment="1">
      <alignment horizontal="right" vertical="center"/>
    </xf>
    <xf numFmtId="0" fontId="38" fillId="0" borderId="0" xfId="0" applyFont="1" applyAlignment="1">
      <alignment vertical="center"/>
    </xf>
    <xf numFmtId="0" fontId="35" fillId="0" borderId="0" xfId="0" applyFont="1" applyAlignment="1">
      <alignment horizontal="right"/>
    </xf>
    <xf numFmtId="2" fontId="35" fillId="0" borderId="0" xfId="0" applyNumberFormat="1" applyFont="1"/>
    <xf numFmtId="165" fontId="35" fillId="0" borderId="0" xfId="1" applyNumberFormat="1" applyFont="1"/>
    <xf numFmtId="169" fontId="35" fillId="0" borderId="0" xfId="1" applyNumberFormat="1" applyFont="1" applyAlignment="1">
      <alignment horizontal="center"/>
    </xf>
    <xf numFmtId="43" fontId="35" fillId="0" borderId="0" xfId="1" applyFont="1" applyAlignment="1">
      <alignment horizontal="center"/>
    </xf>
    <xf numFmtId="0" fontId="35" fillId="0" borderId="0" xfId="0" applyFont="1" applyAlignment="1">
      <alignment horizontal="right" indent="1"/>
    </xf>
    <xf numFmtId="0" fontId="15" fillId="0" borderId="0" xfId="0" applyFont="1" applyAlignment="1">
      <alignment horizontal="left" vertical="center" indent="1"/>
    </xf>
    <xf numFmtId="0" fontId="0" fillId="0" borderId="0" xfId="0" applyAlignment="1">
      <alignment horizontal="left" vertical="center" indent="1"/>
    </xf>
    <xf numFmtId="0" fontId="40" fillId="0" borderId="0" xfId="0" applyFont="1"/>
    <xf numFmtId="3" fontId="24" fillId="0" borderId="0" xfId="0" applyNumberFormat="1" applyFont="1" applyAlignment="1">
      <alignment horizontal="center" vertical="center"/>
    </xf>
    <xf numFmtId="43" fontId="35" fillId="0" borderId="0" xfId="0" applyNumberFormat="1" applyFont="1"/>
    <xf numFmtId="1" fontId="35" fillId="0" borderId="0" xfId="1" applyNumberFormat="1" applyFont="1" applyAlignment="1">
      <alignment horizontal="right" indent="2"/>
    </xf>
    <xf numFmtId="0" fontId="4" fillId="2" borderId="1" xfId="0" applyFont="1" applyFill="1" applyBorder="1" applyAlignment="1">
      <alignment horizontal="left" vertical="center" indent="2"/>
    </xf>
    <xf numFmtId="167" fontId="11" fillId="0" borderId="21" xfId="0" applyNumberFormat="1" applyFont="1" applyBorder="1" applyAlignment="1">
      <alignment horizontal="right" vertical="center" indent="3"/>
    </xf>
    <xf numFmtId="167" fontId="11" fillId="0" borderId="49" xfId="0" applyNumberFormat="1" applyFont="1" applyBorder="1" applyAlignment="1">
      <alignment horizontal="right" vertical="center" indent="3"/>
    </xf>
    <xf numFmtId="0" fontId="15" fillId="0" borderId="0" xfId="0" applyFont="1"/>
    <xf numFmtId="0" fontId="14" fillId="3" borderId="38" xfId="0" applyFont="1" applyFill="1" applyBorder="1" applyAlignment="1">
      <alignment horizontal="left" vertical="center" wrapText="1" indent="1"/>
    </xf>
    <xf numFmtId="0" fontId="15" fillId="0" borderId="35" xfId="0" applyFont="1" applyBorder="1" applyAlignment="1">
      <alignment horizontal="left" vertical="center" wrapText="1" indent="1"/>
    </xf>
    <xf numFmtId="3" fontId="15" fillId="0" borderId="46" xfId="0" applyNumberFormat="1" applyFont="1" applyBorder="1" applyAlignment="1">
      <alignment horizontal="right" indent="1"/>
    </xf>
    <xf numFmtId="0" fontId="15" fillId="0" borderId="36" xfId="0" applyFont="1" applyBorder="1" applyAlignment="1">
      <alignment horizontal="left" vertical="center" wrapText="1" indent="1"/>
    </xf>
    <xf numFmtId="3" fontId="15" fillId="0" borderId="5" xfId="0" applyNumberFormat="1" applyFont="1" applyBorder="1" applyAlignment="1">
      <alignment horizontal="right" indent="1"/>
    </xf>
    <xf numFmtId="0" fontId="15" fillId="0" borderId="37" xfId="0" applyFont="1" applyBorder="1" applyAlignment="1">
      <alignment horizontal="left" vertical="center" wrapText="1" indent="1"/>
    </xf>
    <xf numFmtId="3" fontId="15" fillId="0" borderId="47" xfId="0" applyNumberFormat="1" applyFont="1" applyBorder="1" applyAlignment="1">
      <alignment horizontal="right" indent="1"/>
    </xf>
    <xf numFmtId="0" fontId="15" fillId="0" borderId="5" xfId="0" applyFont="1" applyBorder="1" applyAlignment="1">
      <alignment horizontal="right" vertical="center" wrapText="1" indent="2"/>
    </xf>
    <xf numFmtId="170" fontId="15" fillId="0" borderId="20" xfId="1" applyNumberFormat="1" applyFont="1" applyBorder="1" applyAlignment="1">
      <alignment horizontal="right" vertical="center" wrapText="1" indent="2"/>
    </xf>
    <xf numFmtId="170" fontId="15" fillId="0" borderId="21" xfId="1" applyNumberFormat="1" applyFont="1" applyBorder="1" applyAlignment="1">
      <alignment horizontal="right" vertical="center" wrapText="1" indent="2"/>
    </xf>
    <xf numFmtId="170" fontId="15" fillId="0" borderId="25" xfId="1" applyNumberFormat="1" applyFont="1" applyBorder="1" applyAlignment="1">
      <alignment horizontal="right" vertical="center" wrapText="1" indent="2"/>
    </xf>
    <xf numFmtId="10" fontId="15" fillId="0" borderId="17" xfId="0" applyNumberFormat="1" applyFont="1" applyBorder="1" applyAlignment="1">
      <alignment horizontal="right" vertical="center" wrapText="1"/>
    </xf>
    <xf numFmtId="169" fontId="15" fillId="0" borderId="18" xfId="1" applyNumberFormat="1" applyFont="1" applyBorder="1" applyAlignment="1">
      <alignment horizontal="center" vertical="center" wrapText="1"/>
    </xf>
    <xf numFmtId="10" fontId="15" fillId="0" borderId="19" xfId="0" applyNumberFormat="1" applyFont="1" applyBorder="1" applyAlignment="1">
      <alignment vertical="center" wrapText="1"/>
    </xf>
    <xf numFmtId="167" fontId="15" fillId="0" borderId="20" xfId="0" applyNumberFormat="1" applyFont="1" applyBorder="1" applyAlignment="1">
      <alignment horizontal="right" vertical="center" wrapText="1" indent="2"/>
    </xf>
    <xf numFmtId="10" fontId="15" fillId="0" borderId="14" xfId="0" applyNumberFormat="1" applyFont="1" applyBorder="1" applyAlignment="1">
      <alignment horizontal="right" vertical="center" wrapText="1"/>
    </xf>
    <xf numFmtId="169" fontId="15" fillId="0" borderId="15" xfId="1" applyNumberFormat="1" applyFont="1" applyBorder="1" applyAlignment="1">
      <alignment horizontal="center" vertical="center" wrapText="1"/>
    </xf>
    <xf numFmtId="10" fontId="15" fillId="0" borderId="16" xfId="0" applyNumberFormat="1" applyFont="1" applyBorder="1" applyAlignment="1">
      <alignment vertical="center" wrapText="1"/>
    </xf>
    <xf numFmtId="167" fontId="15" fillId="0" borderId="21" xfId="0" applyNumberFormat="1" applyFont="1" applyBorder="1" applyAlignment="1">
      <alignment horizontal="right" vertical="center" wrapText="1" indent="2"/>
    </xf>
    <xf numFmtId="10" fontId="15" fillId="0" borderId="22" xfId="0" applyNumberFormat="1" applyFont="1" applyBorder="1" applyAlignment="1">
      <alignment horizontal="right" vertical="center" wrapText="1"/>
    </xf>
    <xf numFmtId="169" fontId="15" fillId="0" borderId="23" xfId="1" applyNumberFormat="1" applyFont="1" applyBorder="1" applyAlignment="1">
      <alignment horizontal="center" vertical="center" wrapText="1"/>
    </xf>
    <xf numFmtId="10" fontId="15" fillId="0" borderId="24" xfId="0" applyNumberFormat="1" applyFont="1" applyBorder="1" applyAlignment="1">
      <alignment vertical="center" wrapText="1"/>
    </xf>
    <xf numFmtId="167" fontId="15" fillId="0" borderId="25" xfId="0" applyNumberFormat="1" applyFont="1" applyBorder="1" applyAlignment="1">
      <alignment horizontal="right" vertical="center" wrapText="1" indent="2"/>
    </xf>
    <xf numFmtId="0" fontId="15" fillId="0" borderId="35" xfId="0" applyFont="1" applyBorder="1" applyAlignment="1">
      <alignment horizontal="left" wrapText="1" indent="1"/>
    </xf>
    <xf numFmtId="168" fontId="15" fillId="0" borderId="44" xfId="0" applyNumberFormat="1" applyFont="1" applyBorder="1" applyAlignment="1">
      <alignment horizontal="right" indent="2"/>
    </xf>
    <xf numFmtId="1" fontId="15" fillId="0" borderId="44" xfId="0" applyNumberFormat="1" applyFont="1" applyBorder="1" applyAlignment="1">
      <alignment horizontal="center" vertical="center"/>
    </xf>
    <xf numFmtId="3" fontId="15" fillId="0" borderId="55" xfId="0" applyNumberFormat="1" applyFont="1" applyBorder="1" applyAlignment="1">
      <alignment horizontal="right" indent="2"/>
    </xf>
    <xf numFmtId="0" fontId="15" fillId="0" borderId="36" xfId="0" applyFont="1" applyBorder="1" applyAlignment="1">
      <alignment horizontal="left" wrapText="1" indent="1"/>
    </xf>
    <xf numFmtId="168" fontId="15" fillId="0" borderId="5" xfId="0" applyNumberFormat="1" applyFont="1" applyBorder="1" applyAlignment="1">
      <alignment horizontal="right" indent="2"/>
    </xf>
    <xf numFmtId="0" fontId="15" fillId="0" borderId="37" xfId="0" applyFont="1" applyBorder="1" applyAlignment="1">
      <alignment horizontal="left" wrapText="1" indent="1"/>
    </xf>
    <xf numFmtId="168" fontId="15" fillId="0" borderId="47" xfId="0" applyNumberFormat="1" applyFont="1" applyBorder="1" applyAlignment="1">
      <alignment horizontal="right" indent="2"/>
    </xf>
    <xf numFmtId="0" fontId="15" fillId="0" borderId="35" xfId="0" applyFont="1" applyBorder="1" applyAlignment="1">
      <alignment horizontal="left" vertical="center" indent="1"/>
    </xf>
    <xf numFmtId="167" fontId="15" fillId="0" borderId="44" xfId="0" applyNumberFormat="1" applyFont="1" applyBorder="1" applyAlignment="1">
      <alignment horizontal="right" vertical="center" indent="2"/>
    </xf>
    <xf numFmtId="167" fontId="15" fillId="0" borderId="39" xfId="0" applyNumberFormat="1" applyFont="1" applyBorder="1" applyAlignment="1">
      <alignment horizontal="right" vertical="center" indent="2"/>
    </xf>
    <xf numFmtId="167" fontId="15" fillId="0" borderId="40" xfId="0" applyNumberFormat="1" applyFont="1" applyBorder="1" applyAlignment="1">
      <alignment horizontal="right" vertical="center" indent="2"/>
    </xf>
    <xf numFmtId="167" fontId="15" fillId="0" borderId="55" xfId="0" applyNumberFormat="1" applyFont="1" applyBorder="1" applyAlignment="1">
      <alignment horizontal="right" vertical="center" indent="3"/>
    </xf>
    <xf numFmtId="0" fontId="15" fillId="0" borderId="36" xfId="0" applyFont="1" applyBorder="1" applyAlignment="1">
      <alignment horizontal="left" vertical="center" indent="1"/>
    </xf>
    <xf numFmtId="167" fontId="15" fillId="0" borderId="5" xfId="0" applyNumberFormat="1" applyFont="1" applyBorder="1" applyAlignment="1">
      <alignment horizontal="right" vertical="center" indent="2"/>
    </xf>
    <xf numFmtId="167" fontId="15" fillId="0" borderId="14" xfId="0" applyNumberFormat="1" applyFont="1" applyBorder="1" applyAlignment="1">
      <alignment horizontal="right" vertical="center" indent="2"/>
    </xf>
    <xf numFmtId="167" fontId="15" fillId="0" borderId="16" xfId="0" applyNumberFormat="1" applyFont="1" applyBorder="1" applyAlignment="1">
      <alignment horizontal="right" vertical="center" indent="2"/>
    </xf>
    <xf numFmtId="167" fontId="15" fillId="0" borderId="21" xfId="0" applyNumberFormat="1" applyFont="1" applyBorder="1" applyAlignment="1">
      <alignment horizontal="right" vertical="center" indent="3"/>
    </xf>
    <xf numFmtId="167" fontId="15" fillId="0" borderId="25" xfId="0" applyNumberFormat="1" applyFont="1" applyBorder="1" applyAlignment="1">
      <alignment horizontal="right" vertical="center" indent="3"/>
    </xf>
    <xf numFmtId="0" fontId="4" fillId="0" borderId="37" xfId="0" applyFont="1" applyBorder="1" applyAlignment="1">
      <alignment horizontal="left" vertical="center" indent="3"/>
    </xf>
    <xf numFmtId="167" fontId="4" fillId="0" borderId="47" xfId="0" applyNumberFormat="1" applyFont="1" applyBorder="1" applyAlignment="1">
      <alignment horizontal="right" vertical="center" indent="2"/>
    </xf>
    <xf numFmtId="0" fontId="4" fillId="0" borderId="22" xfId="0" applyFont="1" applyBorder="1" applyAlignment="1">
      <alignment vertical="center"/>
    </xf>
    <xf numFmtId="167" fontId="4" fillId="0" borderId="23" xfId="0" applyNumberFormat="1" applyFont="1" applyBorder="1" applyAlignment="1">
      <alignment horizontal="right" vertical="center" indent="2"/>
    </xf>
    <xf numFmtId="0" fontId="4" fillId="0" borderId="69" xfId="0" applyFont="1" applyBorder="1" applyAlignment="1">
      <alignment vertical="center"/>
    </xf>
    <xf numFmtId="0" fontId="12" fillId="7" borderId="0" xfId="0" applyFont="1" applyFill="1" applyAlignment="1">
      <alignment horizontal="center" vertical="center"/>
    </xf>
    <xf numFmtId="0" fontId="24" fillId="7" borderId="0" xfId="0" applyFont="1" applyFill="1" applyAlignment="1">
      <alignment horizontal="center" vertical="center"/>
    </xf>
    <xf numFmtId="0" fontId="0" fillId="7" borderId="0" xfId="0" applyFill="1"/>
    <xf numFmtId="0" fontId="4" fillId="7" borderId="0" xfId="0" applyFont="1" applyFill="1"/>
    <xf numFmtId="0" fontId="0" fillId="7" borderId="41" xfId="0" applyFill="1" applyBorder="1"/>
    <xf numFmtId="0" fontId="0" fillId="7" borderId="6" xfId="0" applyFill="1" applyBorder="1"/>
    <xf numFmtId="0" fontId="28" fillId="7" borderId="7" xfId="0" applyFont="1" applyFill="1" applyBorder="1"/>
    <xf numFmtId="0" fontId="0" fillId="7" borderId="7" xfId="0" applyFill="1" applyBorder="1"/>
    <xf numFmtId="0" fontId="0" fillId="7" borderId="8" xfId="0" applyFill="1" applyBorder="1"/>
    <xf numFmtId="0" fontId="0" fillId="7" borderId="9" xfId="0" applyFill="1" applyBorder="1"/>
    <xf numFmtId="0" fontId="0" fillId="7" borderId="10" xfId="0" applyFill="1" applyBorder="1"/>
    <xf numFmtId="169" fontId="0" fillId="7" borderId="10" xfId="0" applyNumberFormat="1" applyFill="1" applyBorder="1"/>
    <xf numFmtId="0" fontId="0" fillId="7" borderId="76" xfId="0" applyFill="1" applyBorder="1"/>
    <xf numFmtId="2" fontId="4" fillId="7" borderId="76" xfId="0" applyNumberFormat="1" applyFont="1" applyFill="1" applyBorder="1" applyAlignment="1">
      <alignment horizontal="right" vertical="center" indent="1"/>
    </xf>
    <xf numFmtId="0" fontId="11" fillId="7" borderId="0" xfId="0" applyFont="1" applyFill="1"/>
    <xf numFmtId="166" fontId="11" fillId="7" borderId="0" xfId="0" applyNumberFormat="1" applyFont="1" applyFill="1"/>
    <xf numFmtId="0" fontId="11" fillId="7" borderId="10" xfId="0" applyFont="1" applyFill="1" applyBorder="1"/>
    <xf numFmtId="0" fontId="0" fillId="7" borderId="39" xfId="0" applyFill="1" applyBorder="1"/>
    <xf numFmtId="0" fontId="11" fillId="7" borderId="41" xfId="0" applyFont="1" applyFill="1" applyBorder="1"/>
    <xf numFmtId="0" fontId="0" fillId="7" borderId="40" xfId="0" applyFill="1" applyBorder="1"/>
    <xf numFmtId="0" fontId="0" fillId="7" borderId="0" xfId="0" applyFill="1" applyAlignment="1">
      <alignment vertical="center"/>
    </xf>
    <xf numFmtId="0" fontId="27" fillId="0" borderId="0" xfId="0" applyFont="1" applyAlignment="1">
      <alignment horizontal="center"/>
    </xf>
    <xf numFmtId="0" fontId="12" fillId="7" borderId="0" xfId="0" applyFont="1" applyFill="1" applyAlignment="1">
      <alignment vertical="center"/>
    </xf>
    <xf numFmtId="1" fontId="35" fillId="0" borderId="0" xfId="1" applyNumberFormat="1" applyFont="1" applyAlignment="1">
      <alignment horizontal="right" indent="1"/>
    </xf>
    <xf numFmtId="1" fontId="4" fillId="0" borderId="0" xfId="0" applyNumberFormat="1" applyFont="1"/>
    <xf numFmtId="4" fontId="34" fillId="0" borderId="0" xfId="0" applyNumberFormat="1" applyFont="1" applyAlignment="1">
      <alignment horizontal="right"/>
    </xf>
    <xf numFmtId="2" fontId="35" fillId="0" borderId="0" xfId="0" applyNumberFormat="1" applyFont="1" applyAlignment="1">
      <alignment horizontal="right" indent="2"/>
    </xf>
    <xf numFmtId="1" fontId="35" fillId="0" borderId="0" xfId="0" applyNumberFormat="1" applyFont="1" applyAlignment="1">
      <alignment horizontal="right" indent="2"/>
    </xf>
    <xf numFmtId="0" fontId="35" fillId="0" borderId="0" xfId="0" applyFont="1" applyAlignment="1">
      <alignment horizontal="right" indent="2"/>
    </xf>
    <xf numFmtId="0" fontId="43" fillId="0" borderId="0" xfId="0" applyFont="1"/>
    <xf numFmtId="0" fontId="43" fillId="0" borderId="0" xfId="0" applyFont="1" applyAlignment="1">
      <alignment horizontal="left" indent="1"/>
    </xf>
    <xf numFmtId="10" fontId="43" fillId="0" borderId="0" xfId="3" applyNumberFormat="1" applyFont="1"/>
    <xf numFmtId="0" fontId="4" fillId="0" borderId="0" xfId="0" applyFont="1" applyAlignment="1">
      <alignment horizontal="left" vertical="center"/>
    </xf>
    <xf numFmtId="0" fontId="4" fillId="0" borderId="0" xfId="0" applyFont="1" applyAlignment="1">
      <alignment horizontal="justify"/>
    </xf>
    <xf numFmtId="0" fontId="12" fillId="7" borderId="0" xfId="0" applyFont="1" applyFill="1" applyAlignment="1">
      <alignment horizontal="right"/>
    </xf>
    <xf numFmtId="10" fontId="12" fillId="7" borderId="0" xfId="0" applyNumberFormat="1" applyFont="1" applyFill="1" applyAlignment="1">
      <alignment horizontal="center" vertical="center"/>
    </xf>
    <xf numFmtId="0" fontId="12" fillId="7" borderId="0" xfId="0" applyFont="1" applyFill="1" applyAlignment="1">
      <alignment horizontal="left" vertical="center"/>
    </xf>
    <xf numFmtId="0" fontId="12" fillId="7" borderId="0" xfId="0" applyFont="1" applyFill="1"/>
    <xf numFmtId="168" fontId="12" fillId="7" borderId="0" xfId="3" applyNumberFormat="1" applyFont="1" applyFill="1" applyAlignment="1">
      <alignment horizontal="center"/>
    </xf>
    <xf numFmtId="169" fontId="15" fillId="3" borderId="12" xfId="1" applyNumberFormat="1" applyFont="1" applyFill="1" applyBorder="1" applyAlignment="1">
      <alignment horizontal="center" vertical="center" wrapText="1"/>
    </xf>
    <xf numFmtId="2" fontId="35" fillId="0" borderId="0" xfId="0" applyNumberFormat="1" applyFont="1" applyAlignment="1">
      <alignment horizontal="right" indent="1"/>
    </xf>
    <xf numFmtId="10" fontId="15" fillId="0" borderId="67" xfId="3" applyNumberFormat="1" applyFont="1" applyBorder="1" applyAlignment="1">
      <alignment horizontal="right" indent="2"/>
    </xf>
    <xf numFmtId="10" fontId="15" fillId="0" borderId="66" xfId="3" applyNumberFormat="1" applyFont="1" applyBorder="1" applyAlignment="1">
      <alignment horizontal="right" indent="2"/>
    </xf>
    <xf numFmtId="10" fontId="15" fillId="0" borderId="81" xfId="3" applyNumberFormat="1" applyFont="1" applyBorder="1" applyAlignment="1">
      <alignment horizontal="right" indent="2"/>
    </xf>
    <xf numFmtId="10" fontId="15" fillId="0" borderId="82" xfId="3" applyNumberFormat="1" applyFont="1" applyBorder="1" applyAlignment="1">
      <alignment horizontal="right" indent="2"/>
    </xf>
    <xf numFmtId="10" fontId="11" fillId="3" borderId="11" xfId="3" applyNumberFormat="1" applyFont="1" applyFill="1" applyBorder="1" applyAlignment="1">
      <alignment horizontal="right" vertical="center" indent="2"/>
    </xf>
    <xf numFmtId="49" fontId="0" fillId="0" borderId="63" xfId="0" applyNumberFormat="1" applyBorder="1" applyAlignment="1">
      <alignment vertical="top"/>
    </xf>
    <xf numFmtId="0" fontId="46" fillId="0" borderId="63" xfId="0" applyFont="1" applyBorder="1" applyAlignment="1">
      <alignment horizontal="justify" wrapText="1"/>
    </xf>
    <xf numFmtId="0" fontId="47" fillId="0" borderId="63" xfId="0" applyFont="1" applyBorder="1" applyAlignment="1">
      <alignment horizontal="justify" wrapText="1"/>
    </xf>
    <xf numFmtId="0" fontId="23" fillId="0" borderId="63" xfId="2" applyFont="1" applyBorder="1" applyAlignment="1" applyProtection="1">
      <alignment horizontal="right" vertical="top"/>
    </xf>
    <xf numFmtId="0" fontId="0" fillId="6" borderId="0" xfId="0" applyFill="1"/>
    <xf numFmtId="0" fontId="0" fillId="6" borderId="62" xfId="0" applyFill="1" applyBorder="1"/>
    <xf numFmtId="0" fontId="0" fillId="6" borderId="85" xfId="0" applyFill="1" applyBorder="1"/>
    <xf numFmtId="49" fontId="11" fillId="6" borderId="27" xfId="0" applyNumberFormat="1" applyFont="1" applyFill="1" applyBorder="1" applyAlignment="1">
      <alignment vertical="top"/>
    </xf>
    <xf numFmtId="0" fontId="16" fillId="6" borderId="28" xfId="0" applyFont="1" applyFill="1" applyBorder="1" applyAlignment="1">
      <alignment horizontal="left" wrapText="1"/>
    </xf>
    <xf numFmtId="0" fontId="16" fillId="6" borderId="28" xfId="0" applyFont="1" applyFill="1" applyBorder="1" applyAlignment="1">
      <alignment wrapText="1"/>
    </xf>
    <xf numFmtId="0" fontId="16" fillId="6" borderId="29" xfId="0" applyFont="1" applyFill="1" applyBorder="1" applyAlignment="1">
      <alignment wrapText="1"/>
    </xf>
    <xf numFmtId="49" fontId="11" fillId="6" borderId="30" xfId="0" applyNumberFormat="1" applyFont="1" applyFill="1" applyBorder="1" applyAlignment="1">
      <alignment vertical="top"/>
    </xf>
    <xf numFmtId="0" fontId="0" fillId="6" borderId="31" xfId="0" applyFill="1" applyBorder="1"/>
    <xf numFmtId="0" fontId="0" fillId="6" borderId="0" xfId="0" applyFill="1" applyAlignment="1">
      <alignment vertical="top"/>
    </xf>
    <xf numFmtId="0" fontId="0" fillId="6" borderId="0" xfId="0" applyFill="1" applyAlignment="1">
      <alignment vertical="top" wrapText="1"/>
    </xf>
    <xf numFmtId="0" fontId="0" fillId="6" borderId="31" xfId="0" applyFill="1" applyBorder="1" applyAlignment="1">
      <alignment wrapText="1"/>
    </xf>
    <xf numFmtId="0" fontId="4" fillId="6" borderId="0" xfId="0" applyFont="1" applyFill="1"/>
    <xf numFmtId="0" fontId="4" fillId="6" borderId="0" xfId="0" applyFont="1" applyFill="1" applyAlignment="1">
      <alignment vertical="center"/>
    </xf>
    <xf numFmtId="49" fontId="11" fillId="6" borderId="60" xfId="0" applyNumberFormat="1" applyFont="1" applyFill="1" applyBorder="1" applyAlignment="1">
      <alignment vertical="top"/>
    </xf>
    <xf numFmtId="0" fontId="4" fillId="6" borderId="58" xfId="0" applyFont="1" applyFill="1" applyBorder="1" applyAlignment="1">
      <alignment horizontal="center" vertical="top"/>
    </xf>
    <xf numFmtId="0" fontId="1" fillId="6" borderId="58" xfId="0" applyFont="1" applyFill="1" applyBorder="1" applyAlignment="1">
      <alignment horizontal="center" vertical="top"/>
    </xf>
    <xf numFmtId="0" fontId="11" fillId="6" borderId="0" xfId="0" applyFont="1" applyFill="1"/>
    <xf numFmtId="49" fontId="11" fillId="6" borderId="32" xfId="0" applyNumberFormat="1" applyFont="1" applyFill="1" applyBorder="1" applyAlignment="1">
      <alignment vertical="top"/>
    </xf>
    <xf numFmtId="0" fontId="11" fillId="6" borderId="33" xfId="0" applyFont="1" applyFill="1" applyBorder="1"/>
    <xf numFmtId="0" fontId="11" fillId="6" borderId="34" xfId="0" applyFont="1" applyFill="1" applyBorder="1"/>
    <xf numFmtId="2" fontId="2" fillId="6" borderId="30" xfId="0" applyNumberFormat="1" applyFont="1" applyFill="1" applyBorder="1" applyAlignment="1">
      <alignment vertical="top"/>
    </xf>
    <xf numFmtId="0" fontId="11" fillId="6" borderId="0" xfId="0" applyFont="1" applyFill="1" applyAlignment="1">
      <alignment horizontal="left" indent="2"/>
    </xf>
    <xf numFmtId="0" fontId="11" fillId="6" borderId="0" xfId="0" applyFont="1" applyFill="1" applyAlignment="1">
      <alignment horizontal="center"/>
    </xf>
    <xf numFmtId="0" fontId="0" fillId="6" borderId="28" xfId="0" applyFill="1" applyBorder="1"/>
    <xf numFmtId="0" fontId="0" fillId="6" borderId="0" xfId="0" applyFill="1" applyAlignment="1">
      <alignment horizontal="right" vertical="top"/>
    </xf>
    <xf numFmtId="0" fontId="15" fillId="6" borderId="31" xfId="0" applyFont="1" applyFill="1" applyBorder="1"/>
    <xf numFmtId="3" fontId="4" fillId="6" borderId="11" xfId="0" applyNumberFormat="1" applyFont="1" applyFill="1" applyBorder="1" applyAlignment="1">
      <alignment horizontal="right" vertical="center" wrapText="1" indent="1"/>
    </xf>
    <xf numFmtId="168" fontId="11" fillId="6" borderId="12" xfId="3" applyNumberFormat="1" applyFont="1" applyFill="1" applyBorder="1" applyAlignment="1">
      <alignment horizontal="right" indent="2"/>
    </xf>
    <xf numFmtId="168" fontId="11" fillId="6" borderId="12" xfId="3" applyNumberFormat="1" applyFont="1" applyFill="1" applyBorder="1" applyAlignment="1">
      <alignment horizontal="right" indent="1"/>
    </xf>
    <xf numFmtId="168" fontId="41" fillId="6" borderId="71" xfId="3" applyNumberFormat="1" applyFont="1" applyFill="1" applyBorder="1" applyAlignment="1">
      <alignment horizontal="right" vertical="center"/>
    </xf>
    <xf numFmtId="0" fontId="4" fillId="6" borderId="0" xfId="0" applyFont="1" applyFill="1" applyAlignment="1">
      <alignment horizontal="center" vertical="top"/>
    </xf>
    <xf numFmtId="0" fontId="4" fillId="6" borderId="33" xfId="0" applyFont="1" applyFill="1" applyBorder="1" applyAlignment="1">
      <alignment horizontal="left" vertical="top"/>
    </xf>
    <xf numFmtId="0" fontId="1" fillId="6" borderId="33" xfId="0" applyFont="1" applyFill="1" applyBorder="1" applyAlignment="1">
      <alignment horizontal="center" vertical="top"/>
    </xf>
    <xf numFmtId="0" fontId="0" fillId="6" borderId="34" xfId="0" applyFill="1" applyBorder="1" applyAlignment="1">
      <alignment vertical="top"/>
    </xf>
    <xf numFmtId="0" fontId="11" fillId="6" borderId="28" xfId="0" applyFont="1" applyFill="1" applyBorder="1"/>
    <xf numFmtId="0" fontId="10" fillId="6" borderId="28" xfId="0" applyFont="1" applyFill="1" applyBorder="1" applyAlignment="1">
      <alignment horizontal="left"/>
    </xf>
    <xf numFmtId="0" fontId="11" fillId="6" borderId="29" xfId="0" applyFont="1" applyFill="1" applyBorder="1"/>
    <xf numFmtId="0" fontId="20" fillId="6" borderId="0" xfId="0" applyFont="1" applyFill="1" applyAlignment="1">
      <alignment vertical="top"/>
    </xf>
    <xf numFmtId="0" fontId="11" fillId="6" borderId="31" xfId="0" applyFont="1" applyFill="1" applyBorder="1"/>
    <xf numFmtId="0" fontId="30" fillId="6" borderId="0" xfId="0" applyFont="1" applyFill="1"/>
    <xf numFmtId="0" fontId="16" fillId="6" borderId="0" xfId="0" applyFont="1" applyFill="1"/>
    <xf numFmtId="0" fontId="16" fillId="6" borderId="31" xfId="0" applyFont="1" applyFill="1" applyBorder="1"/>
    <xf numFmtId="0" fontId="14" fillId="6" borderId="50" xfId="0" applyFont="1" applyFill="1" applyBorder="1" applyAlignment="1">
      <alignment horizontal="left" vertical="center" wrapText="1" indent="1"/>
    </xf>
    <xf numFmtId="0" fontId="6" fillId="6" borderId="0" xfId="0" applyFont="1" applyFill="1" applyAlignment="1">
      <alignment horizontal="center" wrapText="1"/>
    </xf>
    <xf numFmtId="0" fontId="6" fillId="6" borderId="0" xfId="0" applyFont="1" applyFill="1" applyAlignment="1">
      <alignment horizontal="right" indent="3"/>
    </xf>
    <xf numFmtId="3" fontId="2" fillId="6" borderId="0" xfId="0" applyNumberFormat="1" applyFont="1" applyFill="1"/>
    <xf numFmtId="0" fontId="11" fillId="6" borderId="58" xfId="0" applyFont="1" applyFill="1" applyBorder="1"/>
    <xf numFmtId="0" fontId="0" fillId="6" borderId="58" xfId="0" applyFill="1" applyBorder="1"/>
    <xf numFmtId="0" fontId="11" fillId="6" borderId="59" xfId="0" applyFont="1" applyFill="1" applyBorder="1"/>
    <xf numFmtId="0" fontId="4" fillId="6" borderId="0" xfId="0" applyFont="1" applyFill="1" applyAlignment="1">
      <alignment horizontal="right"/>
    </xf>
    <xf numFmtId="0" fontId="12" fillId="6" borderId="0" xfId="0" applyFont="1" applyFill="1" applyAlignment="1">
      <alignment horizontal="left"/>
    </xf>
    <xf numFmtId="0" fontId="11" fillId="6" borderId="33" xfId="0" applyFont="1" applyFill="1" applyBorder="1" applyAlignment="1">
      <alignment horizontal="right"/>
    </xf>
    <xf numFmtId="0" fontId="0" fillId="6" borderId="33" xfId="0" applyFill="1" applyBorder="1"/>
    <xf numFmtId="0" fontId="4" fillId="6" borderId="28" xfId="0" applyFont="1" applyFill="1" applyBorder="1"/>
    <xf numFmtId="0" fontId="0" fillId="6" borderId="28" xfId="0" applyFill="1" applyBorder="1" applyAlignment="1">
      <alignment horizontal="center"/>
    </xf>
    <xf numFmtId="0" fontId="0" fillId="6" borderId="29" xfId="0" applyFill="1" applyBorder="1" applyAlignment="1">
      <alignment horizontal="center"/>
    </xf>
    <xf numFmtId="0" fontId="0" fillId="6" borderId="0" xfId="0" applyFill="1" applyAlignment="1">
      <alignment horizontal="center"/>
    </xf>
    <xf numFmtId="0" fontId="0" fillId="6" borderId="31" xfId="0" applyFill="1" applyBorder="1" applyAlignment="1">
      <alignment horizontal="center"/>
    </xf>
    <xf numFmtId="0" fontId="16" fillId="6" borderId="31" xfId="0" applyFont="1" applyFill="1" applyBorder="1" applyAlignment="1">
      <alignment vertical="top" wrapText="1"/>
    </xf>
    <xf numFmtId="0" fontId="11" fillId="6" borderId="0" xfId="0" applyFont="1" applyFill="1" applyAlignment="1">
      <alignment horizontal="left" indent="4"/>
    </xf>
    <xf numFmtId="0" fontId="12" fillId="6" borderId="0" xfId="0" applyFont="1" applyFill="1" applyAlignment="1">
      <alignment horizontal="right"/>
    </xf>
    <xf numFmtId="0" fontId="11" fillId="6" borderId="0" xfId="0" applyFont="1" applyFill="1" applyAlignment="1">
      <alignment horizontal="right"/>
    </xf>
    <xf numFmtId="10" fontId="11" fillId="6" borderId="0" xfId="0" applyNumberFormat="1" applyFont="1" applyFill="1" applyAlignment="1">
      <alignment horizontal="right"/>
    </xf>
    <xf numFmtId="0" fontId="12" fillId="6" borderId="0" xfId="0" applyFont="1" applyFill="1" applyAlignment="1">
      <alignment horizontal="right" indent="1"/>
    </xf>
    <xf numFmtId="2" fontId="12" fillId="6" borderId="0" xfId="0" applyNumberFormat="1" applyFont="1" applyFill="1"/>
    <xf numFmtId="167" fontId="12" fillId="8" borderId="5" xfId="0" applyNumberFormat="1" applyFont="1" applyFill="1" applyBorder="1" applyAlignment="1">
      <alignment horizontal="right" indent="1"/>
    </xf>
    <xf numFmtId="49" fontId="0" fillId="6" borderId="30" xfId="0" applyNumberFormat="1" applyFill="1" applyBorder="1" applyAlignment="1">
      <alignment vertical="top"/>
    </xf>
    <xf numFmtId="49" fontId="0" fillId="6" borderId="32" xfId="0" applyNumberFormat="1" applyFill="1" applyBorder="1" applyAlignment="1">
      <alignment vertical="top"/>
    </xf>
    <xf numFmtId="164" fontId="0" fillId="6" borderId="0" xfId="0" applyNumberFormat="1" applyFill="1"/>
    <xf numFmtId="0" fontId="1" fillId="6" borderId="0" xfId="0" applyFont="1" applyFill="1"/>
    <xf numFmtId="0" fontId="0" fillId="6" borderId="34" xfId="0" applyFill="1" applyBorder="1"/>
    <xf numFmtId="0" fontId="11" fillId="6" borderId="28" xfId="0" applyFont="1" applyFill="1" applyBorder="1" applyAlignment="1">
      <alignment horizontal="left" indent="2"/>
    </xf>
    <xf numFmtId="0" fontId="16" fillId="6" borderId="0" xfId="0" applyFont="1" applyFill="1" applyAlignment="1">
      <alignment wrapText="1"/>
    </xf>
    <xf numFmtId="0" fontId="0" fillId="6" borderId="31" xfId="0" applyFill="1" applyBorder="1" applyAlignment="1">
      <alignment horizontal="center" vertical="center"/>
    </xf>
    <xf numFmtId="0" fontId="25" fillId="6" borderId="0" xfId="0" applyFont="1" applyFill="1" applyAlignment="1">
      <alignment wrapText="1"/>
    </xf>
    <xf numFmtId="0" fontId="16" fillId="6" borderId="31" xfId="0" applyFont="1" applyFill="1" applyBorder="1" applyAlignment="1">
      <alignment wrapText="1"/>
    </xf>
    <xf numFmtId="2" fontId="16" fillId="6" borderId="0" xfId="0" applyNumberFormat="1" applyFont="1" applyFill="1" applyAlignment="1">
      <alignment wrapText="1"/>
    </xf>
    <xf numFmtId="0" fontId="4" fillId="6" borderId="2" xfId="0" applyFont="1" applyFill="1" applyBorder="1" applyAlignment="1">
      <alignment horizontal="center" vertical="center" wrapText="1"/>
    </xf>
    <xf numFmtId="0" fontId="0" fillId="6" borderId="32" xfId="0" applyFill="1" applyBorder="1"/>
    <xf numFmtId="49" fontId="0" fillId="6" borderId="6" xfId="0" applyNumberFormat="1" applyFill="1" applyBorder="1" applyAlignment="1">
      <alignment vertical="top"/>
    </xf>
    <xf numFmtId="0" fontId="30" fillId="6" borderId="7" xfId="0" applyFont="1" applyFill="1" applyBorder="1"/>
    <xf numFmtId="0" fontId="30" fillId="6" borderId="7" xfId="0" applyFont="1" applyFill="1" applyBorder="1" applyAlignment="1">
      <alignment horizontal="center"/>
    </xf>
    <xf numFmtId="0" fontId="30" fillId="6" borderId="8" xfId="0" applyFont="1" applyFill="1" applyBorder="1"/>
    <xf numFmtId="49" fontId="0" fillId="6" borderId="9" xfId="0" applyNumberFormat="1" applyFill="1" applyBorder="1" applyAlignment="1">
      <alignment vertical="top"/>
    </xf>
    <xf numFmtId="0" fontId="29" fillId="6" borderId="0" xfId="0" applyFont="1" applyFill="1"/>
    <xf numFmtId="0" fontId="30" fillId="6" borderId="0" xfId="0" applyFont="1" applyFill="1" applyAlignment="1">
      <alignment horizontal="center"/>
    </xf>
    <xf numFmtId="0" fontId="30" fillId="6" borderId="10" xfId="0" applyFont="1" applyFill="1" applyBorder="1"/>
    <xf numFmtId="0" fontId="30" fillId="6" borderId="9" xfId="0" applyFont="1" applyFill="1" applyBorder="1" applyAlignment="1">
      <alignment horizontal="justify" vertical="center"/>
    </xf>
    <xf numFmtId="0" fontId="0" fillId="6" borderId="10" xfId="0" applyFill="1" applyBorder="1" applyAlignment="1">
      <alignment horizontal="justify" vertical="center"/>
    </xf>
    <xf numFmtId="0" fontId="0" fillId="6" borderId="9" xfId="0" applyFill="1" applyBorder="1" applyAlignment="1">
      <alignment horizontal="justify" vertical="center"/>
    </xf>
    <xf numFmtId="0" fontId="0" fillId="6" borderId="0" xfId="0" applyFill="1" applyAlignment="1">
      <alignment horizontal="justify" vertical="center"/>
    </xf>
    <xf numFmtId="0" fontId="0" fillId="6" borderId="9" xfId="0" applyFill="1" applyBorder="1"/>
    <xf numFmtId="0" fontId="0" fillId="6" borderId="0" xfId="0" applyFill="1" applyAlignment="1">
      <alignment horizontal="right" vertical="center" indent="1"/>
    </xf>
    <xf numFmtId="49" fontId="0" fillId="6" borderId="39" xfId="0" applyNumberFormat="1" applyFill="1" applyBorder="1" applyAlignment="1">
      <alignment vertical="top"/>
    </xf>
    <xf numFmtId="0" fontId="0" fillId="6" borderId="41" xfId="0" applyFill="1" applyBorder="1" applyAlignment="1">
      <alignment vertical="center"/>
    </xf>
    <xf numFmtId="0" fontId="0" fillId="6" borderId="41" xfId="0" applyFill="1" applyBorder="1"/>
    <xf numFmtId="0" fontId="0" fillId="6" borderId="40" xfId="0" applyFill="1" applyBorder="1"/>
    <xf numFmtId="2" fontId="4" fillId="6" borderId="0" xfId="0" applyNumberFormat="1" applyFont="1" applyFill="1" applyAlignment="1">
      <alignment horizontal="center" vertical="center"/>
    </xf>
    <xf numFmtId="0" fontId="0" fillId="6" borderId="10" xfId="0" applyFill="1" applyBorder="1"/>
    <xf numFmtId="0" fontId="30" fillId="6" borderId="9" xfId="0" applyFont="1" applyFill="1" applyBorder="1"/>
    <xf numFmtId="0" fontId="0" fillId="6" borderId="30" xfId="0" applyFill="1" applyBorder="1"/>
    <xf numFmtId="0" fontId="31" fillId="6" borderId="0" xfId="0" applyFont="1" applyFill="1" applyAlignment="1">
      <alignment horizontal="left"/>
    </xf>
    <xf numFmtId="0" fontId="32" fillId="6" borderId="0" xfId="0" applyFont="1" applyFill="1"/>
    <xf numFmtId="0" fontId="33" fillId="6" borderId="0" xfId="0" applyFont="1" applyFill="1"/>
    <xf numFmtId="0" fontId="0" fillId="6" borderId="84" xfId="0" applyFill="1" applyBorder="1"/>
    <xf numFmtId="0" fontId="0" fillId="6" borderId="86" xfId="0" applyFill="1" applyBorder="1"/>
    <xf numFmtId="0" fontId="0" fillId="6" borderId="87" xfId="0" applyFill="1" applyBorder="1"/>
    <xf numFmtId="0" fontId="0" fillId="6" borderId="88" xfId="0" applyFill="1" applyBorder="1"/>
    <xf numFmtId="0" fontId="0" fillId="6" borderId="58" xfId="0" applyFill="1" applyBorder="1" applyAlignment="1">
      <alignment wrapText="1"/>
    </xf>
    <xf numFmtId="0" fontId="0" fillId="6" borderId="89" xfId="0" applyFill="1" applyBorder="1"/>
    <xf numFmtId="0" fontId="0" fillId="0" borderId="63" xfId="0" applyBorder="1"/>
    <xf numFmtId="0" fontId="0" fillId="0" borderId="62" xfId="0" applyBorder="1" applyAlignment="1">
      <alignment wrapText="1"/>
    </xf>
    <xf numFmtId="0" fontId="4" fillId="0" borderId="63" xfId="0" applyFont="1" applyBorder="1" applyAlignment="1">
      <alignment horizontal="justify"/>
    </xf>
    <xf numFmtId="0" fontId="31" fillId="6" borderId="62" xfId="0" applyFont="1" applyFill="1" applyBorder="1" applyAlignment="1">
      <alignment horizontal="left"/>
    </xf>
    <xf numFmtId="0" fontId="1" fillId="6" borderId="87" xfId="0" applyFont="1" applyFill="1" applyBorder="1" applyAlignment="1">
      <alignment horizontal="left" vertical="top"/>
    </xf>
    <xf numFmtId="0" fontId="4" fillId="6" borderId="0" xfId="0" applyFont="1" applyFill="1" applyAlignment="1">
      <alignment horizontal="justify"/>
    </xf>
    <xf numFmtId="0" fontId="1" fillId="6" borderId="87" xfId="0" applyFont="1" applyFill="1" applyBorder="1"/>
    <xf numFmtId="0" fontId="4" fillId="6" borderId="87" xfId="0" applyFont="1" applyFill="1" applyBorder="1"/>
    <xf numFmtId="0" fontId="1" fillId="6" borderId="87" xfId="0" applyFont="1" applyFill="1" applyBorder="1" applyAlignment="1">
      <alignment horizontal="left"/>
    </xf>
    <xf numFmtId="0" fontId="48" fillId="6" borderId="0" xfId="0" applyFont="1" applyFill="1"/>
    <xf numFmtId="0" fontId="1" fillId="6" borderId="31" xfId="0" applyFont="1" applyFill="1" applyBorder="1" applyAlignment="1">
      <alignment horizontal="left"/>
    </xf>
    <xf numFmtId="0" fontId="4" fillId="6" borderId="0" xfId="0" applyFont="1" applyFill="1" applyAlignment="1">
      <alignment horizontal="justify" vertical="top"/>
    </xf>
    <xf numFmtId="0" fontId="4" fillId="6" borderId="31" xfId="0" applyFont="1" applyFill="1" applyBorder="1" applyAlignment="1">
      <alignment vertical="top"/>
    </xf>
    <xf numFmtId="0" fontId="4" fillId="6" borderId="0" xfId="0" applyFont="1" applyFill="1" applyAlignment="1">
      <alignment horizontal="justify" vertical="top" wrapText="1"/>
    </xf>
    <xf numFmtId="0" fontId="4" fillId="6" borderId="0" xfId="0" applyFont="1" applyFill="1" applyAlignment="1">
      <alignment horizontal="justify" wrapText="1"/>
    </xf>
    <xf numFmtId="0" fontId="0" fillId="6" borderId="31" xfId="0" applyFill="1" applyBorder="1" applyAlignment="1">
      <alignment horizontal="left" wrapText="1"/>
    </xf>
    <xf numFmtId="0" fontId="7" fillId="6" borderId="33" xfId="0" applyFont="1" applyFill="1" applyBorder="1" applyAlignment="1">
      <alignment horizontal="center" vertical="top"/>
    </xf>
    <xf numFmtId="0" fontId="16" fillId="6" borderId="33" xfId="0" applyFont="1" applyFill="1" applyBorder="1" applyAlignment="1">
      <alignment horizontal="left" wrapText="1"/>
    </xf>
    <xf numFmtId="0" fontId="0" fillId="6" borderId="34" xfId="0" applyFill="1" applyBorder="1" applyAlignment="1">
      <alignment horizontal="left" wrapText="1"/>
    </xf>
    <xf numFmtId="0" fontId="23" fillId="6" borderId="0" xfId="2" applyFont="1" applyFill="1" applyAlignment="1" applyProtection="1">
      <alignment horizontal="right" vertical="top"/>
    </xf>
    <xf numFmtId="0" fontId="23" fillId="6" borderId="31" xfId="2" applyFont="1" applyFill="1" applyBorder="1" applyAlignment="1" applyProtection="1">
      <alignment horizontal="right" vertical="top"/>
    </xf>
    <xf numFmtId="0" fontId="22" fillId="6" borderId="31" xfId="0" applyFont="1" applyFill="1" applyBorder="1" applyAlignment="1">
      <alignment vertical="center" wrapText="1"/>
    </xf>
    <xf numFmtId="0" fontId="44" fillId="6" borderId="0" xfId="0" applyFont="1" applyFill="1"/>
    <xf numFmtId="0" fontId="4" fillId="6" borderId="0" xfId="0" applyFont="1" applyFill="1" applyAlignment="1">
      <alignment wrapText="1"/>
    </xf>
    <xf numFmtId="0" fontId="16" fillId="6" borderId="33" xfId="0" applyFont="1" applyFill="1" applyBorder="1" applyAlignment="1">
      <alignment wrapText="1"/>
    </xf>
    <xf numFmtId="0" fontId="16" fillId="6" borderId="34" xfId="0" applyFont="1" applyFill="1" applyBorder="1" applyAlignment="1">
      <alignment wrapText="1"/>
    </xf>
    <xf numFmtId="3" fontId="4" fillId="10" borderId="81" xfId="0" applyNumberFormat="1" applyFont="1" applyFill="1" applyBorder="1" applyAlignment="1">
      <alignment horizontal="right" vertical="center" wrapText="1" indent="1"/>
    </xf>
    <xf numFmtId="0" fontId="4" fillId="10" borderId="82" xfId="0" applyFont="1" applyFill="1" applyBorder="1" applyAlignment="1">
      <alignment horizontal="left" vertical="center" indent="1"/>
    </xf>
    <xf numFmtId="0" fontId="4" fillId="10" borderId="83" xfId="0" applyFont="1" applyFill="1" applyBorder="1" applyAlignment="1">
      <alignment horizontal="left" vertical="center" indent="1"/>
    </xf>
    <xf numFmtId="3" fontId="11" fillId="10" borderId="81" xfId="0" applyNumberFormat="1" applyFont="1" applyFill="1" applyBorder="1" applyAlignment="1">
      <alignment horizontal="right" vertical="center" wrapText="1" indent="1"/>
    </xf>
    <xf numFmtId="3" fontId="11" fillId="10" borderId="82" xfId="0" applyNumberFormat="1" applyFont="1" applyFill="1" applyBorder="1" applyAlignment="1">
      <alignment horizontal="right" vertical="center" wrapText="1" indent="1"/>
    </xf>
    <xf numFmtId="0" fontId="15" fillId="10" borderId="81" xfId="0" applyFont="1" applyFill="1" applyBorder="1" applyAlignment="1">
      <alignment horizontal="left" vertical="center" wrapText="1" indent="1"/>
    </xf>
    <xf numFmtId="0" fontId="15" fillId="10" borderId="83" xfId="0" applyFont="1" applyFill="1" applyBorder="1" applyAlignment="1">
      <alignment horizontal="left" vertical="center" wrapText="1" indent="1"/>
    </xf>
    <xf numFmtId="4" fontId="0" fillId="10" borderId="43" xfId="0" applyNumberFormat="1" applyFill="1" applyBorder="1" applyAlignment="1">
      <alignment horizontal="right" indent="2"/>
    </xf>
    <xf numFmtId="167" fontId="15" fillId="10" borderId="41" xfId="0" applyNumberFormat="1" applyFont="1" applyFill="1" applyBorder="1" applyAlignment="1">
      <alignment horizontal="right" vertical="center" indent="2"/>
    </xf>
    <xf numFmtId="167" fontId="15" fillId="10" borderId="15" xfId="0" applyNumberFormat="1" applyFont="1" applyFill="1" applyBorder="1" applyAlignment="1">
      <alignment horizontal="right" vertical="center" indent="2"/>
    </xf>
    <xf numFmtId="168" fontId="11" fillId="3" borderId="1" xfId="3" applyNumberFormat="1" applyFont="1" applyFill="1" applyBorder="1" applyAlignment="1">
      <alignment horizontal="right" vertical="center" indent="2"/>
    </xf>
    <xf numFmtId="0" fontId="23" fillId="0" borderId="0" xfId="2" applyFont="1" applyAlignment="1" applyProtection="1">
      <alignment horizontal="right" vertical="top"/>
    </xf>
    <xf numFmtId="0" fontId="0" fillId="0" borderId="0" xfId="0" applyAlignment="1">
      <alignment horizontal="left" wrapText="1" indent="1"/>
    </xf>
    <xf numFmtId="0" fontId="16" fillId="0" borderId="0" xfId="0" applyFont="1"/>
    <xf numFmtId="0" fontId="16" fillId="0" borderId="0" xfId="0" applyFont="1" applyAlignment="1">
      <alignment vertical="top" wrapText="1"/>
    </xf>
    <xf numFmtId="0" fontId="0" fillId="0" borderId="0" xfId="0" applyAlignment="1">
      <alignment horizontal="center" vertical="center" wrapText="1"/>
    </xf>
    <xf numFmtId="0" fontId="22" fillId="0" borderId="0" xfId="0" applyFont="1" applyAlignment="1">
      <alignment vertical="center" wrapText="1"/>
    </xf>
    <xf numFmtId="0" fontId="51" fillId="0" borderId="0" xfId="0" applyFont="1" applyAlignment="1">
      <alignment horizontal="right" vertical="center" indent="1"/>
    </xf>
    <xf numFmtId="0" fontId="4" fillId="6" borderId="58" xfId="0" applyFont="1" applyFill="1" applyBorder="1" applyAlignment="1">
      <alignment horizontal="left" indent="2"/>
    </xf>
    <xf numFmtId="165" fontId="2" fillId="0" borderId="0" xfId="1" applyNumberFormat="1" applyFont="1" applyAlignment="1">
      <alignment horizontal="center"/>
    </xf>
    <xf numFmtId="0" fontId="4" fillId="0" borderId="0" xfId="0" applyFont="1" applyAlignment="1">
      <alignment vertical="center"/>
    </xf>
    <xf numFmtId="168" fontId="15" fillId="0" borderId="66" xfId="3" applyNumberFormat="1" applyFont="1" applyBorder="1" applyAlignment="1">
      <alignment horizontal="right" vertical="center" indent="2"/>
    </xf>
    <xf numFmtId="168" fontId="15" fillId="0" borderId="81" xfId="3" applyNumberFormat="1" applyFont="1" applyBorder="1" applyAlignment="1">
      <alignment horizontal="right" vertical="center" indent="1"/>
    </xf>
    <xf numFmtId="168" fontId="15" fillId="0" borderId="68" xfId="3" applyNumberFormat="1" applyFont="1" applyBorder="1" applyAlignment="1">
      <alignment horizontal="right" vertical="center" indent="2"/>
    </xf>
    <xf numFmtId="168" fontId="15" fillId="0" borderId="83" xfId="3" applyNumberFormat="1" applyFont="1" applyBorder="1" applyAlignment="1">
      <alignment horizontal="right" vertical="center" indent="1"/>
    </xf>
    <xf numFmtId="0" fontId="10" fillId="0" borderId="0" xfId="0" applyFont="1" applyAlignment="1">
      <alignment horizontal="left"/>
    </xf>
    <xf numFmtId="0" fontId="21" fillId="0" borderId="0" xfId="0" applyFont="1"/>
    <xf numFmtId="0" fontId="11" fillId="0" borderId="28" xfId="0" applyFont="1" applyBorder="1" applyAlignment="1">
      <alignment horizontal="left" indent="2"/>
    </xf>
    <xf numFmtId="0" fontId="11" fillId="0" borderId="0" xfId="0" applyFont="1" applyAlignment="1">
      <alignment horizontal="left" indent="2"/>
    </xf>
    <xf numFmtId="49" fontId="0" fillId="11" borderId="84" xfId="0" applyNumberFormat="1" applyFill="1" applyBorder="1" applyAlignment="1">
      <alignment vertical="top"/>
    </xf>
    <xf numFmtId="0" fontId="0" fillId="11" borderId="62" xfId="0" applyFill="1" applyBorder="1"/>
    <xf numFmtId="0" fontId="0" fillId="11" borderId="85" xfId="0" applyFill="1" applyBorder="1"/>
    <xf numFmtId="49" fontId="0" fillId="11" borderId="86" xfId="0" applyNumberFormat="1" applyFill="1" applyBorder="1" applyAlignment="1">
      <alignment vertical="top"/>
    </xf>
    <xf numFmtId="0" fontId="23" fillId="11" borderId="87" xfId="2" applyFont="1" applyFill="1" applyBorder="1" applyAlignment="1" applyProtection="1">
      <alignment horizontal="right" vertical="top"/>
    </xf>
    <xf numFmtId="49" fontId="0" fillId="11" borderId="88" xfId="0" applyNumberFormat="1" applyFill="1" applyBorder="1" applyAlignment="1">
      <alignment vertical="top"/>
    </xf>
    <xf numFmtId="0" fontId="23" fillId="11" borderId="89" xfId="2" applyFont="1" applyFill="1" applyBorder="1" applyAlignment="1" applyProtection="1">
      <alignment horizontal="right" vertical="top"/>
    </xf>
    <xf numFmtId="0" fontId="13" fillId="6" borderId="2" xfId="0" applyFont="1" applyFill="1" applyBorder="1" applyAlignment="1">
      <alignment vertical="center"/>
    </xf>
    <xf numFmtId="0" fontId="0" fillId="6" borderId="2" xfId="0" applyFill="1" applyBorder="1" applyAlignment="1">
      <alignment vertical="center"/>
    </xf>
    <xf numFmtId="0" fontId="0" fillId="6" borderId="2" xfId="0" applyFill="1" applyBorder="1"/>
    <xf numFmtId="0" fontId="50" fillId="6" borderId="28" xfId="0" applyFont="1" applyFill="1" applyBorder="1"/>
    <xf numFmtId="10" fontId="35" fillId="0" borderId="0" xfId="0" applyNumberFormat="1" applyFont="1" applyAlignment="1">
      <alignment horizontal="left"/>
    </xf>
    <xf numFmtId="0" fontId="27" fillId="0" borderId="0" xfId="0" applyFont="1"/>
    <xf numFmtId="0" fontId="30" fillId="6" borderId="0" xfId="0" applyFont="1" applyFill="1" applyAlignment="1">
      <alignment horizontal="left" vertical="center" indent="1"/>
    </xf>
    <xf numFmtId="0" fontId="1" fillId="10" borderId="43" xfId="0" applyFont="1" applyFill="1" applyBorder="1" applyAlignment="1">
      <alignment horizontal="left" indent="1"/>
    </xf>
    <xf numFmtId="10" fontId="4" fillId="6" borderId="0" xfId="0" applyNumberFormat="1" applyFont="1" applyFill="1" applyAlignment="1">
      <alignment horizontal="center"/>
    </xf>
    <xf numFmtId="166" fontId="4" fillId="6" borderId="0" xfId="0" applyNumberFormat="1" applyFont="1" applyFill="1" applyAlignment="1">
      <alignment horizontal="right" indent="1"/>
    </xf>
    <xf numFmtId="3" fontId="43" fillId="0" borderId="0" xfId="0" applyNumberFormat="1" applyFont="1" applyAlignment="1">
      <alignment wrapText="1"/>
    </xf>
    <xf numFmtId="166" fontId="43" fillId="0" borderId="0" xfId="1" applyNumberFormat="1" applyFont="1" applyAlignment="1">
      <alignment wrapText="1"/>
    </xf>
    <xf numFmtId="168" fontId="43" fillId="0" borderId="0" xfId="0" applyNumberFormat="1" applyFont="1" applyAlignment="1">
      <alignment wrapText="1"/>
    </xf>
    <xf numFmtId="168" fontId="43" fillId="0" borderId="0" xfId="3" applyNumberFormat="1" applyFont="1" applyAlignment="1">
      <alignment wrapText="1"/>
    </xf>
    <xf numFmtId="3" fontId="43" fillId="0" borderId="0" xfId="0" applyNumberFormat="1" applyFont="1" applyAlignment="1">
      <alignment horizontal="right" wrapText="1"/>
    </xf>
    <xf numFmtId="0" fontId="43" fillId="0" borderId="0" xfId="0" applyFont="1" applyAlignment="1">
      <alignment horizontal="right" wrapText="1"/>
    </xf>
    <xf numFmtId="0" fontId="43" fillId="0" borderId="0" xfId="0" applyFont="1" applyAlignment="1">
      <alignment horizontal="right"/>
    </xf>
    <xf numFmtId="43" fontId="43" fillId="0" borderId="0" xfId="1" applyFont="1"/>
    <xf numFmtId="43" fontId="43" fillId="0" borderId="0" xfId="0" applyNumberFormat="1" applyFont="1"/>
    <xf numFmtId="2" fontId="43" fillId="0" borderId="0" xfId="0" applyNumberFormat="1" applyFont="1"/>
    <xf numFmtId="167" fontId="4" fillId="6" borderId="0" xfId="0" applyNumberFormat="1" applyFont="1" applyFill="1" applyAlignment="1">
      <alignment horizontal="center"/>
    </xf>
    <xf numFmtId="4" fontId="4" fillId="0" borderId="0" xfId="1" applyNumberFormat="1" applyFont="1" applyAlignment="1">
      <alignment horizontal="left"/>
    </xf>
    <xf numFmtId="10" fontId="15" fillId="0" borderId="67" xfId="3" applyNumberFormat="1" applyFont="1" applyBorder="1" applyAlignment="1">
      <alignment horizontal="right" vertical="center" indent="2"/>
    </xf>
    <xf numFmtId="10" fontId="15" fillId="0" borderId="82" xfId="3" applyNumberFormat="1" applyFont="1" applyBorder="1" applyAlignment="1">
      <alignment horizontal="right" vertical="center" indent="2"/>
    </xf>
    <xf numFmtId="10" fontId="4" fillId="4" borderId="46" xfId="3" applyNumberFormat="1" applyFont="1" applyFill="1" applyBorder="1" applyAlignment="1">
      <alignment horizontal="center" vertical="center"/>
    </xf>
    <xf numFmtId="10" fontId="4" fillId="4" borderId="5" xfId="3" applyNumberFormat="1" applyFont="1" applyFill="1" applyBorder="1" applyAlignment="1">
      <alignment horizontal="center" vertical="center"/>
    </xf>
    <xf numFmtId="10" fontId="4" fillId="4" borderId="47" xfId="3" applyNumberFormat="1" applyFont="1" applyFill="1" applyBorder="1" applyAlignment="1">
      <alignment horizontal="center" vertical="center"/>
    </xf>
    <xf numFmtId="10" fontId="4" fillId="2" borderId="1" xfId="3" applyNumberFormat="1" applyFont="1" applyFill="1" applyBorder="1" applyAlignment="1">
      <alignment horizontal="center" vertical="center"/>
    </xf>
    <xf numFmtId="10" fontId="4" fillId="0" borderId="48" xfId="3" applyNumberFormat="1" applyFont="1" applyBorder="1" applyAlignment="1">
      <alignment horizontal="center" vertical="center"/>
    </xf>
    <xf numFmtId="0" fontId="49" fillId="6" borderId="0" xfId="0" applyFont="1" applyFill="1"/>
    <xf numFmtId="0" fontId="4" fillId="10" borderId="82" xfId="0" applyFont="1" applyFill="1" applyBorder="1" applyAlignment="1">
      <alignment horizontal="left" vertical="center" wrapText="1" indent="1"/>
    </xf>
    <xf numFmtId="2" fontId="35" fillId="0" borderId="42" xfId="0" applyNumberFormat="1" applyFont="1" applyBorder="1" applyAlignment="1">
      <alignment horizontal="right" indent="1"/>
    </xf>
    <xf numFmtId="0" fontId="0" fillId="0" borderId="44" xfId="0" applyBorder="1"/>
    <xf numFmtId="0" fontId="1" fillId="6" borderId="0" xfId="0" applyFont="1" applyFill="1" applyAlignment="1">
      <alignment horizontal="center" vertical="top"/>
    </xf>
    <xf numFmtId="0" fontId="11" fillId="0" borderId="58" xfId="0" applyFont="1" applyBorder="1"/>
    <xf numFmtId="0" fontId="53" fillId="0" borderId="0" xfId="0" applyFont="1"/>
    <xf numFmtId="3" fontId="4" fillId="0" borderId="5" xfId="0" applyNumberFormat="1" applyFont="1" applyBorder="1" applyAlignment="1">
      <alignment horizontal="right" vertical="center" indent="2"/>
    </xf>
    <xf numFmtId="3" fontId="4" fillId="0" borderId="47" xfId="0" applyNumberFormat="1" applyFont="1" applyBorder="1" applyAlignment="1">
      <alignment horizontal="right" vertical="center" indent="2"/>
    </xf>
    <xf numFmtId="168" fontId="15" fillId="0" borderId="46" xfId="0" applyNumberFormat="1" applyFont="1" applyBorder="1" applyAlignment="1">
      <alignment horizontal="right" vertical="center" wrapText="1" indent="2"/>
    </xf>
    <xf numFmtId="168" fontId="4" fillId="3" borderId="1" xfId="0" applyNumberFormat="1" applyFont="1" applyFill="1" applyBorder="1" applyAlignment="1">
      <alignment horizontal="right" vertical="center" wrapText="1" indent="2"/>
    </xf>
    <xf numFmtId="2" fontId="35" fillId="0" borderId="0" xfId="1" applyNumberFormat="1" applyFont="1" applyAlignment="1">
      <alignment horizontal="right" indent="2"/>
    </xf>
    <xf numFmtId="1" fontId="38" fillId="0" borderId="0" xfId="0" applyNumberFormat="1" applyFont="1" applyAlignment="1">
      <alignment horizontal="center"/>
    </xf>
    <xf numFmtId="0" fontId="38" fillId="0" borderId="0" xfId="0" applyFont="1"/>
    <xf numFmtId="0" fontId="50" fillId="0" borderId="0" xfId="0" applyFont="1" applyAlignment="1">
      <alignment wrapText="1"/>
    </xf>
    <xf numFmtId="0" fontId="24" fillId="0" borderId="0" xfId="0" applyFont="1" applyAlignment="1">
      <alignment wrapText="1"/>
    </xf>
    <xf numFmtId="0" fontId="43" fillId="0" borderId="0" xfId="0" applyFont="1" applyAlignment="1">
      <alignment horizontal="left"/>
    </xf>
    <xf numFmtId="168" fontId="15" fillId="0" borderId="47" xfId="0" applyNumberFormat="1" applyFont="1" applyBorder="1" applyAlignment="1">
      <alignment horizontal="right" vertical="center" wrapText="1" indent="1"/>
    </xf>
    <xf numFmtId="0" fontId="4" fillId="3" borderId="11" xfId="0" applyFont="1" applyFill="1" applyBorder="1" applyAlignment="1">
      <alignment horizontal="center" vertical="center" wrapText="1"/>
    </xf>
    <xf numFmtId="168" fontId="15" fillId="0" borderId="46" xfId="0" applyNumberFormat="1" applyFont="1" applyBorder="1" applyAlignment="1">
      <alignment horizontal="right" vertical="center" wrapText="1" indent="1"/>
    </xf>
    <xf numFmtId="168" fontId="15" fillId="0" borderId="5" xfId="0" applyNumberFormat="1" applyFont="1" applyBorder="1" applyAlignment="1">
      <alignment horizontal="right" vertical="center" wrapText="1" indent="1"/>
    </xf>
    <xf numFmtId="168" fontId="11" fillId="3" borderId="1" xfId="0" applyNumberFormat="1" applyFont="1" applyFill="1" applyBorder="1" applyAlignment="1">
      <alignment horizontal="right" vertical="center" indent="2"/>
    </xf>
    <xf numFmtId="0" fontId="17" fillId="6" borderId="0" xfId="0" applyFont="1" applyFill="1" applyAlignment="1">
      <alignment horizontal="left" vertical="center" indent="1"/>
    </xf>
    <xf numFmtId="0" fontId="4" fillId="6" borderId="0" xfId="0" applyFont="1" applyFill="1" applyAlignment="1">
      <alignment horizontal="center" vertical="center" wrapText="1"/>
    </xf>
    <xf numFmtId="0" fontId="28" fillId="6" borderId="28" xfId="0" applyFont="1" applyFill="1" applyBorder="1" applyAlignment="1">
      <alignment horizontal="right" vertical="top"/>
    </xf>
    <xf numFmtId="0" fontId="28" fillId="6" borderId="0" xfId="0" applyFont="1" applyFill="1" applyAlignment="1">
      <alignment horizontal="right" vertical="top"/>
    </xf>
    <xf numFmtId="0" fontId="18" fillId="6" borderId="28" xfId="0" applyFont="1" applyFill="1" applyBorder="1" applyAlignment="1">
      <alignment horizontal="right" vertical="top"/>
    </xf>
    <xf numFmtId="0" fontId="28" fillId="6" borderId="29" xfId="0" applyFont="1" applyFill="1" applyBorder="1" applyAlignment="1">
      <alignment horizontal="right" vertical="top"/>
    </xf>
    <xf numFmtId="0" fontId="28" fillId="6" borderId="31" xfId="0" applyFont="1" applyFill="1" applyBorder="1" applyAlignment="1">
      <alignment horizontal="right" vertical="top"/>
    </xf>
    <xf numFmtId="0" fontId="41" fillId="6" borderId="31" xfId="0" applyFont="1" applyFill="1" applyBorder="1"/>
    <xf numFmtId="0" fontId="20" fillId="6" borderId="0" xfId="0" applyFont="1" applyFill="1"/>
    <xf numFmtId="0" fontId="4" fillId="6" borderId="31" xfId="0" applyFont="1" applyFill="1" applyBorder="1" applyAlignment="1">
      <alignment horizontal="justify"/>
    </xf>
    <xf numFmtId="0" fontId="4" fillId="6" borderId="31" xfId="0" applyFont="1" applyFill="1" applyBorder="1"/>
    <xf numFmtId="4" fontId="12" fillId="6" borderId="0" xfId="1" applyNumberFormat="1" applyFont="1" applyFill="1" applyBorder="1" applyAlignment="1">
      <alignment horizontal="left"/>
    </xf>
    <xf numFmtId="4" fontId="4" fillId="6" borderId="0" xfId="1" applyNumberFormat="1" applyFont="1" applyFill="1" applyBorder="1" applyAlignment="1">
      <alignment horizontal="center"/>
    </xf>
    <xf numFmtId="0" fontId="16" fillId="0" borderId="30" xfId="0" applyFont="1" applyBorder="1"/>
    <xf numFmtId="0" fontId="0" fillId="0" borderId="30" xfId="0" applyBorder="1" applyAlignment="1">
      <alignment horizontal="center"/>
    </xf>
    <xf numFmtId="0" fontId="16" fillId="0" borderId="30" xfId="0" applyFont="1" applyBorder="1" applyAlignment="1">
      <alignment vertical="top" wrapText="1"/>
    </xf>
    <xf numFmtId="0" fontId="0" fillId="6" borderId="0" xfId="0" applyFill="1" applyAlignment="1">
      <alignment vertical="center" wrapText="1"/>
    </xf>
    <xf numFmtId="0" fontId="4" fillId="6" borderId="0" xfId="0" applyFont="1" applyFill="1" applyAlignment="1">
      <alignment horizontal="left" vertical="center"/>
    </xf>
    <xf numFmtId="0" fontId="11" fillId="6" borderId="0" xfId="0" applyFont="1" applyFill="1" applyAlignment="1">
      <alignment horizontal="left" vertical="center"/>
    </xf>
    <xf numFmtId="0" fontId="0" fillId="6" borderId="0" xfId="0" applyFill="1" applyAlignment="1">
      <alignment vertical="center"/>
    </xf>
    <xf numFmtId="0" fontId="11" fillId="6" borderId="0" xfId="0" applyFont="1" applyFill="1" applyAlignment="1">
      <alignment horizontal="right" vertical="center"/>
    </xf>
    <xf numFmtId="43" fontId="11" fillId="6" borderId="0" xfId="1" applyFont="1" applyFill="1" applyBorder="1" applyAlignment="1">
      <alignment horizontal="center" vertical="center"/>
    </xf>
    <xf numFmtId="0" fontId="0" fillId="6" borderId="31" xfId="0" applyFill="1" applyBorder="1" applyAlignment="1">
      <alignment vertical="center"/>
    </xf>
    <xf numFmtId="0" fontId="4" fillId="6" borderId="0" xfId="0" applyFont="1" applyFill="1" applyAlignment="1">
      <alignment horizontal="left" vertical="center" wrapText="1" indent="3"/>
    </xf>
    <xf numFmtId="168" fontId="11" fillId="6" borderId="0" xfId="0" applyNumberFormat="1" applyFont="1" applyFill="1" applyAlignment="1">
      <alignment horizontal="right" vertical="center" indent="2"/>
    </xf>
    <xf numFmtId="3" fontId="11" fillId="6" borderId="0" xfId="0" applyNumberFormat="1" applyFont="1" applyFill="1" applyAlignment="1">
      <alignment horizontal="right" vertical="center" indent="3"/>
    </xf>
    <xf numFmtId="1" fontId="11" fillId="6" borderId="0" xfId="0" applyNumberFormat="1" applyFont="1" applyFill="1" applyAlignment="1">
      <alignment horizontal="right" vertical="center" indent="2"/>
    </xf>
    <xf numFmtId="0" fontId="0" fillId="6" borderId="59" xfId="0" applyFill="1" applyBorder="1"/>
    <xf numFmtId="0" fontId="12" fillId="3" borderId="1" xfId="0" applyFont="1" applyFill="1" applyBorder="1" applyAlignment="1">
      <alignment horizontal="left" vertical="center" indent="2"/>
    </xf>
    <xf numFmtId="167" fontId="12" fillId="3" borderId="1" xfId="0" applyNumberFormat="1" applyFont="1" applyFill="1" applyBorder="1" applyAlignment="1">
      <alignment horizontal="right" vertical="center" indent="2"/>
    </xf>
    <xf numFmtId="3" fontId="11" fillId="6" borderId="0" xfId="0" applyNumberFormat="1" applyFont="1" applyFill="1" applyAlignment="1">
      <alignment horizontal="right" vertical="center" indent="1"/>
    </xf>
    <xf numFmtId="0" fontId="11" fillId="6" borderId="0" xfId="0" applyFont="1" applyFill="1" applyAlignment="1">
      <alignment horizontal="right" indent="1"/>
    </xf>
    <xf numFmtId="0" fontId="15" fillId="6" borderId="0" xfId="0" applyFont="1" applyFill="1" applyAlignment="1">
      <alignment horizontal="right" vertical="center" indent="1"/>
    </xf>
    <xf numFmtId="168" fontId="4" fillId="9" borderId="48" xfId="0" applyNumberFormat="1" applyFont="1" applyFill="1" applyBorder="1" applyAlignment="1">
      <alignment horizontal="right" vertical="center" indent="1"/>
    </xf>
    <xf numFmtId="0" fontId="14" fillId="3" borderId="51" xfId="0" applyFont="1" applyFill="1" applyBorder="1" applyAlignment="1">
      <alignment horizontal="right" vertical="center" indent="2"/>
    </xf>
    <xf numFmtId="167" fontId="4" fillId="0" borderId="49" xfId="0" applyNumberFormat="1" applyFont="1" applyBorder="1" applyAlignment="1">
      <alignment horizontal="right" vertical="center" indent="3"/>
    </xf>
    <xf numFmtId="0" fontId="16" fillId="6" borderId="0" xfId="0" applyFont="1" applyFill="1" applyAlignment="1">
      <alignment horizontal="left" vertical="top" indent="1"/>
    </xf>
    <xf numFmtId="0" fontId="4" fillId="0" borderId="0" xfId="0" applyFont="1" applyAlignment="1">
      <alignment horizontal="right" indent="1"/>
    </xf>
    <xf numFmtId="10" fontId="4" fillId="6" borderId="0" xfId="0" applyNumberFormat="1" applyFont="1" applyFill="1" applyAlignment="1">
      <alignment horizontal="right" indent="1"/>
    </xf>
    <xf numFmtId="0" fontId="27" fillId="7" borderId="0" xfId="0" applyFont="1" applyFill="1" applyAlignment="1">
      <alignment horizontal="right" indent="1"/>
    </xf>
    <xf numFmtId="166" fontId="12" fillId="7" borderId="0" xfId="1" applyNumberFormat="1" applyFont="1" applyFill="1" applyAlignment="1">
      <alignment horizontal="center"/>
    </xf>
    <xf numFmtId="0" fontId="12" fillId="7" borderId="0" xfId="0" applyFont="1" applyFill="1" applyAlignment="1">
      <alignment horizontal="left" indent="9"/>
    </xf>
    <xf numFmtId="2" fontId="35" fillId="0" borderId="0" xfId="1" applyNumberFormat="1" applyFont="1" applyAlignment="1">
      <alignment horizontal="right" indent="1"/>
    </xf>
    <xf numFmtId="0" fontId="54" fillId="0" borderId="0" xfId="0" applyFont="1" applyAlignment="1">
      <alignment vertical="top" wrapText="1"/>
    </xf>
    <xf numFmtId="0" fontId="23" fillId="0" borderId="0" xfId="2" applyFont="1" applyFill="1" applyBorder="1" applyAlignment="1" applyProtection="1">
      <alignment horizontal="right" vertical="top"/>
    </xf>
    <xf numFmtId="0" fontId="55" fillId="0" borderId="0" xfId="0" applyFont="1" applyAlignment="1">
      <alignment horizontal="right" vertical="center" indent="2"/>
    </xf>
    <xf numFmtId="0" fontId="0" fillId="0" borderId="0" xfId="0" applyAlignment="1">
      <alignment vertical="center" wrapText="1"/>
    </xf>
    <xf numFmtId="0" fontId="1" fillId="0" borderId="0" xfId="0" applyFont="1" applyAlignment="1">
      <alignment vertical="top"/>
    </xf>
    <xf numFmtId="0" fontId="50" fillId="0" borderId="0" xfId="0" applyFont="1"/>
    <xf numFmtId="0" fontId="24" fillId="0" borderId="0" xfId="0" applyFont="1"/>
    <xf numFmtId="3" fontId="4" fillId="10" borderId="83" xfId="0" applyNumberFormat="1" applyFont="1" applyFill="1" applyBorder="1" applyAlignment="1">
      <alignment horizontal="right" vertical="center" wrapText="1" indent="1"/>
    </xf>
    <xf numFmtId="168" fontId="4" fillId="9" borderId="5" xfId="0" applyNumberFormat="1" applyFont="1" applyFill="1" applyBorder="1" applyAlignment="1">
      <alignment horizontal="right" indent="2"/>
    </xf>
    <xf numFmtId="168" fontId="4" fillId="9" borderId="21" xfId="0" applyNumberFormat="1" applyFont="1" applyFill="1" applyBorder="1" applyAlignment="1">
      <alignment horizontal="right" indent="1"/>
    </xf>
    <xf numFmtId="9" fontId="4" fillId="9" borderId="49" xfId="0" applyNumberFormat="1" applyFont="1" applyFill="1" applyBorder="1" applyAlignment="1">
      <alignment horizontal="right" vertical="center" indent="1"/>
    </xf>
    <xf numFmtId="0" fontId="4" fillId="0" borderId="0" xfId="0" applyFont="1" applyAlignment="1">
      <alignment horizontal="center" vertical="center"/>
    </xf>
    <xf numFmtId="0" fontId="4" fillId="0" borderId="0" xfId="0" applyFont="1" applyAlignment="1">
      <alignment horizontal="left" vertical="center" indent="1"/>
    </xf>
    <xf numFmtId="3" fontId="4" fillId="0" borderId="0" xfId="0" applyNumberFormat="1" applyFont="1" applyAlignment="1">
      <alignment horizontal="center" vertical="center"/>
    </xf>
    <xf numFmtId="1" fontId="12" fillId="6" borderId="0" xfId="0" applyNumberFormat="1" applyFont="1" applyFill="1" applyAlignment="1">
      <alignment horizontal="center"/>
    </xf>
    <xf numFmtId="0" fontId="4" fillId="6" borderId="0" xfId="0" applyFont="1" applyFill="1" applyAlignment="1">
      <alignment horizontal="right" vertical="center"/>
    </xf>
    <xf numFmtId="0" fontId="4" fillId="0" borderId="0" xfId="0" applyFont="1" applyAlignment="1">
      <alignment horizontal="left" wrapText="1" indent="1"/>
    </xf>
    <xf numFmtId="10" fontId="12" fillId="12" borderId="5" xfId="1" applyNumberFormat="1" applyFont="1" applyFill="1" applyBorder="1" applyAlignment="1">
      <alignment horizontal="center" vertical="center"/>
    </xf>
    <xf numFmtId="0" fontId="54" fillId="0" borderId="0" xfId="0" applyFont="1" applyAlignment="1">
      <alignment vertical="top"/>
    </xf>
    <xf numFmtId="0" fontId="4" fillId="0" borderId="0" xfId="0" applyFont="1" applyAlignment="1">
      <alignment horizontal="left" vertical="top" wrapText="1"/>
    </xf>
    <xf numFmtId="0" fontId="24" fillId="6" borderId="0" xfId="0" applyFont="1" applyFill="1"/>
    <xf numFmtId="167" fontId="15" fillId="0" borderId="46" xfId="0" applyNumberFormat="1" applyFont="1" applyBorder="1" applyAlignment="1">
      <alignment horizontal="right" vertical="center" wrapText="1" indent="2"/>
    </xf>
    <xf numFmtId="168" fontId="15" fillId="0" borderId="46" xfId="3" applyNumberFormat="1" applyFont="1" applyFill="1" applyBorder="1" applyAlignment="1">
      <alignment horizontal="right" indent="1"/>
    </xf>
    <xf numFmtId="168" fontId="15" fillId="0" borderId="20" xfId="0" applyNumberFormat="1" applyFont="1" applyBorder="1" applyAlignment="1">
      <alignment horizontal="right" indent="1"/>
    </xf>
    <xf numFmtId="167" fontId="15" fillId="0" borderId="5" xfId="0" applyNumberFormat="1" applyFont="1" applyBorder="1" applyAlignment="1">
      <alignment horizontal="right" vertical="center" wrapText="1" indent="2"/>
    </xf>
    <xf numFmtId="168" fontId="15" fillId="0" borderId="5" xfId="3" applyNumberFormat="1" applyFont="1" applyFill="1" applyBorder="1" applyAlignment="1">
      <alignment horizontal="right" indent="1"/>
    </xf>
    <xf numFmtId="168" fontId="15" fillId="0" borderId="21" xfId="0" applyNumberFormat="1" applyFont="1" applyBorder="1" applyAlignment="1">
      <alignment horizontal="right" indent="1"/>
    </xf>
    <xf numFmtId="167" fontId="15" fillId="6" borderId="17" xfId="0" applyNumberFormat="1" applyFont="1" applyFill="1" applyBorder="1" applyAlignment="1">
      <alignment horizontal="right" indent="2"/>
    </xf>
    <xf numFmtId="167" fontId="15" fillId="6" borderId="41" xfId="0" applyNumberFormat="1" applyFont="1" applyFill="1" applyBorder="1"/>
    <xf numFmtId="0" fontId="15" fillId="6" borderId="0" xfId="0" applyFont="1" applyFill="1" applyAlignment="1">
      <alignment horizontal="center" vertical="top"/>
    </xf>
    <xf numFmtId="0" fontId="15" fillId="6" borderId="0" xfId="0" applyFont="1" applyFill="1"/>
    <xf numFmtId="0" fontId="15" fillId="0" borderId="36" xfId="0" applyFont="1" applyBorder="1" applyAlignment="1">
      <alignment horizontal="left" vertical="center" indent="2"/>
    </xf>
    <xf numFmtId="167" fontId="15" fillId="0" borderId="5" xfId="1" applyNumberFormat="1" applyFont="1" applyBorder="1" applyAlignment="1">
      <alignment horizontal="right" vertical="center" indent="2"/>
    </xf>
    <xf numFmtId="0" fontId="15" fillId="0" borderId="37" xfId="0" applyFont="1" applyBorder="1" applyAlignment="1">
      <alignment horizontal="left" vertical="center" indent="2"/>
    </xf>
    <xf numFmtId="43" fontId="0" fillId="0" borderId="0" xfId="1" applyFont="1"/>
    <xf numFmtId="0" fontId="34" fillId="0" borderId="0" xfId="0" applyFont="1" applyAlignment="1">
      <alignment horizontal="center" vertical="center"/>
    </xf>
    <xf numFmtId="0" fontId="0" fillId="0" borderId="0" xfId="0" applyAlignment="1">
      <alignment horizontal="justify"/>
    </xf>
    <xf numFmtId="0" fontId="66" fillId="0" borderId="0" xfId="0" applyFont="1" applyAlignment="1">
      <alignment horizontal="center" vertical="center"/>
    </xf>
    <xf numFmtId="0" fontId="12" fillId="0" borderId="0" xfId="0" applyFont="1" applyAlignment="1">
      <alignment horizontal="right" vertical="center"/>
    </xf>
    <xf numFmtId="4" fontId="0" fillId="0" borderId="44" xfId="0" applyNumberFormat="1" applyBorder="1" applyAlignment="1">
      <alignment horizontal="right" indent="2"/>
    </xf>
    <xf numFmtId="4" fontId="0" fillId="10" borderId="44" xfId="0" applyNumberFormat="1" applyFill="1" applyBorder="1" applyAlignment="1">
      <alignment horizontal="right" indent="2"/>
    </xf>
    <xf numFmtId="0" fontId="0" fillId="0" borderId="0" xfId="0" applyAlignment="1">
      <alignment horizontal="right"/>
    </xf>
    <xf numFmtId="4" fontId="1" fillId="10" borderId="43" xfId="0" applyNumberFormat="1" applyFont="1" applyFill="1" applyBorder="1" applyAlignment="1">
      <alignment horizontal="right" indent="2"/>
    </xf>
    <xf numFmtId="0" fontId="67" fillId="0" borderId="0" xfId="2" applyFont="1" applyAlignment="1" applyProtection="1">
      <alignment horizontal="right" vertical="top"/>
    </xf>
    <xf numFmtId="1" fontId="4" fillId="0" borderId="41" xfId="0" applyNumberFormat="1" applyFont="1" applyBorder="1" applyAlignment="1">
      <alignment horizontal="right" indent="2"/>
    </xf>
    <xf numFmtId="1" fontId="4" fillId="0" borderId="44" xfId="0" applyNumberFormat="1" applyFont="1" applyBorder="1" applyAlignment="1">
      <alignment horizontal="right" indent="2"/>
    </xf>
    <xf numFmtId="168" fontId="4" fillId="0" borderId="44" xfId="0" applyNumberFormat="1" applyFont="1" applyBorder="1" applyAlignment="1">
      <alignment horizontal="right" indent="1"/>
    </xf>
    <xf numFmtId="1" fontId="4" fillId="0" borderId="96" xfId="0" applyNumberFormat="1" applyFont="1" applyBorder="1" applyAlignment="1">
      <alignment horizontal="right" indent="2"/>
    </xf>
    <xf numFmtId="1" fontId="4" fillId="0" borderId="97" xfId="0" applyNumberFormat="1" applyFont="1" applyBorder="1" applyAlignment="1">
      <alignment horizontal="right" indent="2"/>
    </xf>
    <xf numFmtId="168" fontId="4" fillId="0" borderId="96" xfId="0" applyNumberFormat="1" applyFont="1" applyBorder="1" applyAlignment="1">
      <alignment horizontal="right" indent="1"/>
    </xf>
    <xf numFmtId="1" fontId="4" fillId="0" borderId="99" xfId="0" applyNumberFormat="1" applyFont="1" applyBorder="1" applyAlignment="1">
      <alignment horizontal="right" indent="2"/>
    </xf>
    <xf numFmtId="1" fontId="4" fillId="0" borderId="100" xfId="0" applyNumberFormat="1" applyFont="1" applyBorder="1" applyAlignment="1">
      <alignment horizontal="right" indent="2"/>
    </xf>
    <xf numFmtId="168" fontId="4" fillId="0" borderId="99" xfId="0" applyNumberFormat="1" applyFont="1" applyBorder="1" applyAlignment="1">
      <alignment horizontal="right" indent="1"/>
    </xf>
    <xf numFmtId="167" fontId="4" fillId="0" borderId="96" xfId="0" applyNumberFormat="1" applyFont="1" applyBorder="1" applyAlignment="1">
      <alignment horizontal="right" indent="2"/>
    </xf>
    <xf numFmtId="167" fontId="4" fillId="0" borderId="99" xfId="0" applyNumberFormat="1" applyFont="1" applyBorder="1" applyAlignment="1">
      <alignment horizontal="right" indent="2"/>
    </xf>
    <xf numFmtId="167" fontId="4" fillId="0" borderId="44" xfId="0" applyNumberFormat="1" applyFont="1" applyBorder="1" applyAlignment="1">
      <alignment horizontal="right" indent="2"/>
    </xf>
    <xf numFmtId="0" fontId="4" fillId="0" borderId="91" xfId="0" applyFont="1" applyBorder="1" applyAlignment="1">
      <alignment horizontal="left" indent="1"/>
    </xf>
    <xf numFmtId="0" fontId="4" fillId="0" borderId="92" xfId="0" applyFont="1" applyBorder="1" applyAlignment="1">
      <alignment horizontal="left" indent="1"/>
    </xf>
    <xf numFmtId="0" fontId="4" fillId="0" borderId="93" xfId="0" applyFont="1" applyBorder="1" applyAlignment="1">
      <alignment horizontal="left" indent="1"/>
    </xf>
    <xf numFmtId="167" fontId="4" fillId="0" borderId="98" xfId="0" applyNumberFormat="1" applyFont="1" applyBorder="1" applyAlignment="1">
      <alignment horizontal="right" indent="2"/>
    </xf>
    <xf numFmtId="167" fontId="4" fillId="0" borderId="101" xfId="0" applyNumberFormat="1" applyFont="1" applyBorder="1" applyAlignment="1">
      <alignment horizontal="right" indent="2"/>
    </xf>
    <xf numFmtId="167" fontId="4" fillId="0" borderId="95" xfId="0" applyNumberFormat="1" applyFont="1" applyBorder="1" applyAlignment="1">
      <alignment horizontal="right" indent="2"/>
    </xf>
    <xf numFmtId="0" fontId="4" fillId="9" borderId="76" xfId="0" applyFont="1" applyFill="1" applyBorder="1" applyAlignment="1">
      <alignment horizontal="center" vertical="center"/>
    </xf>
    <xf numFmtId="0" fontId="4" fillId="9" borderId="14" xfId="0" applyFont="1" applyFill="1" applyBorder="1" applyAlignment="1">
      <alignment horizontal="center" vertical="center"/>
    </xf>
    <xf numFmtId="0" fontId="4" fillId="9" borderId="5" xfId="0" applyFont="1" applyFill="1" applyBorder="1" applyAlignment="1">
      <alignment horizontal="center" vertical="center"/>
    </xf>
    <xf numFmtId="168" fontId="15" fillId="0" borderId="5" xfId="0" applyNumberFormat="1" applyFont="1" applyBorder="1" applyAlignment="1">
      <alignment horizontal="right" vertical="center" wrapText="1" indent="2"/>
    </xf>
    <xf numFmtId="168" fontId="15" fillId="0" borderId="44" xfId="0" applyNumberFormat="1" applyFont="1" applyBorder="1" applyAlignment="1">
      <alignment horizontal="right" vertical="center" wrapText="1" indent="2"/>
    </xf>
    <xf numFmtId="0" fontId="12" fillId="9" borderId="26" xfId="0" applyFont="1" applyFill="1" applyBorder="1" applyAlignment="1">
      <alignment horizontal="left" vertical="center" indent="3"/>
    </xf>
    <xf numFmtId="1" fontId="12" fillId="9" borderId="47" xfId="0" applyNumberFormat="1" applyFont="1" applyFill="1" applyBorder="1" applyAlignment="1">
      <alignment horizontal="right" vertical="center" indent="2"/>
    </xf>
    <xf numFmtId="168" fontId="12" fillId="9" borderId="47" xfId="0" applyNumberFormat="1" applyFont="1" applyFill="1" applyBorder="1" applyAlignment="1">
      <alignment horizontal="right" vertical="center" indent="1"/>
    </xf>
    <xf numFmtId="167" fontId="12" fillId="9" borderId="94" xfId="0" applyNumberFormat="1" applyFont="1" applyFill="1" applyBorder="1" applyAlignment="1">
      <alignment horizontal="right" vertical="center" indent="2"/>
    </xf>
    <xf numFmtId="0" fontId="4" fillId="0" borderId="103" xfId="0" applyFont="1" applyBorder="1" applyAlignment="1">
      <alignment horizontal="left" indent="1"/>
    </xf>
    <xf numFmtId="1" fontId="4" fillId="0" borderId="104" xfId="0" applyNumberFormat="1" applyFont="1" applyBorder="1" applyAlignment="1">
      <alignment horizontal="right" indent="2"/>
    </xf>
    <xf numFmtId="1" fontId="4" fillId="0" borderId="105" xfId="0" applyNumberFormat="1" applyFont="1" applyBorder="1" applyAlignment="1">
      <alignment horizontal="right" indent="2"/>
    </xf>
    <xf numFmtId="167" fontId="4" fillId="0" borderId="104" xfId="0" applyNumberFormat="1" applyFont="1" applyBorder="1" applyAlignment="1">
      <alignment horizontal="right" indent="2"/>
    </xf>
    <xf numFmtId="168" fontId="4" fillId="0" borderId="104" xfId="0" applyNumberFormat="1" applyFont="1" applyBorder="1" applyAlignment="1">
      <alignment horizontal="right" indent="1"/>
    </xf>
    <xf numFmtId="167" fontId="4" fillId="0" borderId="106" xfId="0" applyNumberFormat="1" applyFont="1" applyBorder="1" applyAlignment="1">
      <alignment horizontal="right" indent="2"/>
    </xf>
    <xf numFmtId="1" fontId="4" fillId="0" borderId="96" xfId="0" applyNumberFormat="1" applyFont="1" applyBorder="1" applyAlignment="1">
      <alignment horizontal="right" vertical="center" indent="2"/>
    </xf>
    <xf numFmtId="168" fontId="4" fillId="0" borderId="96" xfId="0" applyNumberFormat="1" applyFont="1" applyBorder="1" applyAlignment="1">
      <alignment horizontal="right" vertical="center" indent="1"/>
    </xf>
    <xf numFmtId="167" fontId="4" fillId="0" borderId="98" xfId="0" applyNumberFormat="1" applyFont="1" applyBorder="1" applyAlignment="1">
      <alignment horizontal="right" vertical="center" indent="2"/>
    </xf>
    <xf numFmtId="0" fontId="4" fillId="0" borderId="102" xfId="0" applyFont="1" applyBorder="1" applyAlignment="1">
      <alignment horizontal="left" vertical="center" indent="1"/>
    </xf>
    <xf numFmtId="0" fontId="0" fillId="0" borderId="0" xfId="0" applyAlignment="1">
      <alignment horizontal="left"/>
    </xf>
    <xf numFmtId="49" fontId="11" fillId="6" borderId="84" xfId="0" applyNumberFormat="1" applyFont="1" applyFill="1" applyBorder="1" applyAlignment="1">
      <alignment vertical="top"/>
    </xf>
    <xf numFmtId="0" fontId="14" fillId="6" borderId="62" xfId="0" applyFont="1" applyFill="1" applyBorder="1" applyAlignment="1">
      <alignment horizontal="center" vertical="center"/>
    </xf>
    <xf numFmtId="3" fontId="24" fillId="6" borderId="62" xfId="0" applyNumberFormat="1" applyFont="1" applyFill="1" applyBorder="1" applyAlignment="1">
      <alignment horizontal="center" vertical="center"/>
    </xf>
    <xf numFmtId="0" fontId="24" fillId="6" borderId="62" xfId="0" applyFont="1" applyFill="1" applyBorder="1" applyAlignment="1">
      <alignment horizontal="center" vertical="center"/>
    </xf>
    <xf numFmtId="0" fontId="24" fillId="6" borderId="85" xfId="0" applyFont="1" applyFill="1" applyBorder="1" applyAlignment="1">
      <alignment horizontal="center" vertical="center"/>
    </xf>
    <xf numFmtId="49" fontId="11" fillId="6" borderId="86" xfId="0" applyNumberFormat="1" applyFont="1" applyFill="1" applyBorder="1" applyAlignment="1">
      <alignment vertical="top"/>
    </xf>
    <xf numFmtId="0" fontId="4" fillId="6" borderId="0" xfId="0" applyFont="1" applyFill="1" applyAlignment="1">
      <alignment horizontal="left"/>
    </xf>
    <xf numFmtId="0" fontId="4" fillId="6" borderId="87" xfId="0" applyFont="1" applyFill="1" applyBorder="1" applyAlignment="1">
      <alignment vertical="center"/>
    </xf>
    <xf numFmtId="49" fontId="11" fillId="6" borderId="88" xfId="0" applyNumberFormat="1" applyFont="1" applyFill="1" applyBorder="1" applyAlignment="1">
      <alignment vertical="top"/>
    </xf>
    <xf numFmtId="0" fontId="4" fillId="6" borderId="58" xfId="0" applyFont="1" applyFill="1" applyBorder="1" applyAlignment="1">
      <alignment horizontal="left" vertical="center" wrapText="1"/>
    </xf>
    <xf numFmtId="0" fontId="4" fillId="6" borderId="58" xfId="0" applyFont="1" applyFill="1" applyBorder="1" applyAlignment="1">
      <alignment vertical="center" wrapText="1"/>
    </xf>
    <xf numFmtId="0" fontId="4" fillId="6" borderId="89" xfId="0" applyFont="1" applyFill="1" applyBorder="1" applyAlignment="1">
      <alignment vertical="center" wrapText="1"/>
    </xf>
    <xf numFmtId="168" fontId="14" fillId="6" borderId="0" xfId="3" applyNumberFormat="1" applyFont="1" applyFill="1" applyBorder="1" applyAlignment="1">
      <alignment horizontal="center" vertical="center"/>
    </xf>
    <xf numFmtId="0" fontId="4" fillId="6" borderId="0" xfId="0" applyFont="1" applyFill="1" applyAlignment="1">
      <alignment horizontal="left" vertical="center" indent="2"/>
    </xf>
    <xf numFmtId="0" fontId="40" fillId="6" borderId="62" xfId="0" applyFont="1" applyFill="1" applyBorder="1" applyAlignment="1">
      <alignment horizontal="left" vertical="center"/>
    </xf>
    <xf numFmtId="0" fontId="0" fillId="6" borderId="0" xfId="0" applyFill="1" applyAlignment="1">
      <alignment horizontal="left" vertical="center"/>
    </xf>
    <xf numFmtId="0" fontId="0" fillId="6" borderId="87" xfId="0" applyFill="1" applyBorder="1" applyAlignment="1">
      <alignment horizontal="left" vertical="center"/>
    </xf>
    <xf numFmtId="0" fontId="1" fillId="6" borderId="0" xfId="0" applyFont="1" applyFill="1" applyAlignment="1">
      <alignment horizontal="center" vertical="center"/>
    </xf>
    <xf numFmtId="0" fontId="4" fillId="6" borderId="87" xfId="0" applyFont="1" applyFill="1" applyBorder="1" applyAlignment="1">
      <alignment horizontal="left" vertical="center" wrapText="1"/>
    </xf>
    <xf numFmtId="0" fontId="68" fillId="0" borderId="28" xfId="0" applyFont="1" applyBorder="1" applyAlignment="1">
      <alignment horizontal="right"/>
    </xf>
    <xf numFmtId="0" fontId="68" fillId="0" borderId="0" xfId="0" applyFont="1"/>
    <xf numFmtId="0" fontId="15" fillId="6" borderId="71" xfId="0" applyFont="1" applyFill="1" applyBorder="1" applyAlignment="1">
      <alignment horizontal="right" vertical="center"/>
    </xf>
    <xf numFmtId="0" fontId="4" fillId="6" borderId="71" xfId="0" applyFont="1" applyFill="1" applyBorder="1" applyAlignment="1">
      <alignment horizontal="right" vertical="center"/>
    </xf>
    <xf numFmtId="0" fontId="4" fillId="6" borderId="71" xfId="0" applyFont="1" applyFill="1" applyBorder="1" applyAlignment="1">
      <alignment horizontal="left" vertical="center"/>
    </xf>
    <xf numFmtId="0" fontId="4" fillId="6" borderId="71" xfId="0" applyFont="1" applyFill="1" applyBorder="1" applyAlignment="1">
      <alignment horizontal="right"/>
    </xf>
    <xf numFmtId="0" fontId="1" fillId="6" borderId="71" xfId="0" applyFont="1" applyFill="1" applyBorder="1" applyAlignment="1">
      <alignment horizontal="right"/>
    </xf>
    <xf numFmtId="0" fontId="4" fillId="6" borderId="33" xfId="0" applyFont="1" applyFill="1" applyBorder="1" applyAlignment="1">
      <alignment horizontal="right" vertical="center"/>
    </xf>
    <xf numFmtId="0" fontId="1" fillId="6" borderId="33" xfId="0" applyFont="1" applyFill="1" applyBorder="1" applyAlignment="1">
      <alignment horizontal="right"/>
    </xf>
    <xf numFmtId="0" fontId="4" fillId="6" borderId="33" xfId="0" applyFont="1" applyFill="1" applyBorder="1" applyAlignment="1">
      <alignment horizontal="right" vertical="top"/>
    </xf>
    <xf numFmtId="10" fontId="4" fillId="6" borderId="33" xfId="0" applyNumberFormat="1" applyFont="1" applyFill="1" applyBorder="1" applyAlignment="1">
      <alignment horizontal="center" vertical="top"/>
    </xf>
    <xf numFmtId="9" fontId="4" fillId="6" borderId="0" xfId="0" applyNumberFormat="1" applyFont="1" applyFill="1" applyAlignment="1">
      <alignment horizontal="center" vertical="center" wrapText="1"/>
    </xf>
    <xf numFmtId="3" fontId="28" fillId="0" borderId="28" xfId="0" applyNumberFormat="1" applyFont="1" applyBorder="1" applyAlignment="1">
      <alignment horizontal="center"/>
    </xf>
    <xf numFmtId="0" fontId="27" fillId="7" borderId="7" xfId="0" applyFont="1" applyFill="1" applyBorder="1" applyAlignment="1">
      <alignment horizontal="right" indent="3"/>
    </xf>
    <xf numFmtId="0" fontId="4" fillId="0" borderId="0" xfId="0" applyFont="1" applyAlignment="1">
      <alignment horizontal="right"/>
    </xf>
    <xf numFmtId="168" fontId="38" fillId="0" borderId="0" xfId="3" applyNumberFormat="1" applyFont="1" applyBorder="1" applyAlignment="1">
      <alignment horizontal="center" vertical="center"/>
    </xf>
    <xf numFmtId="165" fontId="35" fillId="0" borderId="0" xfId="1" applyNumberFormat="1" applyFont="1" applyAlignment="1">
      <alignment horizontal="left"/>
    </xf>
    <xf numFmtId="0" fontId="70" fillId="0" borderId="0" xfId="0" applyFont="1"/>
    <xf numFmtId="9" fontId="12" fillId="12" borderId="5" xfId="0" applyNumberFormat="1" applyFont="1" applyFill="1" applyBorder="1" applyAlignment="1">
      <alignment horizontal="center" vertical="center" wrapText="1"/>
    </xf>
    <xf numFmtId="0" fontId="4" fillId="6" borderId="0" xfId="0" applyFont="1" applyFill="1" applyAlignment="1">
      <alignment horizontal="left" indent="2"/>
    </xf>
    <xf numFmtId="1" fontId="12" fillId="12" borderId="5" xfId="0" applyNumberFormat="1" applyFont="1" applyFill="1" applyBorder="1" applyAlignment="1">
      <alignment horizontal="right" vertical="center" indent="1"/>
    </xf>
    <xf numFmtId="0" fontId="4" fillId="6" borderId="0" xfId="0" applyFont="1" applyFill="1" applyAlignment="1">
      <alignment horizontal="right" vertical="center" indent="1"/>
    </xf>
    <xf numFmtId="0" fontId="15" fillId="6" borderId="0" xfId="0" applyFont="1" applyFill="1" applyAlignment="1">
      <alignment vertical="center"/>
    </xf>
    <xf numFmtId="0" fontId="72" fillId="6" borderId="0" xfId="0" applyFont="1" applyFill="1" applyAlignment="1">
      <alignment vertical="center"/>
    </xf>
    <xf numFmtId="1" fontId="4" fillId="0" borderId="0" xfId="0" applyNumberFormat="1" applyFont="1" applyAlignment="1">
      <alignment horizontal="right" indent="2"/>
    </xf>
    <xf numFmtId="3" fontId="15" fillId="0" borderId="41" xfId="0" applyNumberFormat="1" applyFont="1" applyBorder="1" applyAlignment="1">
      <alignment horizontal="right" indent="2"/>
    </xf>
    <xf numFmtId="3" fontId="15" fillId="0" borderId="0" xfId="0" applyNumberFormat="1" applyFont="1" applyAlignment="1">
      <alignment horizontal="right" indent="2"/>
    </xf>
    <xf numFmtId="169" fontId="15" fillId="0" borderId="0" xfId="0" applyNumberFormat="1" applyFont="1" applyAlignment="1">
      <alignment horizontal="right" indent="1"/>
    </xf>
    <xf numFmtId="3" fontId="15" fillId="0" borderId="0" xfId="0" applyNumberFormat="1" applyFont="1" applyAlignment="1">
      <alignment horizontal="right" indent="1"/>
    </xf>
    <xf numFmtId="3" fontId="15" fillId="0" borderId="6" xfId="0" applyNumberFormat="1" applyFont="1" applyBorder="1" applyAlignment="1">
      <alignment horizontal="right"/>
    </xf>
    <xf numFmtId="3" fontId="15" fillId="0" borderId="7" xfId="0" applyNumberFormat="1" applyFont="1" applyBorder="1" applyAlignment="1">
      <alignment horizontal="right" indent="2"/>
    </xf>
    <xf numFmtId="169" fontId="15" fillId="0" borderId="7" xfId="0" applyNumberFormat="1" applyFont="1" applyBorder="1" applyAlignment="1">
      <alignment horizontal="right" indent="1"/>
    </xf>
    <xf numFmtId="3" fontId="15" fillId="0" borderId="7" xfId="0" applyNumberFormat="1" applyFont="1" applyBorder="1" applyAlignment="1">
      <alignment horizontal="right" indent="1"/>
    </xf>
    <xf numFmtId="3" fontId="15" fillId="0" borderId="9" xfId="0" applyNumberFormat="1" applyFont="1" applyBorder="1" applyAlignment="1">
      <alignment horizontal="right"/>
    </xf>
    <xf numFmtId="3" fontId="15" fillId="0" borderId="39" xfId="0" applyNumberFormat="1" applyFont="1" applyBorder="1" applyAlignment="1">
      <alignment horizontal="right"/>
    </xf>
    <xf numFmtId="172" fontId="15" fillId="0" borderId="9" xfId="0" applyNumberFormat="1" applyFont="1" applyBorder="1" applyAlignment="1">
      <alignment horizontal="right"/>
    </xf>
    <xf numFmtId="167" fontId="15" fillId="0" borderId="0" xfId="0" applyNumberFormat="1" applyFont="1" applyAlignment="1">
      <alignment horizontal="right" indent="1"/>
    </xf>
    <xf numFmtId="0" fontId="15" fillId="0" borderId="0" xfId="0" applyFont="1" applyAlignment="1">
      <alignment horizontal="right" indent="2"/>
    </xf>
    <xf numFmtId="0" fontId="15" fillId="0" borderId="0" xfId="0" applyFont="1" applyAlignment="1">
      <alignment horizontal="right" indent="1"/>
    </xf>
    <xf numFmtId="0" fontId="2" fillId="0" borderId="0" xfId="0" applyFont="1" applyAlignment="1">
      <alignment horizontal="right" vertical="top"/>
    </xf>
    <xf numFmtId="0" fontId="15" fillId="7" borderId="42" xfId="0" applyFont="1" applyFill="1" applyBorder="1" applyAlignment="1">
      <alignment horizontal="left" indent="1"/>
    </xf>
    <xf numFmtId="0" fontId="15" fillId="7" borderId="43" xfId="0" applyFont="1" applyFill="1" applyBorder="1" applyAlignment="1">
      <alignment horizontal="left" indent="1"/>
    </xf>
    <xf numFmtId="0" fontId="15" fillId="7" borderId="43" xfId="0" applyFont="1" applyFill="1" applyBorder="1" applyAlignment="1">
      <alignment horizontal="left" indent="3"/>
    </xf>
    <xf numFmtId="0" fontId="15" fillId="7" borderId="44" xfId="0" applyFont="1" applyFill="1" applyBorder="1" applyAlignment="1">
      <alignment horizontal="left" vertical="center" indent="3"/>
    </xf>
    <xf numFmtId="0" fontId="15" fillId="11" borderId="14" xfId="0" applyFont="1" applyFill="1" applyBorder="1" applyAlignment="1">
      <alignment horizontal="center"/>
    </xf>
    <xf numFmtId="0" fontId="15" fillId="11" borderId="15" xfId="0" applyFont="1" applyFill="1" applyBorder="1" applyAlignment="1">
      <alignment horizontal="center"/>
    </xf>
    <xf numFmtId="0" fontId="15" fillId="11" borderId="16" xfId="0" applyFont="1" applyFill="1" applyBorder="1" applyAlignment="1">
      <alignment horizontal="center"/>
    </xf>
    <xf numFmtId="0" fontId="15" fillId="7" borderId="14" xfId="0" applyFont="1" applyFill="1" applyBorder="1" applyAlignment="1">
      <alignment horizontal="center"/>
    </xf>
    <xf numFmtId="0" fontId="15" fillId="7" borderId="15" xfId="0" applyFont="1" applyFill="1" applyBorder="1" applyAlignment="1">
      <alignment horizontal="center"/>
    </xf>
    <xf numFmtId="0" fontId="15" fillId="7" borderId="16" xfId="0" applyFont="1" applyFill="1" applyBorder="1" applyAlignment="1">
      <alignment horizontal="center"/>
    </xf>
    <xf numFmtId="0" fontId="41" fillId="0" borderId="6" xfId="0" applyFont="1" applyBorder="1" applyAlignment="1">
      <alignment horizontal="center"/>
    </xf>
    <xf numFmtId="0" fontId="41" fillId="0" borderId="9" xfId="0" applyFont="1" applyBorder="1" applyAlignment="1">
      <alignment horizontal="center"/>
    </xf>
    <xf numFmtId="0" fontId="41" fillId="0" borderId="39" xfId="0" applyFont="1" applyBorder="1" applyAlignment="1">
      <alignment horizontal="center"/>
    </xf>
    <xf numFmtId="0" fontId="15" fillId="0" borderId="9" xfId="0" applyFont="1" applyBorder="1"/>
    <xf numFmtId="172" fontId="15" fillId="7" borderId="14" xfId="0" applyNumberFormat="1" applyFont="1" applyFill="1" applyBorder="1" applyAlignment="1">
      <alignment horizontal="right" vertical="center"/>
    </xf>
    <xf numFmtId="172" fontId="15" fillId="7" borderId="15" xfId="0" applyNumberFormat="1" applyFont="1" applyFill="1" applyBorder="1" applyAlignment="1">
      <alignment horizontal="right" vertical="center" indent="2"/>
    </xf>
    <xf numFmtId="0" fontId="15" fillId="11" borderId="14" xfId="0" applyFont="1" applyFill="1" applyBorder="1" applyAlignment="1">
      <alignment vertical="center"/>
    </xf>
    <xf numFmtId="173" fontId="15" fillId="11" borderId="15" xfId="0" applyNumberFormat="1" applyFont="1" applyFill="1" applyBorder="1" applyAlignment="1">
      <alignment horizontal="right" vertical="center" indent="1"/>
    </xf>
    <xf numFmtId="172" fontId="15" fillId="11" borderId="15" xfId="0" applyNumberFormat="1" applyFont="1" applyFill="1" applyBorder="1" applyAlignment="1">
      <alignment horizontal="center" vertical="center"/>
    </xf>
    <xf numFmtId="172" fontId="15" fillId="11" borderId="15" xfId="0" applyNumberFormat="1" applyFont="1" applyFill="1" applyBorder="1" applyAlignment="1">
      <alignment horizontal="right" vertical="center" indent="1"/>
    </xf>
    <xf numFmtId="0" fontId="15" fillId="0" borderId="0" xfId="0" applyFont="1" applyAlignment="1">
      <alignment vertical="center"/>
    </xf>
    <xf numFmtId="0" fontId="15" fillId="7" borderId="0" xfId="0" applyFont="1" applyFill="1" applyAlignment="1">
      <alignment horizontal="center"/>
    </xf>
    <xf numFmtId="0" fontId="15" fillId="11" borderId="0" xfId="0" applyFont="1" applyFill="1" applyAlignment="1">
      <alignment horizontal="center"/>
    </xf>
    <xf numFmtId="0" fontId="15" fillId="11" borderId="0" xfId="0" applyFont="1" applyFill="1" applyAlignment="1">
      <alignment horizontal="center" vertical="top"/>
    </xf>
    <xf numFmtId="0" fontId="0" fillId="11" borderId="0" xfId="0" applyFill="1"/>
    <xf numFmtId="0" fontId="1" fillId="11" borderId="0" xfId="0" applyFont="1" applyFill="1" applyAlignment="1">
      <alignment horizontal="center" vertical="top"/>
    </xf>
    <xf numFmtId="0" fontId="15" fillId="7" borderId="41" xfId="0" applyFont="1" applyFill="1" applyBorder="1" applyAlignment="1">
      <alignment horizontal="center"/>
    </xf>
    <xf numFmtId="0" fontId="4" fillId="0" borderId="0" xfId="0" applyFont="1" applyAlignment="1">
      <alignment horizontal="left" wrapText="1"/>
    </xf>
    <xf numFmtId="9" fontId="15" fillId="11" borderId="16" xfId="3" applyFont="1" applyFill="1" applyBorder="1" applyAlignment="1">
      <alignment horizontal="right" vertical="center" indent="1"/>
    </xf>
    <xf numFmtId="168" fontId="15" fillId="0" borderId="8" xfId="3" applyNumberFormat="1" applyFont="1" applyBorder="1" applyAlignment="1">
      <alignment horizontal="right" indent="1"/>
    </xf>
    <xf numFmtId="168" fontId="15" fillId="0" borderId="10" xfId="3" applyNumberFormat="1" applyFont="1" applyBorder="1" applyAlignment="1">
      <alignment horizontal="right" indent="1"/>
    </xf>
    <xf numFmtId="168" fontId="15" fillId="0" borderId="40" xfId="3" applyNumberFormat="1" applyFont="1" applyBorder="1" applyAlignment="1">
      <alignment horizontal="right" indent="1"/>
    </xf>
    <xf numFmtId="168" fontId="15" fillId="0" borderId="0" xfId="3" applyNumberFormat="1" applyFont="1" applyBorder="1" applyAlignment="1">
      <alignment horizontal="right" indent="1"/>
    </xf>
    <xf numFmtId="168" fontId="15" fillId="0" borderId="0" xfId="0" applyNumberFormat="1" applyFont="1" applyAlignment="1">
      <alignment horizontal="right" indent="1"/>
    </xf>
    <xf numFmtId="168" fontId="15" fillId="7" borderId="15" xfId="0" applyNumberFormat="1" applyFont="1" applyFill="1" applyBorder="1" applyAlignment="1">
      <alignment horizontal="right" vertical="center" indent="1"/>
    </xf>
    <xf numFmtId="168" fontId="15" fillId="0" borderId="0" xfId="3" applyNumberFormat="1" applyFont="1" applyAlignment="1">
      <alignment horizontal="right" indent="1"/>
    </xf>
    <xf numFmtId="168" fontId="15" fillId="7" borderId="15" xfId="3" applyNumberFormat="1" applyFont="1" applyFill="1" applyBorder="1" applyAlignment="1">
      <alignment horizontal="right" indent="1"/>
    </xf>
    <xf numFmtId="166" fontId="15" fillId="0" borderId="46" xfId="1" applyNumberFormat="1" applyFont="1" applyBorder="1" applyAlignment="1">
      <alignment horizontal="left" vertical="center"/>
    </xf>
    <xf numFmtId="166" fontId="15" fillId="0" borderId="5" xfId="1" applyNumberFormat="1" applyFont="1" applyBorder="1" applyAlignment="1">
      <alignment horizontal="left" vertical="center"/>
    </xf>
    <xf numFmtId="168" fontId="15" fillId="0" borderId="7" xfId="0" applyNumberFormat="1" applyFont="1" applyBorder="1" applyAlignment="1">
      <alignment horizontal="right" indent="1"/>
    </xf>
    <xf numFmtId="168" fontId="15" fillId="0" borderId="8" xfId="0" applyNumberFormat="1" applyFont="1" applyBorder="1" applyAlignment="1">
      <alignment horizontal="right" indent="1"/>
    </xf>
    <xf numFmtId="168" fontId="15" fillId="0" borderId="10" xfId="0" applyNumberFormat="1" applyFont="1" applyBorder="1" applyAlignment="1">
      <alignment horizontal="right" indent="1"/>
    </xf>
    <xf numFmtId="168" fontId="15" fillId="0" borderId="41" xfId="0" applyNumberFormat="1" applyFont="1" applyBorder="1" applyAlignment="1">
      <alignment horizontal="right" indent="1"/>
    </xf>
    <xf numFmtId="168" fontId="15" fillId="0" borderId="40" xfId="0" applyNumberFormat="1" applyFont="1" applyBorder="1" applyAlignment="1">
      <alignment horizontal="right" indent="1"/>
    </xf>
    <xf numFmtId="10" fontId="4" fillId="0" borderId="0" xfId="0" applyNumberFormat="1" applyFont="1" applyAlignment="1">
      <alignment horizontal="right" indent="1"/>
    </xf>
    <xf numFmtId="9" fontId="4" fillId="0" borderId="0" xfId="0" applyNumberFormat="1" applyFont="1" applyAlignment="1">
      <alignment horizontal="right" indent="1"/>
    </xf>
    <xf numFmtId="0" fontId="2" fillId="0" borderId="0" xfId="0" applyFont="1" applyAlignment="1">
      <alignment horizontal="right"/>
    </xf>
    <xf numFmtId="0" fontId="73" fillId="6" borderId="62" xfId="0" applyFont="1" applyFill="1" applyBorder="1" applyAlignment="1">
      <alignment horizontal="left"/>
    </xf>
    <xf numFmtId="0" fontId="49" fillId="6" borderId="0" xfId="0" applyFont="1" applyFill="1" applyAlignment="1">
      <alignment horizontal="left" indent="1"/>
    </xf>
    <xf numFmtId="0" fontId="0" fillId="0" borderId="86" xfId="0" applyBorder="1"/>
    <xf numFmtId="0" fontId="74" fillId="0" borderId="0" xfId="0" applyFont="1" applyAlignment="1">
      <alignment vertical="center"/>
    </xf>
    <xf numFmtId="0" fontId="55" fillId="6" borderId="31" xfId="0" applyFont="1" applyFill="1" applyBorder="1" applyAlignment="1">
      <alignment horizontal="right" vertical="center" indent="3"/>
    </xf>
    <xf numFmtId="0" fontId="71" fillId="0" borderId="0" xfId="0" applyFont="1" applyAlignment="1">
      <alignment horizontal="left" vertical="center"/>
    </xf>
    <xf numFmtId="167" fontId="4" fillId="0" borderId="1" xfId="0" applyNumberFormat="1" applyFont="1" applyBorder="1" applyAlignment="1">
      <alignment horizontal="right" vertical="center" indent="3"/>
    </xf>
    <xf numFmtId="0" fontId="0" fillId="0" borderId="15" xfId="0" applyBorder="1"/>
    <xf numFmtId="0" fontId="15" fillId="0" borderId="0" xfId="0" applyFont="1" applyAlignment="1">
      <alignment horizontal="justify" wrapText="1"/>
    </xf>
    <xf numFmtId="0" fontId="0" fillId="0" borderId="0" xfId="0" applyAlignment="1">
      <alignment horizontal="justify" wrapText="1"/>
    </xf>
    <xf numFmtId="0" fontId="0" fillId="0" borderId="0" xfId="0" applyAlignment="1">
      <alignment wrapText="1"/>
    </xf>
    <xf numFmtId="0" fontId="26" fillId="11" borderId="86" xfId="0" applyFont="1" applyFill="1" applyBorder="1" applyAlignment="1">
      <alignment horizontal="center" vertical="center"/>
    </xf>
    <xf numFmtId="0" fontId="54" fillId="11" borderId="0" xfId="0" applyFont="1" applyFill="1" applyAlignment="1">
      <alignment horizontal="center" vertical="center"/>
    </xf>
    <xf numFmtId="0" fontId="54" fillId="11" borderId="0" xfId="0" applyFont="1" applyFill="1"/>
    <xf numFmtId="0" fontId="0" fillId="0" borderId="0" xfId="0"/>
    <xf numFmtId="0" fontId="0" fillId="0" borderId="87" xfId="0" applyBorder="1"/>
    <xf numFmtId="0" fontId="4" fillId="11" borderId="0" xfId="0" applyFont="1" applyFill="1" applyAlignment="1">
      <alignment horizontal="justify" vertical="center" wrapText="1"/>
    </xf>
    <xf numFmtId="0" fontId="1" fillId="11" borderId="0" xfId="0" applyFont="1" applyFill="1" applyAlignment="1">
      <alignment horizontal="justify" vertical="center" wrapText="1"/>
    </xf>
    <xf numFmtId="0" fontId="29" fillId="6" borderId="0" xfId="0" applyFont="1" applyFill="1"/>
    <xf numFmtId="0" fontId="4" fillId="11" borderId="58" xfId="0" applyFont="1" applyFill="1" applyBorder="1" applyAlignment="1">
      <alignment horizontal="justify" wrapText="1"/>
    </xf>
    <xf numFmtId="0" fontId="1" fillId="11" borderId="58" xfId="0" applyFont="1" applyFill="1" applyBorder="1" applyAlignment="1">
      <alignment horizontal="justify" wrapText="1"/>
    </xf>
    <xf numFmtId="0" fontId="4" fillId="11" borderId="0" xfId="0" applyFont="1" applyFill="1" applyAlignment="1">
      <alignment horizontal="justify" wrapText="1"/>
    </xf>
    <xf numFmtId="0" fontId="47" fillId="11" borderId="0" xfId="0" applyFont="1" applyFill="1" applyAlignment="1">
      <alignment horizontal="justify" wrapText="1"/>
    </xf>
    <xf numFmtId="0" fontId="59" fillId="6" borderId="0" xfId="0" quotePrefix="1" applyFont="1" applyFill="1" applyAlignment="1">
      <alignment horizontal="center" vertical="center"/>
    </xf>
    <xf numFmtId="0" fontId="59" fillId="6" borderId="0" xfId="0" applyFont="1" applyFill="1" applyAlignment="1">
      <alignment horizontal="center" vertical="center"/>
    </xf>
    <xf numFmtId="172" fontId="11" fillId="0" borderId="67" xfId="0" applyNumberFormat="1" applyFont="1" applyBorder="1" applyAlignment="1">
      <alignment horizontal="right" vertical="center" wrapText="1" indent="3"/>
    </xf>
    <xf numFmtId="0" fontId="0" fillId="0" borderId="15" xfId="0" applyBorder="1" applyAlignment="1">
      <alignment horizontal="right" vertical="center" wrapText="1" indent="3"/>
    </xf>
    <xf numFmtId="0" fontId="0" fillId="0" borderId="53" xfId="0" applyBorder="1" applyAlignment="1">
      <alignment horizontal="right" vertical="center" wrapText="1" indent="3"/>
    </xf>
    <xf numFmtId="3" fontId="4" fillId="0" borderId="68" xfId="0" applyNumberFormat="1" applyFont="1" applyBorder="1" applyAlignment="1">
      <alignment horizontal="right" vertical="center" indent="3"/>
    </xf>
    <xf numFmtId="0" fontId="0" fillId="0" borderId="23" xfId="0" applyBorder="1" applyAlignment="1">
      <alignment horizontal="right" vertical="center" indent="3"/>
    </xf>
    <xf numFmtId="0" fontId="0" fillId="0" borderId="69" xfId="0" applyBorder="1" applyAlignment="1">
      <alignment horizontal="right" vertical="center" indent="3"/>
    </xf>
    <xf numFmtId="3" fontId="14" fillId="3" borderId="11" xfId="0" applyNumberFormat="1" applyFont="1" applyFill="1" applyBorder="1" applyAlignment="1">
      <alignment horizontal="right" vertical="center" indent="3"/>
    </xf>
    <xf numFmtId="3" fontId="14" fillId="3" borderId="12" xfId="0" applyNumberFormat="1" applyFont="1" applyFill="1" applyBorder="1" applyAlignment="1">
      <alignment horizontal="right" vertical="center" indent="3"/>
    </xf>
    <xf numFmtId="3" fontId="14" fillId="3" borderId="13" xfId="0" applyNumberFormat="1" applyFont="1" applyFill="1" applyBorder="1" applyAlignment="1">
      <alignment horizontal="right" vertical="center" indent="3"/>
    </xf>
    <xf numFmtId="0" fontId="4" fillId="6" borderId="0" xfId="0" applyFont="1" applyFill="1" applyAlignment="1">
      <alignment horizontal="justify" vertical="center" wrapText="1"/>
    </xf>
    <xf numFmtId="0" fontId="4" fillId="6" borderId="0" xfId="0" applyFont="1" applyFill="1" applyAlignment="1">
      <alignment horizontal="justify" wrapText="1"/>
    </xf>
    <xf numFmtId="0" fontId="52" fillId="0" borderId="26" xfId="0" applyFont="1" applyBorder="1" applyAlignment="1">
      <alignment horizontal="center" vertical="center" wrapText="1"/>
    </xf>
    <xf numFmtId="0" fontId="52" fillId="0" borderId="2" xfId="0" applyFont="1" applyBorder="1" applyAlignment="1">
      <alignment horizontal="center" vertical="center" wrapText="1"/>
    </xf>
    <xf numFmtId="0" fontId="52" fillId="0" borderId="50" xfId="0" applyFont="1" applyBorder="1" applyAlignment="1">
      <alignment horizontal="center" vertical="center" wrapText="1"/>
    </xf>
    <xf numFmtId="172" fontId="11" fillId="10" borderId="67" xfId="0" applyNumberFormat="1" applyFont="1" applyFill="1" applyBorder="1" applyAlignment="1">
      <alignment horizontal="right" vertical="center" wrapText="1" indent="3"/>
    </xf>
    <xf numFmtId="0" fontId="0" fillId="10" borderId="15" xfId="0" applyFill="1" applyBorder="1" applyAlignment="1">
      <alignment horizontal="right" vertical="center" wrapText="1" indent="3"/>
    </xf>
    <xf numFmtId="0" fontId="0" fillId="10" borderId="53" xfId="0" applyFill="1" applyBorder="1" applyAlignment="1">
      <alignment horizontal="right" vertical="center" wrapText="1" indent="3"/>
    </xf>
    <xf numFmtId="0" fontId="4" fillId="3" borderId="71" xfId="0" applyFont="1" applyFill="1" applyBorder="1" applyAlignment="1">
      <alignment horizontal="center" vertical="center" wrapText="1"/>
    </xf>
    <xf numFmtId="0" fontId="0" fillId="0" borderId="71" xfId="0" applyBorder="1" applyAlignment="1">
      <alignment horizontal="center" vertical="center" wrapText="1"/>
    </xf>
    <xf numFmtId="0" fontId="0" fillId="0" borderId="57" xfId="0" applyBorder="1" applyAlignment="1">
      <alignment horizontal="center" vertical="center" wrapText="1"/>
    </xf>
    <xf numFmtId="0" fontId="4" fillId="6" borderId="0" xfId="0" applyFont="1" applyFill="1" applyAlignment="1">
      <alignment wrapText="1"/>
    </xf>
    <xf numFmtId="0" fontId="12" fillId="6" borderId="0" xfId="0" applyFont="1" applyFill="1" applyAlignment="1">
      <alignment horizontal="justify" vertical="top" wrapText="1"/>
    </xf>
    <xf numFmtId="0" fontId="11" fillId="10" borderId="66" xfId="0" applyFont="1" applyFill="1" applyBorder="1" applyAlignment="1">
      <alignment horizontal="right" vertical="center" wrapText="1" indent="3"/>
    </xf>
    <xf numFmtId="0" fontId="0" fillId="10" borderId="18" xfId="0" applyFill="1" applyBorder="1" applyAlignment="1">
      <alignment horizontal="right" vertical="center" wrapText="1" indent="3"/>
    </xf>
    <xf numFmtId="0" fontId="0" fillId="10" borderId="56" xfId="0" applyFill="1" applyBorder="1" applyAlignment="1">
      <alignment horizontal="right" vertical="center" wrapText="1" indent="3"/>
    </xf>
    <xf numFmtId="0" fontId="1" fillId="0" borderId="0" xfId="0" applyFont="1" applyAlignment="1">
      <alignment wrapText="1"/>
    </xf>
    <xf numFmtId="171" fontId="4" fillId="6" borderId="12" xfId="0" applyNumberFormat="1" applyFont="1" applyFill="1" applyBorder="1" applyAlignment="1">
      <alignment horizontal="right" vertical="center" indent="3"/>
    </xf>
    <xf numFmtId="0" fontId="11" fillId="3" borderId="38" xfId="0" applyFont="1" applyFill="1" applyBorder="1" applyAlignment="1">
      <alignment horizontal="center" vertical="center" wrapText="1"/>
    </xf>
    <xf numFmtId="0" fontId="0" fillId="0" borderId="45" xfId="0" applyBorder="1" applyAlignment="1">
      <alignment horizontal="center" vertical="center" wrapText="1"/>
    </xf>
    <xf numFmtId="0" fontId="4" fillId="3" borderId="11" xfId="0" applyFont="1" applyFill="1" applyBorder="1" applyAlignment="1">
      <alignment horizontal="center" vertical="center" wrapText="1"/>
    </xf>
    <xf numFmtId="0" fontId="0" fillId="3" borderId="12" xfId="0" applyFill="1" applyBorder="1" applyAlignment="1">
      <alignment horizontal="center" vertical="center" wrapText="1"/>
    </xf>
    <xf numFmtId="0" fontId="0" fillId="3" borderId="13" xfId="0" applyFill="1" applyBorder="1" applyAlignment="1">
      <alignment horizontal="center" vertical="center" wrapText="1"/>
    </xf>
    <xf numFmtId="168" fontId="15" fillId="0" borderId="5" xfId="3" applyNumberFormat="1" applyFont="1" applyBorder="1" applyAlignment="1">
      <alignment horizontal="right" indent="2"/>
    </xf>
    <xf numFmtId="168" fontId="15" fillId="0" borderId="21" xfId="3" applyNumberFormat="1" applyFont="1" applyBorder="1" applyAlignment="1">
      <alignment horizontal="right" indent="2"/>
    </xf>
    <xf numFmtId="0" fontId="4" fillId="6" borderId="0" xfId="0" applyFont="1" applyFill="1" applyAlignment="1">
      <alignment horizontal="justify" vertical="top" wrapText="1"/>
    </xf>
    <xf numFmtId="0" fontId="0" fillId="0" borderId="0" xfId="0" applyAlignment="1">
      <alignment horizontal="justify" vertical="top" wrapText="1"/>
    </xf>
    <xf numFmtId="0" fontId="0" fillId="0" borderId="31" xfId="0" applyBorder="1" applyAlignment="1">
      <alignment wrapText="1"/>
    </xf>
    <xf numFmtId="168" fontId="15" fillId="0" borderId="5" xfId="0" applyNumberFormat="1" applyFont="1" applyBorder="1" applyAlignment="1">
      <alignment horizontal="right" vertical="center" wrapText="1" indent="1"/>
    </xf>
    <xf numFmtId="168" fontId="15" fillId="0" borderId="5" xfId="0" applyNumberFormat="1" applyFont="1" applyBorder="1" applyAlignment="1">
      <alignment horizontal="right" vertical="center" wrapText="1"/>
    </xf>
    <xf numFmtId="3" fontId="15" fillId="0" borderId="17" xfId="0" applyNumberFormat="1" applyFont="1" applyBorder="1" applyAlignment="1">
      <alignment horizontal="right" indent="3"/>
    </xf>
    <xf numFmtId="0" fontId="15" fillId="0" borderId="18" xfId="0" applyFont="1" applyBorder="1"/>
    <xf numFmtId="0" fontId="15" fillId="0" borderId="19" xfId="0" applyFont="1" applyBorder="1"/>
    <xf numFmtId="168" fontId="15" fillId="0" borderId="47" xfId="3" applyNumberFormat="1" applyFont="1" applyBorder="1" applyAlignment="1">
      <alignment horizontal="right" indent="2"/>
    </xf>
    <xf numFmtId="168" fontId="15" fillId="0" borderId="25" xfId="3" applyNumberFormat="1" applyFont="1" applyBorder="1" applyAlignment="1">
      <alignment horizontal="right" indent="2"/>
    </xf>
    <xf numFmtId="2" fontId="4" fillId="3" borderId="74" xfId="0" applyNumberFormat="1" applyFont="1" applyFill="1" applyBorder="1" applyAlignment="1">
      <alignment horizontal="center" vertical="center" wrapText="1"/>
    </xf>
    <xf numFmtId="0" fontId="0" fillId="0" borderId="76" xfId="0" applyBorder="1" applyAlignment="1">
      <alignment wrapText="1"/>
    </xf>
    <xf numFmtId="0" fontId="0" fillId="0" borderId="77" xfId="0" applyBorder="1" applyAlignment="1">
      <alignment wrapText="1"/>
    </xf>
    <xf numFmtId="0" fontId="4" fillId="3" borderId="72" xfId="0" applyFont="1" applyFill="1" applyBorder="1" applyAlignment="1">
      <alignment horizontal="center" vertical="center" wrapText="1"/>
    </xf>
    <xf numFmtId="0" fontId="0" fillId="0" borderId="73" xfId="0" applyBorder="1" applyAlignment="1">
      <alignment wrapText="1"/>
    </xf>
    <xf numFmtId="0" fontId="0" fillId="0" borderId="80" xfId="0" applyBorder="1" applyAlignment="1">
      <alignment wrapText="1"/>
    </xf>
    <xf numFmtId="3" fontId="15" fillId="0" borderId="14" xfId="0" applyNumberFormat="1" applyFont="1" applyBorder="1" applyAlignment="1">
      <alignment horizontal="right" indent="3"/>
    </xf>
    <xf numFmtId="0" fontId="15" fillId="0" borderId="15" xfId="0" applyFont="1" applyBorder="1"/>
    <xf numFmtId="0" fontId="15" fillId="0" borderId="16" xfId="0" applyFont="1" applyBorder="1"/>
    <xf numFmtId="0" fontId="53" fillId="0" borderId="78" xfId="0" applyFont="1" applyBorder="1" applyAlignment="1">
      <alignment horizontal="center" vertical="center"/>
    </xf>
    <xf numFmtId="0" fontId="53" fillId="0" borderId="2" xfId="0" applyFont="1" applyBorder="1" applyAlignment="1">
      <alignment horizontal="center" vertical="center"/>
    </xf>
    <xf numFmtId="0" fontId="53" fillId="0" borderId="79" xfId="0" applyFont="1" applyBorder="1" applyAlignment="1">
      <alignment horizontal="center" vertical="center"/>
    </xf>
    <xf numFmtId="167" fontId="15" fillId="0" borderId="5" xfId="0" applyNumberFormat="1" applyFont="1" applyBorder="1" applyAlignment="1">
      <alignment horizontal="center" vertical="center" wrapText="1"/>
    </xf>
    <xf numFmtId="0" fontId="61" fillId="6" borderId="0" xfId="0" applyFont="1" applyFill="1" applyAlignment="1">
      <alignment horizontal="center" wrapText="1"/>
    </xf>
    <xf numFmtId="0" fontId="0" fillId="6" borderId="0" xfId="0" applyFill="1" applyAlignment="1">
      <alignment horizontal="center" wrapText="1"/>
    </xf>
    <xf numFmtId="0" fontId="15" fillId="6" borderId="0" xfId="0" applyFont="1" applyFill="1" applyAlignment="1">
      <alignment horizontal="justify" wrapText="1"/>
    </xf>
    <xf numFmtId="0" fontId="4" fillId="6" borderId="0" xfId="0" applyFont="1" applyFill="1" applyAlignment="1">
      <alignment horizontal="left" wrapText="1" indent="1"/>
    </xf>
    <xf numFmtId="0" fontId="4" fillId="9" borderId="66" xfId="0" applyFont="1" applyFill="1" applyBorder="1" applyAlignment="1">
      <alignment horizontal="center" vertical="center" wrapText="1"/>
    </xf>
    <xf numFmtId="0" fontId="0" fillId="0" borderId="18" xfId="0" applyBorder="1" applyAlignment="1">
      <alignment horizontal="center" vertical="center" wrapText="1"/>
    </xf>
    <xf numFmtId="0" fontId="0" fillId="0" borderId="19" xfId="0" applyBorder="1" applyAlignment="1">
      <alignment horizontal="center" vertical="center" wrapText="1"/>
    </xf>
    <xf numFmtId="2" fontId="4" fillId="9" borderId="46" xfId="0" applyNumberFormat="1" applyFont="1" applyFill="1" applyBorder="1" applyAlignment="1">
      <alignment horizontal="center" vertical="center" wrapText="1"/>
    </xf>
    <xf numFmtId="0" fontId="0" fillId="9" borderId="42" xfId="0" applyFill="1" applyBorder="1" applyAlignment="1">
      <alignment wrapText="1"/>
    </xf>
    <xf numFmtId="0" fontId="4" fillId="9" borderId="46" xfId="0" applyFont="1" applyFill="1" applyBorder="1" applyAlignment="1">
      <alignment horizontal="center" vertical="center" wrapText="1"/>
    </xf>
    <xf numFmtId="0" fontId="35" fillId="0" borderId="5" xfId="0" applyFont="1" applyBorder="1" applyAlignment="1">
      <alignment horizontal="center" vertical="center" wrapText="1"/>
    </xf>
    <xf numFmtId="0" fontId="0" fillId="0" borderId="5" xfId="0" applyBorder="1"/>
    <xf numFmtId="3" fontId="4" fillId="3" borderId="11" xfId="0" applyNumberFormat="1" applyFont="1" applyFill="1" applyBorder="1" applyAlignment="1">
      <alignment horizontal="right" vertical="center" indent="3"/>
    </xf>
    <xf numFmtId="3" fontId="4" fillId="3" borderId="12" xfId="0" applyNumberFormat="1" applyFont="1" applyFill="1" applyBorder="1" applyAlignment="1">
      <alignment horizontal="right" vertical="center" indent="3"/>
    </xf>
    <xf numFmtId="3" fontId="4" fillId="3" borderId="13" xfId="0" applyNumberFormat="1" applyFont="1" applyFill="1" applyBorder="1" applyAlignment="1">
      <alignment horizontal="right" vertical="center" indent="3"/>
    </xf>
    <xf numFmtId="168" fontId="15" fillId="0" borderId="46" xfId="3" applyNumberFormat="1" applyFont="1" applyBorder="1" applyAlignment="1">
      <alignment horizontal="right" indent="2"/>
    </xf>
    <xf numFmtId="168" fontId="15" fillId="0" borderId="20" xfId="3" applyNumberFormat="1" applyFont="1" applyBorder="1" applyAlignment="1">
      <alignment horizontal="right" indent="2"/>
    </xf>
    <xf numFmtId="0" fontId="0" fillId="0" borderId="5" xfId="0" applyBorder="1" applyAlignment="1">
      <alignment wrapText="1"/>
    </xf>
    <xf numFmtId="0" fontId="60" fillId="0" borderId="5" xfId="0" applyFont="1" applyBorder="1" applyAlignment="1">
      <alignment horizontal="center" vertical="center" wrapText="1"/>
    </xf>
    <xf numFmtId="0" fontId="6" fillId="0" borderId="5" xfId="0" applyFont="1" applyBorder="1" applyAlignment="1">
      <alignment wrapText="1"/>
    </xf>
    <xf numFmtId="168" fontId="4" fillId="3" borderId="11" xfId="0" applyNumberFormat="1" applyFont="1" applyFill="1" applyBorder="1" applyAlignment="1">
      <alignment horizontal="right" vertical="center" wrapText="1" indent="1"/>
    </xf>
    <xf numFmtId="168" fontId="0" fillId="3" borderId="12" xfId="0" applyNumberFormat="1" applyFill="1" applyBorder="1" applyAlignment="1">
      <alignment horizontal="right" vertical="center" wrapText="1"/>
    </xf>
    <xf numFmtId="168" fontId="0" fillId="3" borderId="13" xfId="0" applyNumberFormat="1" applyFill="1" applyBorder="1" applyAlignment="1">
      <alignment horizontal="right" vertical="center" wrapText="1"/>
    </xf>
    <xf numFmtId="0" fontId="35" fillId="0" borderId="0" xfId="0" applyFont="1" applyAlignment="1">
      <alignment horizontal="center" wrapText="1"/>
    </xf>
    <xf numFmtId="0" fontId="4" fillId="6" borderId="0" xfId="0" applyFont="1" applyFill="1" applyAlignment="1">
      <alignment horizontal="left" wrapText="1"/>
    </xf>
    <xf numFmtId="49" fontId="4" fillId="6" borderId="27" xfId="0" applyNumberFormat="1" applyFont="1" applyFill="1" applyBorder="1" applyAlignment="1">
      <alignment horizontal="left" vertical="center" wrapText="1"/>
    </xf>
    <xf numFmtId="0" fontId="0" fillId="6" borderId="28" xfId="0" applyFill="1" applyBorder="1" applyAlignment="1">
      <alignment horizontal="left" vertical="center" wrapText="1"/>
    </xf>
    <xf numFmtId="49" fontId="4" fillId="6" borderId="30" xfId="0" applyNumberFormat="1" applyFont="1" applyFill="1" applyBorder="1" applyAlignment="1">
      <alignment horizontal="left" vertical="center" wrapText="1"/>
    </xf>
    <xf numFmtId="0" fontId="0" fillId="6" borderId="0" xfId="0" applyFill="1" applyAlignment="1">
      <alignment horizontal="left" vertical="center" wrapText="1"/>
    </xf>
    <xf numFmtId="0" fontId="0" fillId="6" borderId="30" xfId="0" applyFill="1" applyBorder="1" applyAlignment="1">
      <alignment horizontal="left" vertical="center" wrapText="1"/>
    </xf>
    <xf numFmtId="0" fontId="30" fillId="6" borderId="0" xfId="0" applyFont="1" applyFill="1" applyAlignment="1">
      <alignment horizontal="justify" vertical="center" wrapText="1"/>
    </xf>
    <xf numFmtId="0" fontId="0" fillId="6" borderId="0" xfId="0" applyFill="1" applyAlignment="1">
      <alignment horizontal="justify" vertical="center" wrapText="1"/>
    </xf>
    <xf numFmtId="168" fontId="15" fillId="0" borderId="46" xfId="0" applyNumberFormat="1" applyFont="1" applyBorder="1" applyAlignment="1">
      <alignment horizontal="right" vertical="center" wrapText="1" indent="1"/>
    </xf>
    <xf numFmtId="168" fontId="15" fillId="0" borderId="46" xfId="0" applyNumberFormat="1" applyFont="1" applyBorder="1" applyAlignment="1">
      <alignment horizontal="right" vertical="center" wrapText="1"/>
    </xf>
    <xf numFmtId="1" fontId="15" fillId="0" borderId="14" xfId="0" applyNumberFormat="1" applyFont="1" applyBorder="1" applyAlignment="1">
      <alignment horizontal="right" vertical="center" wrapText="1" indent="2"/>
    </xf>
    <xf numFmtId="1" fontId="15" fillId="0" borderId="16" xfId="0" applyNumberFormat="1" applyFont="1" applyBorder="1" applyAlignment="1">
      <alignment horizontal="right" vertical="center" wrapText="1" indent="2"/>
    </xf>
    <xf numFmtId="1" fontId="15" fillId="0" borderId="46" xfId="0" applyNumberFormat="1" applyFont="1" applyBorder="1" applyAlignment="1">
      <alignment horizontal="right" vertical="center" wrapText="1" indent="2"/>
    </xf>
    <xf numFmtId="1" fontId="15" fillId="0" borderId="46" xfId="0" applyNumberFormat="1" applyFont="1" applyBorder="1" applyAlignment="1">
      <alignment horizontal="right" indent="2"/>
    </xf>
    <xf numFmtId="0" fontId="1" fillId="0" borderId="14" xfId="0" applyFont="1" applyBorder="1" applyAlignment="1">
      <alignment horizontal="center" vertical="center"/>
    </xf>
    <xf numFmtId="0" fontId="0" fillId="0" borderId="16" xfId="0" applyBorder="1" applyAlignment="1">
      <alignment horizontal="center" vertical="center"/>
    </xf>
    <xf numFmtId="1" fontId="12" fillId="3" borderId="11" xfId="0" applyNumberFormat="1" applyFont="1" applyFill="1" applyBorder="1" applyAlignment="1">
      <alignment horizontal="center" vertical="center" wrapText="1"/>
    </xf>
    <xf numFmtId="1" fontId="12" fillId="3" borderId="13" xfId="0" applyNumberFormat="1" applyFont="1" applyFill="1" applyBorder="1"/>
    <xf numFmtId="3" fontId="15" fillId="0" borderId="5" xfId="1" applyNumberFormat="1" applyFont="1" applyBorder="1" applyAlignment="1">
      <alignment horizontal="right" vertical="center" indent="2"/>
    </xf>
    <xf numFmtId="0" fontId="15" fillId="0" borderId="5" xfId="0" applyFont="1" applyBorder="1" applyAlignment="1">
      <alignment horizontal="right" vertical="center" indent="2"/>
    </xf>
    <xf numFmtId="167" fontId="15" fillId="0" borderId="14" xfId="0" applyNumberFormat="1" applyFont="1" applyBorder="1" applyAlignment="1">
      <alignment horizontal="center" vertical="center" wrapText="1"/>
    </xf>
    <xf numFmtId="167" fontId="15" fillId="0" borderId="15" xfId="0" applyNumberFormat="1" applyFont="1" applyBorder="1"/>
    <xf numFmtId="0" fontId="53" fillId="0" borderId="42" xfId="0" applyFont="1" applyBorder="1" applyAlignment="1">
      <alignment horizontal="center" vertical="center" wrapText="1"/>
    </xf>
    <xf numFmtId="0" fontId="53" fillId="0" borderId="43" xfId="0" applyFont="1" applyBorder="1" applyAlignment="1">
      <alignment horizontal="center" vertical="center" wrapText="1"/>
    </xf>
    <xf numFmtId="0" fontId="53" fillId="0" borderId="44" xfId="0" applyFont="1" applyBorder="1" applyAlignment="1">
      <alignment wrapText="1"/>
    </xf>
    <xf numFmtId="0" fontId="0" fillId="0" borderId="44" xfId="0" applyBorder="1" applyAlignment="1">
      <alignment wrapText="1"/>
    </xf>
    <xf numFmtId="0" fontId="1" fillId="0" borderId="42" xfId="0" applyFont="1" applyBorder="1" applyAlignment="1">
      <alignment horizontal="center" vertical="center" wrapText="1"/>
    </xf>
    <xf numFmtId="0" fontId="0" fillId="0" borderId="43" xfId="0" applyBorder="1" applyAlignment="1">
      <alignment horizontal="center" vertical="center" wrapText="1"/>
    </xf>
    <xf numFmtId="0" fontId="4" fillId="9" borderId="20" xfId="0" applyFont="1" applyFill="1" applyBorder="1" applyAlignment="1">
      <alignment horizontal="center" vertical="center" wrapText="1"/>
    </xf>
    <xf numFmtId="0" fontId="0" fillId="9" borderId="90" xfId="0" applyFill="1" applyBorder="1" applyAlignment="1">
      <alignment wrapText="1"/>
    </xf>
    <xf numFmtId="167" fontId="4" fillId="9" borderId="51" xfId="0" applyNumberFormat="1" applyFont="1" applyFill="1" applyBorder="1" applyAlignment="1">
      <alignment horizontal="right" vertical="center" indent="4"/>
    </xf>
    <xf numFmtId="0" fontId="0" fillId="9" borderId="48" xfId="0" applyFill="1" applyBorder="1" applyAlignment="1">
      <alignment horizontal="right" vertical="center" indent="4"/>
    </xf>
    <xf numFmtId="0" fontId="4" fillId="9" borderId="1" xfId="0" applyFont="1" applyFill="1" applyBorder="1" applyAlignment="1">
      <alignment horizontal="center" vertical="center" wrapText="1"/>
    </xf>
    <xf numFmtId="0" fontId="0" fillId="9" borderId="1" xfId="0" applyFill="1" applyBorder="1" applyAlignment="1">
      <alignment horizontal="center" vertical="center"/>
    </xf>
    <xf numFmtId="0" fontId="12" fillId="10" borderId="11" xfId="0" applyFont="1" applyFill="1" applyBorder="1" applyAlignment="1">
      <alignment horizontal="left" vertical="center" wrapText="1"/>
    </xf>
    <xf numFmtId="0" fontId="0" fillId="10" borderId="12" xfId="0" applyFill="1" applyBorder="1" applyAlignment="1">
      <alignment horizontal="left" vertical="center" wrapText="1"/>
    </xf>
    <xf numFmtId="0" fontId="0" fillId="0" borderId="13" xfId="0" applyBorder="1" applyAlignment="1">
      <alignment wrapText="1"/>
    </xf>
    <xf numFmtId="0" fontId="6" fillId="6" borderId="54" xfId="0" applyFont="1" applyFill="1" applyBorder="1" applyAlignment="1">
      <alignment horizontal="left" wrapText="1"/>
    </xf>
    <xf numFmtId="0" fontId="6" fillId="0" borderId="31" xfId="0" applyFont="1" applyBorder="1" applyAlignment="1">
      <alignment horizontal="left" wrapText="1"/>
    </xf>
    <xf numFmtId="167" fontId="15" fillId="0" borderId="46" xfId="0" applyNumberFormat="1" applyFont="1" applyBorder="1" applyAlignment="1">
      <alignment horizontal="center" vertical="center" wrapText="1"/>
    </xf>
    <xf numFmtId="49" fontId="4" fillId="6" borderId="9" xfId="0" applyNumberFormat="1" applyFont="1" applyFill="1" applyBorder="1" applyAlignment="1">
      <alignment horizontal="left" vertical="center" wrapText="1" indent="1"/>
    </xf>
    <xf numFmtId="0" fontId="0" fillId="0" borderId="0" xfId="0" applyAlignment="1">
      <alignment horizontal="left" vertical="center" wrapText="1" indent="1"/>
    </xf>
    <xf numFmtId="0" fontId="0" fillId="0" borderId="10" xfId="0" applyBorder="1" applyAlignment="1">
      <alignment horizontal="left" vertical="center" wrapText="1" indent="1"/>
    </xf>
    <xf numFmtId="0" fontId="0" fillId="0" borderId="9" xfId="0" applyBorder="1" applyAlignment="1">
      <alignment horizontal="left" vertical="center" wrapText="1" indent="1"/>
    </xf>
    <xf numFmtId="0" fontId="0" fillId="0" borderId="39" xfId="0" applyBorder="1" applyAlignment="1">
      <alignment horizontal="left" vertical="center" wrapText="1" indent="1"/>
    </xf>
    <xf numFmtId="0" fontId="0" fillId="0" borderId="41" xfId="0" applyBorder="1" applyAlignment="1">
      <alignment horizontal="left" vertical="center" wrapText="1" indent="1"/>
    </xf>
    <xf numFmtId="0" fontId="0" fillId="0" borderId="40" xfId="0" applyBorder="1" applyAlignment="1">
      <alignment horizontal="left" vertical="center" wrapText="1" indent="1"/>
    </xf>
    <xf numFmtId="0" fontId="50" fillId="0" borderId="0" xfId="0" applyFont="1" applyAlignment="1">
      <alignment wrapText="1"/>
    </xf>
    <xf numFmtId="4" fontId="24" fillId="10" borderId="14" xfId="0" applyNumberFormat="1" applyFont="1" applyFill="1" applyBorder="1" applyAlignment="1">
      <alignment horizontal="center" vertical="center"/>
    </xf>
    <xf numFmtId="0" fontId="24" fillId="10" borderId="16" xfId="0" applyFont="1" applyFill="1" applyBorder="1" applyAlignment="1">
      <alignment horizontal="center" vertical="center"/>
    </xf>
    <xf numFmtId="0" fontId="15" fillId="9" borderId="66" xfId="0" applyFont="1" applyFill="1" applyBorder="1" applyAlignment="1">
      <alignment horizontal="center" vertical="center" wrapText="1"/>
    </xf>
    <xf numFmtId="0" fontId="15" fillId="9" borderId="56" xfId="0" applyFont="1" applyFill="1" applyBorder="1" applyAlignment="1">
      <alignment horizontal="center" vertical="center" wrapText="1"/>
    </xf>
    <xf numFmtId="0" fontId="15" fillId="9" borderId="90" xfId="0" applyFont="1" applyFill="1" applyBorder="1" applyAlignment="1">
      <alignment horizontal="center" vertical="center" wrapText="1"/>
    </xf>
    <xf numFmtId="0" fontId="15" fillId="9" borderId="80" xfId="0" applyFont="1" applyFill="1" applyBorder="1" applyAlignment="1">
      <alignment horizontal="center" vertical="center" wrapText="1"/>
    </xf>
    <xf numFmtId="0" fontId="12" fillId="0" borderId="24" xfId="0" applyFont="1" applyBorder="1" applyAlignment="1">
      <alignment horizontal="center" wrapText="1"/>
    </xf>
    <xf numFmtId="0" fontId="4" fillId="6" borderId="0" xfId="0" applyFont="1" applyFill="1" applyAlignment="1">
      <alignment vertical="center" wrapText="1"/>
    </xf>
    <xf numFmtId="0" fontId="0" fillId="0" borderId="0" xfId="0" applyAlignment="1">
      <alignment vertical="center" wrapText="1"/>
    </xf>
    <xf numFmtId="0" fontId="4" fillId="6" borderId="0" xfId="0" applyFont="1" applyFill="1" applyAlignment="1">
      <alignment horizontal="left" vertical="center" wrapText="1" indent="1"/>
    </xf>
    <xf numFmtId="0" fontId="4" fillId="6" borderId="33" xfId="0" applyFont="1" applyFill="1" applyBorder="1" applyAlignment="1">
      <alignment horizontal="left" vertical="center" wrapText="1" indent="1"/>
    </xf>
    <xf numFmtId="0" fontId="4" fillId="3" borderId="70" xfId="0" applyFont="1" applyFill="1" applyBorder="1" applyAlignment="1">
      <alignment horizontal="center" vertical="center" wrapText="1"/>
    </xf>
    <xf numFmtId="0" fontId="0" fillId="0" borderId="75" xfId="0" applyBorder="1" applyAlignment="1">
      <alignment horizontal="center" vertical="center" wrapText="1"/>
    </xf>
    <xf numFmtId="0" fontId="0" fillId="0" borderId="9" xfId="0" applyBorder="1" applyAlignment="1">
      <alignment horizontal="center" vertical="center" wrapText="1"/>
    </xf>
    <xf numFmtId="0" fontId="0" fillId="0" borderId="0" xfId="0" applyAlignment="1">
      <alignment horizontal="center" vertical="center" wrapText="1"/>
    </xf>
    <xf numFmtId="0" fontId="0" fillId="0" borderId="10" xfId="0" applyBorder="1" applyAlignment="1">
      <alignment horizontal="center" vertical="center" wrapText="1"/>
    </xf>
    <xf numFmtId="3" fontId="4" fillId="10" borderId="66" xfId="0" applyNumberFormat="1" applyFont="1" applyFill="1" applyBorder="1" applyAlignment="1">
      <alignment horizontal="right" vertical="center" wrapText="1" indent="3"/>
    </xf>
    <xf numFmtId="0" fontId="18" fillId="0" borderId="0" xfId="0" applyFont="1" applyAlignment="1">
      <alignment horizontal="center" wrapText="1"/>
    </xf>
    <xf numFmtId="0" fontId="13" fillId="0" borderId="0" xfId="0" applyFont="1" applyAlignment="1">
      <alignment horizontal="center" wrapText="1"/>
    </xf>
    <xf numFmtId="2" fontId="4" fillId="3" borderId="4" xfId="0" applyNumberFormat="1" applyFont="1" applyFill="1" applyBorder="1" applyAlignment="1">
      <alignment horizontal="center" vertical="center" wrapText="1"/>
    </xf>
    <xf numFmtId="0" fontId="0" fillId="0" borderId="54" xfId="0" applyBorder="1" applyAlignment="1">
      <alignment horizontal="center" vertical="center" wrapText="1"/>
    </xf>
    <xf numFmtId="0" fontId="0" fillId="0" borderId="26" xfId="0" applyBorder="1" applyAlignment="1">
      <alignment horizontal="center" vertical="center" wrapText="1"/>
    </xf>
    <xf numFmtId="10" fontId="4" fillId="3" borderId="4" xfId="0" applyNumberFormat="1" applyFont="1" applyFill="1" applyBorder="1" applyAlignment="1">
      <alignment horizontal="center" vertical="center" wrapText="1"/>
    </xf>
    <xf numFmtId="0" fontId="0" fillId="3" borderId="57" xfId="0" applyFill="1" applyBorder="1" applyAlignment="1">
      <alignment horizontal="center" vertical="center" wrapText="1"/>
    </xf>
    <xf numFmtId="0" fontId="0" fillId="0" borderId="3" xfId="0" applyBorder="1" applyAlignment="1">
      <alignment horizontal="center" vertical="center" wrapText="1"/>
    </xf>
    <xf numFmtId="0" fontId="0" fillId="0" borderId="50" xfId="0" applyBorder="1" applyAlignment="1">
      <alignment horizontal="center" vertical="center" wrapText="1"/>
    </xf>
    <xf numFmtId="0" fontId="4" fillId="9" borderId="71" xfId="0" applyFont="1" applyFill="1" applyBorder="1" applyAlignment="1">
      <alignment horizontal="center" vertical="center" wrapText="1"/>
    </xf>
    <xf numFmtId="0" fontId="0" fillId="9" borderId="57" xfId="0" applyFill="1" applyBorder="1"/>
    <xf numFmtId="0" fontId="0" fillId="9" borderId="0" xfId="0" applyFill="1"/>
    <xf numFmtId="0" fontId="0" fillId="9" borderId="3" xfId="0" applyFill="1" applyBorder="1"/>
    <xf numFmtId="0" fontId="15" fillId="9" borderId="54" xfId="0" applyFont="1" applyFill="1" applyBorder="1" applyAlignment="1">
      <alignment horizontal="center" vertical="center" wrapText="1"/>
    </xf>
    <xf numFmtId="3" fontId="11" fillId="3" borderId="1" xfId="0" applyNumberFormat="1" applyFont="1" applyFill="1" applyBorder="1" applyAlignment="1">
      <alignment horizontal="right" vertical="center" indent="3"/>
    </xf>
    <xf numFmtId="168" fontId="15" fillId="0" borderId="47" xfId="0" applyNumberFormat="1" applyFont="1" applyBorder="1" applyAlignment="1">
      <alignment horizontal="right" vertical="center" wrapText="1" indent="1"/>
    </xf>
    <xf numFmtId="168" fontId="15" fillId="0" borderId="47" xfId="0" applyNumberFormat="1" applyFont="1" applyBorder="1" applyAlignment="1">
      <alignment horizontal="right" vertical="center" wrapText="1"/>
    </xf>
    <xf numFmtId="168" fontId="11" fillId="3" borderId="1" xfId="0" applyNumberFormat="1" applyFont="1" applyFill="1" applyBorder="1" applyAlignment="1">
      <alignment horizontal="right" vertical="center" indent="2"/>
    </xf>
    <xf numFmtId="3" fontId="15" fillId="0" borderId="47" xfId="1" applyNumberFormat="1" applyFont="1" applyBorder="1" applyAlignment="1">
      <alignment horizontal="right" vertical="center" indent="2"/>
    </xf>
    <xf numFmtId="0" fontId="15" fillId="0" borderId="47" xfId="0" applyFont="1" applyBorder="1" applyAlignment="1">
      <alignment horizontal="right" vertical="center" indent="2"/>
    </xf>
    <xf numFmtId="1" fontId="15" fillId="6" borderId="18" xfId="0" applyNumberFormat="1" applyFont="1" applyFill="1" applyBorder="1" applyAlignment="1">
      <alignment horizontal="center" vertical="center" wrapText="1"/>
    </xf>
    <xf numFmtId="1" fontId="15" fillId="6" borderId="18" xfId="0" applyNumberFormat="1" applyFont="1" applyFill="1" applyBorder="1"/>
    <xf numFmtId="167" fontId="11" fillId="6" borderId="54" xfId="0" applyNumberFormat="1" applyFont="1" applyFill="1" applyBorder="1" applyAlignment="1">
      <alignment horizontal="center"/>
    </xf>
    <xf numFmtId="167" fontId="0" fillId="6" borderId="0" xfId="0" applyNumberFormat="1" applyFill="1" applyAlignment="1">
      <alignment horizontal="center"/>
    </xf>
    <xf numFmtId="1" fontId="4" fillId="3" borderId="11" xfId="0" applyNumberFormat="1" applyFont="1" applyFill="1" applyBorder="1" applyAlignment="1">
      <alignment horizontal="right" vertical="center" wrapText="1" indent="2"/>
    </xf>
    <xf numFmtId="1" fontId="0" fillId="3" borderId="13" xfId="0" applyNumberFormat="1" applyFill="1" applyBorder="1" applyAlignment="1">
      <alignment horizontal="right" indent="2"/>
    </xf>
    <xf numFmtId="3" fontId="15" fillId="0" borderId="22" xfId="0" applyNumberFormat="1" applyFont="1" applyBorder="1" applyAlignment="1">
      <alignment horizontal="right" indent="3"/>
    </xf>
    <xf numFmtId="0" fontId="15" fillId="0" borderId="23" xfId="0" applyFont="1" applyBorder="1"/>
    <xf numFmtId="0" fontId="15" fillId="0" borderId="24" xfId="0" applyFont="1" applyBorder="1"/>
    <xf numFmtId="0" fontId="69" fillId="0" borderId="58" xfId="2" applyFont="1" applyBorder="1" applyAlignment="1" applyProtection="1">
      <alignment horizontal="right" vertical="center"/>
    </xf>
    <xf numFmtId="0" fontId="58" fillId="0" borderId="58" xfId="0" applyFont="1" applyBorder="1" applyAlignment="1">
      <alignment horizontal="right" vertical="center"/>
    </xf>
    <xf numFmtId="0" fontId="4" fillId="0" borderId="0" xfId="0" applyFont="1"/>
    <xf numFmtId="0" fontId="42" fillId="0" borderId="0" xfId="0" applyFont="1" applyAlignment="1">
      <alignment wrapText="1"/>
    </xf>
    <xf numFmtId="0" fontId="18" fillId="6" borderId="0" xfId="0" applyFont="1" applyFill="1" applyAlignment="1">
      <alignment horizontal="left" wrapText="1" indent="1"/>
    </xf>
    <xf numFmtId="0" fontId="0" fillId="6" borderId="0" xfId="0" applyFill="1" applyAlignment="1">
      <alignment horizontal="left" wrapText="1" indent="1"/>
    </xf>
    <xf numFmtId="0" fontId="14" fillId="9" borderId="64" xfId="0" applyFont="1" applyFill="1" applyBorder="1" applyAlignment="1">
      <alignment horizontal="left" vertical="center" wrapText="1" indent="1"/>
    </xf>
    <xf numFmtId="0" fontId="14" fillId="9" borderId="65" xfId="0" applyFont="1" applyFill="1" applyBorder="1" applyAlignment="1">
      <alignment horizontal="left" vertical="center" wrapText="1" indent="1"/>
    </xf>
    <xf numFmtId="0" fontId="4" fillId="3" borderId="38" xfId="0" applyFont="1" applyFill="1" applyBorder="1" applyAlignment="1">
      <alignment horizontal="center" vertical="center" wrapText="1"/>
    </xf>
    <xf numFmtId="0" fontId="4" fillId="3" borderId="45"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4" fillId="3" borderId="26" xfId="0" applyFont="1" applyFill="1" applyBorder="1" applyAlignment="1">
      <alignment horizontal="center" vertical="center" wrapText="1"/>
    </xf>
    <xf numFmtId="0" fontId="0" fillId="3" borderId="50" xfId="0" applyFill="1" applyBorder="1" applyAlignment="1">
      <alignment horizontal="center" vertical="center" wrapText="1"/>
    </xf>
    <xf numFmtId="0" fontId="4" fillId="0" borderId="0" xfId="0" applyFont="1" applyAlignment="1">
      <alignment horizontal="left" wrapText="1"/>
    </xf>
    <xf numFmtId="0" fontId="56" fillId="0" borderId="0" xfId="0" applyFont="1" applyAlignment="1">
      <alignment horizontal="center" vertical="center" wrapText="1" readingOrder="1"/>
    </xf>
    <xf numFmtId="0" fontId="57" fillId="0" borderId="2" xfId="0" applyFont="1" applyBorder="1" applyAlignment="1">
      <alignment horizontal="center" vertical="center" readingOrder="1"/>
    </xf>
    <xf numFmtId="0" fontId="0" fillId="0" borderId="2" xfId="0" applyBorder="1" applyAlignment="1">
      <alignment horizontal="center" vertical="center"/>
    </xf>
    <xf numFmtId="0" fontId="12" fillId="0" borderId="0" xfId="0" applyFont="1" applyAlignment="1">
      <alignment vertical="center" wrapText="1"/>
    </xf>
    <xf numFmtId="0" fontId="15" fillId="7" borderId="5" xfId="0" applyFont="1" applyFill="1" applyBorder="1" applyAlignment="1">
      <alignment horizontal="center" vertical="center" wrapText="1"/>
    </xf>
    <xf numFmtId="0" fontId="4" fillId="0" borderId="0" xfId="0" applyFont="1" applyAlignment="1">
      <alignment wrapText="1"/>
    </xf>
    <xf numFmtId="0" fontId="41" fillId="11" borderId="14" xfId="0" applyFont="1" applyFill="1" applyBorder="1" applyAlignment="1">
      <alignment horizontal="center" vertical="center" wrapText="1"/>
    </xf>
    <xf numFmtId="0" fontId="41" fillId="11" borderId="15" xfId="0" applyFont="1" applyFill="1" applyBorder="1" applyAlignment="1">
      <alignment horizontal="center" vertical="center" wrapText="1"/>
    </xf>
    <xf numFmtId="0" fontId="41" fillId="11" borderId="16" xfId="0" applyFont="1" applyFill="1" applyBorder="1" applyAlignment="1">
      <alignment horizontal="center" vertical="center" wrapText="1"/>
    </xf>
    <xf numFmtId="0" fontId="15" fillId="7" borderId="14" xfId="0" applyFont="1" applyFill="1" applyBorder="1" applyAlignment="1">
      <alignment horizontal="center" vertical="center" wrapText="1"/>
    </xf>
    <xf numFmtId="0" fontId="41" fillId="7" borderId="14" xfId="0" quotePrefix="1" applyFont="1" applyFill="1" applyBorder="1" applyAlignment="1">
      <alignment horizontal="center" vertical="center"/>
    </xf>
    <xf numFmtId="0" fontId="0" fillId="7" borderId="15" xfId="0" applyFill="1" applyBorder="1" applyAlignment="1">
      <alignment horizontal="center" vertical="center"/>
    </xf>
    <xf numFmtId="0" fontId="0" fillId="0" borderId="15" xfId="0" applyBorder="1"/>
    <xf numFmtId="0" fontId="15" fillId="11" borderId="5" xfId="0" applyFont="1" applyFill="1" applyBorder="1" applyAlignment="1">
      <alignment horizontal="center" vertical="center" wrapText="1"/>
    </xf>
    <xf numFmtId="0" fontId="15" fillId="0" borderId="0" xfId="0" applyFont="1" applyAlignment="1">
      <alignment vertical="center" wrapText="1"/>
    </xf>
    <xf numFmtId="0" fontId="4" fillId="6" borderId="58" xfId="0" applyFont="1" applyFill="1" applyBorder="1" applyAlignment="1">
      <alignment horizontal="justify" vertical="top" wrapText="1"/>
    </xf>
    <xf numFmtId="0" fontId="0" fillId="0" borderId="58" xfId="0" applyBorder="1" applyAlignment="1">
      <alignment horizontal="justify" wrapText="1"/>
    </xf>
    <xf numFmtId="0" fontId="0" fillId="0" borderId="0" xfId="0" applyAlignment="1">
      <alignment horizontal="justify" vertical="center" wrapText="1"/>
    </xf>
    <xf numFmtId="0" fontId="75" fillId="0" borderId="0" xfId="0" applyFont="1" applyAlignment="1">
      <alignment horizontal="center" vertical="center"/>
    </xf>
    <xf numFmtId="0" fontId="4" fillId="6" borderId="0" xfId="0" applyFont="1" applyFill="1" applyAlignment="1">
      <alignment horizontal="right" vertical="center"/>
    </xf>
    <xf numFmtId="0" fontId="0" fillId="6" borderId="0" xfId="0" applyFill="1" applyAlignment="1">
      <alignment horizontal="right" vertical="center"/>
    </xf>
    <xf numFmtId="0" fontId="0" fillId="0" borderId="0" xfId="0" applyAlignment="1"/>
    <xf numFmtId="0" fontId="0" fillId="0" borderId="10" xfId="0" applyBorder="1" applyAlignment="1"/>
    <xf numFmtId="1" fontId="12" fillId="6" borderId="0" xfId="1" applyNumberFormat="1" applyFont="1" applyFill="1" applyBorder="1" applyAlignment="1">
      <alignment horizontal="left" vertical="center"/>
    </xf>
    <xf numFmtId="0" fontId="1" fillId="0" borderId="0" xfId="0" applyFont="1" applyAlignment="1">
      <alignment vertical="center" wrapText="1"/>
    </xf>
    <xf numFmtId="0" fontId="6" fillId="6" borderId="0" xfId="0" applyFont="1" applyFill="1" applyAlignment="1">
      <alignment horizontal="left" indent="3"/>
    </xf>
    <xf numFmtId="0" fontId="4" fillId="6" borderId="0" xfId="0" applyFont="1" applyFill="1" applyAlignment="1"/>
    <xf numFmtId="0" fontId="18" fillId="6" borderId="22" xfId="0" applyFont="1" applyFill="1" applyBorder="1" applyAlignment="1">
      <alignment horizontal="center" wrapText="1"/>
    </xf>
    <xf numFmtId="0" fontId="4" fillId="0" borderId="9" xfId="0" applyFont="1" applyBorder="1" applyAlignment="1">
      <alignment horizontal="left" wrapText="1"/>
    </xf>
    <xf numFmtId="0" fontId="0" fillId="0" borderId="9" xfId="0" applyBorder="1" applyAlignment="1">
      <alignment wrapText="1"/>
    </xf>
    <xf numFmtId="0" fontId="78" fillId="0" borderId="0" xfId="0" applyFont="1" applyAlignment="1">
      <alignment horizontal="right"/>
    </xf>
    <xf numFmtId="2" fontId="1" fillId="0" borderId="0" xfId="0" applyNumberFormat="1" applyFont="1" applyAlignment="1">
      <alignment horizontal="center"/>
    </xf>
    <xf numFmtId="0" fontId="1" fillId="0" borderId="10" xfId="0" applyFont="1" applyBorder="1" applyAlignment="1">
      <alignment horizontal="left" indent="2"/>
    </xf>
    <xf numFmtId="0" fontId="79" fillId="0" borderId="0" xfId="0" applyFont="1" applyAlignment="1">
      <alignment horizontal="center" wrapText="1"/>
    </xf>
    <xf numFmtId="0" fontId="54" fillId="0" borderId="0" xfId="0" applyFont="1" applyAlignment="1">
      <alignment horizontal="center" wrapText="1"/>
    </xf>
    <xf numFmtId="0" fontId="0" fillId="0" borderId="0" xfId="0" applyAlignment="1">
      <alignment horizontal="left" wrapText="1" indent="1"/>
    </xf>
    <xf numFmtId="0" fontId="26" fillId="0" borderId="0" xfId="0" applyFont="1" applyBorder="1" applyAlignment="1">
      <alignment horizontal="center"/>
    </xf>
    <xf numFmtId="0" fontId="26" fillId="5" borderId="107" xfId="0" applyFont="1" applyFill="1" applyBorder="1" applyAlignment="1">
      <alignment horizontal="center" vertical="center"/>
    </xf>
    <xf numFmtId="0" fontId="26" fillId="5" borderId="108" xfId="0" applyFont="1" applyFill="1" applyBorder="1" applyAlignment="1">
      <alignment horizontal="center" vertical="center"/>
    </xf>
    <xf numFmtId="0" fontId="0" fillId="0" borderId="109" xfId="0" applyBorder="1" applyAlignment="1"/>
    <xf numFmtId="4" fontId="1" fillId="10" borderId="43" xfId="0" applyNumberFormat="1" applyFont="1" applyFill="1" applyBorder="1" applyAlignment="1">
      <alignment horizontal="center"/>
    </xf>
    <xf numFmtId="4" fontId="0" fillId="10" borderId="43" xfId="0" applyNumberFormat="1" applyFill="1" applyBorder="1" applyAlignment="1">
      <alignment horizontal="center"/>
    </xf>
    <xf numFmtId="4" fontId="1" fillId="10" borderId="44" xfId="0" applyNumberFormat="1" applyFont="1" applyFill="1" applyBorder="1" applyAlignment="1">
      <alignment horizontal="center"/>
    </xf>
    <xf numFmtId="0" fontId="12" fillId="0" borderId="0" xfId="0" applyFont="1" applyAlignment="1">
      <alignment vertical="top"/>
    </xf>
  </cellXfs>
  <cellStyles count="4">
    <cellStyle name="Comma" xfId="1" builtinId="3"/>
    <cellStyle name="Hyperlink" xfId="2" builtinId="8"/>
    <cellStyle name="Normal" xfId="0" builtinId="0"/>
    <cellStyle name="Percent" xfId="3" builtinId="5"/>
  </cellStyles>
  <dxfs count="0"/>
  <tableStyles count="0" defaultTableStyle="TableStyleMedium9" defaultPivotStyle="PivotStyleLight16"/>
  <colors>
    <mruColors>
      <color rgb="FF3333FF"/>
      <color rgb="FFFFFFCC"/>
      <color rgb="FFCCECFF"/>
      <color rgb="FF00CC00"/>
      <color rgb="FF0000CC"/>
      <color rgb="FFCCFFFF"/>
      <color rgb="FFCCFFCC"/>
      <color rgb="FF000000"/>
      <color rgb="FF92D050"/>
      <color rgb="FF0000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19</xdr:col>
      <xdr:colOff>787400</xdr:colOff>
      <xdr:row>271</xdr:row>
      <xdr:rowOff>95250</xdr:rowOff>
    </xdr:from>
    <xdr:to>
      <xdr:col>20</xdr:col>
      <xdr:colOff>349250</xdr:colOff>
      <xdr:row>271</xdr:row>
      <xdr:rowOff>134069</xdr:rowOff>
    </xdr:to>
    <xdr:cxnSp macro="">
      <xdr:nvCxnSpPr>
        <xdr:cNvPr id="12" name="Straight Arrow Connector 11">
          <a:extLst>
            <a:ext uri="{FF2B5EF4-FFF2-40B4-BE49-F238E27FC236}">
              <a16:creationId xmlns:a16="http://schemas.microsoft.com/office/drawing/2014/main" id="{1CB5F42F-C2A1-4F8C-AFEB-DC71D491B3A6}"/>
            </a:ext>
          </a:extLst>
        </xdr:cNvPr>
        <xdr:cNvCxnSpPr>
          <a:stCxn id="8" idx="1"/>
        </xdr:cNvCxnSpPr>
      </xdr:nvCxnSpPr>
      <xdr:spPr>
        <a:xfrm flipH="1" flipV="1">
          <a:off x="13277730" y="62196453"/>
          <a:ext cx="352605" cy="38819"/>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152400</xdr:colOff>
      <xdr:row>57</xdr:row>
      <xdr:rowOff>0</xdr:rowOff>
    </xdr:from>
    <xdr:to>
      <xdr:col>20</xdr:col>
      <xdr:colOff>390526</xdr:colOff>
      <xdr:row>58</xdr:row>
      <xdr:rowOff>152400</xdr:rowOff>
    </xdr:to>
    <xdr:cxnSp macro="">
      <xdr:nvCxnSpPr>
        <xdr:cNvPr id="6" name="Straight Arrow Connector 5">
          <a:extLst>
            <a:ext uri="{FF2B5EF4-FFF2-40B4-BE49-F238E27FC236}">
              <a16:creationId xmlns:a16="http://schemas.microsoft.com/office/drawing/2014/main" id="{03C79C55-2DCE-45CB-9D09-9573610D16E2}"/>
            </a:ext>
          </a:extLst>
        </xdr:cNvPr>
        <xdr:cNvCxnSpPr/>
      </xdr:nvCxnSpPr>
      <xdr:spPr>
        <a:xfrm flipV="1">
          <a:off x="13449300" y="16459200"/>
          <a:ext cx="238126" cy="571500"/>
        </a:xfrm>
        <a:prstGeom prst="straightConnector1">
          <a:avLst/>
        </a:prstGeom>
        <a:ln w="12700">
          <a:solidFill>
            <a:srgbClr val="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413349</xdr:colOff>
      <xdr:row>37</xdr:row>
      <xdr:rowOff>215660</xdr:rowOff>
    </xdr:from>
    <xdr:to>
      <xdr:col>21</xdr:col>
      <xdr:colOff>422335</xdr:colOff>
      <xdr:row>39</xdr:row>
      <xdr:rowOff>35943</xdr:rowOff>
    </xdr:to>
    <xdr:cxnSp macro="">
      <xdr:nvCxnSpPr>
        <xdr:cNvPr id="7" name="Straight Arrow Connector 6">
          <a:extLst>
            <a:ext uri="{FF2B5EF4-FFF2-40B4-BE49-F238E27FC236}">
              <a16:creationId xmlns:a16="http://schemas.microsoft.com/office/drawing/2014/main" id="{BCE6A635-6EDD-400E-90EB-233E2D1117E7}"/>
            </a:ext>
          </a:extLst>
        </xdr:cNvPr>
        <xdr:cNvCxnSpPr/>
      </xdr:nvCxnSpPr>
      <xdr:spPr>
        <a:xfrm flipH="1">
          <a:off x="14619976" y="11834363"/>
          <a:ext cx="8986" cy="359434"/>
        </a:xfrm>
        <a:prstGeom prst="straightConnector1">
          <a:avLst/>
        </a:prstGeom>
        <a:ln w="12700">
          <a:solidFill>
            <a:srgbClr val="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828675</xdr:colOff>
      <xdr:row>57</xdr:row>
      <xdr:rowOff>190501</xdr:rowOff>
    </xdr:from>
    <xdr:to>
      <xdr:col>17</xdr:col>
      <xdr:colOff>542926</xdr:colOff>
      <xdr:row>60</xdr:row>
      <xdr:rowOff>9525</xdr:rowOff>
    </xdr:to>
    <xdr:sp macro="" textlink="">
      <xdr:nvSpPr>
        <xdr:cNvPr id="9" name="TextBox 8">
          <a:extLst>
            <a:ext uri="{FF2B5EF4-FFF2-40B4-BE49-F238E27FC236}">
              <a16:creationId xmlns:a16="http://schemas.microsoft.com/office/drawing/2014/main" id="{92AC48F2-5C2C-4D51-81AE-7F3AA8A60D51}"/>
            </a:ext>
          </a:extLst>
        </xdr:cNvPr>
        <xdr:cNvSpPr txBox="1"/>
      </xdr:nvSpPr>
      <xdr:spPr>
        <a:xfrm>
          <a:off x="9972675" y="16840201"/>
          <a:ext cx="1628776" cy="60007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lang="en-CA" sz="1100"/>
            <a:t>District seats + Top-Up seats for </a:t>
          </a:r>
          <a:r>
            <a:rPr lang="en-CA" sz="1000">
              <a:latin typeface="Arial" panose="020B0604020202020204" pitchFamily="34" charset="0"/>
              <a:cs typeface="Arial" panose="020B0604020202020204" pitchFamily="34" charset="0"/>
            </a:rPr>
            <a:t>under-represented</a:t>
          </a:r>
          <a:r>
            <a:rPr lang="en-CA" sz="1100"/>
            <a:t> parties (+/- rounding)</a:t>
          </a:r>
        </a:p>
      </xdr:txBody>
    </xdr:sp>
    <xdr:clientData/>
  </xdr:twoCellAnchor>
  <xdr:twoCellAnchor>
    <xdr:from>
      <xdr:col>17</xdr:col>
      <xdr:colOff>161925</xdr:colOff>
      <xdr:row>57</xdr:row>
      <xdr:rowOff>0</xdr:rowOff>
    </xdr:from>
    <xdr:to>
      <xdr:col>17</xdr:col>
      <xdr:colOff>352425</xdr:colOff>
      <xdr:row>57</xdr:row>
      <xdr:rowOff>190500</xdr:rowOff>
    </xdr:to>
    <xdr:cxnSp macro="">
      <xdr:nvCxnSpPr>
        <xdr:cNvPr id="10" name="Straight Arrow Connector 9">
          <a:extLst>
            <a:ext uri="{FF2B5EF4-FFF2-40B4-BE49-F238E27FC236}">
              <a16:creationId xmlns:a16="http://schemas.microsoft.com/office/drawing/2014/main" id="{C5147BFF-F3E2-4358-AFC3-6C7B9F6BE08F}"/>
            </a:ext>
          </a:extLst>
        </xdr:cNvPr>
        <xdr:cNvCxnSpPr/>
      </xdr:nvCxnSpPr>
      <xdr:spPr>
        <a:xfrm flipV="1">
          <a:off x="11220450" y="16487775"/>
          <a:ext cx="190500" cy="352425"/>
        </a:xfrm>
        <a:prstGeom prst="straightConnector1">
          <a:avLst/>
        </a:prstGeom>
        <a:ln w="12700">
          <a:solidFill>
            <a:srgbClr val="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349250</xdr:colOff>
      <xdr:row>269</xdr:row>
      <xdr:rowOff>133350</xdr:rowOff>
    </xdr:from>
    <xdr:to>
      <xdr:col>22</xdr:col>
      <xdr:colOff>107950</xdr:colOff>
      <xdr:row>273</xdr:row>
      <xdr:rowOff>98844</xdr:rowOff>
    </xdr:to>
    <xdr:sp macro="" textlink="">
      <xdr:nvSpPr>
        <xdr:cNvPr id="8" name="TextBox 7">
          <a:extLst>
            <a:ext uri="{FF2B5EF4-FFF2-40B4-BE49-F238E27FC236}">
              <a16:creationId xmlns:a16="http://schemas.microsoft.com/office/drawing/2014/main" id="{D6565FC2-AE21-EA72-AB45-1150979F3429}"/>
            </a:ext>
          </a:extLst>
        </xdr:cNvPr>
        <xdr:cNvSpPr txBox="1"/>
      </xdr:nvSpPr>
      <xdr:spPr>
        <a:xfrm>
          <a:off x="13630335" y="61911062"/>
          <a:ext cx="1510940" cy="648419"/>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lstStyle/>
        <a:p>
          <a:pPr algn="ctr"/>
          <a:r>
            <a:rPr lang="en-CA" sz="1100">
              <a:solidFill>
                <a:srgbClr val="3333FF"/>
              </a:solidFill>
            </a:rPr>
            <a:t>Insert</a:t>
          </a:r>
          <a:r>
            <a:rPr lang="en-CA" sz="1100" baseline="0">
              <a:solidFill>
                <a:srgbClr val="3333FF"/>
              </a:solidFill>
            </a:rPr>
            <a:t> the Total House Vote Entitlement for the Party here.</a:t>
          </a:r>
          <a:endParaRPr lang="en-CA" sz="1100">
            <a:solidFill>
              <a:srgbClr val="3333FF"/>
            </a:solidFill>
          </a:endParaRPr>
        </a:p>
      </xdr:txBody>
    </xdr:sp>
    <xdr:clientData/>
  </xdr:twoCellAnchor>
  <xdr:twoCellAnchor>
    <xdr:from>
      <xdr:col>11</xdr:col>
      <xdr:colOff>673939</xdr:colOff>
      <xdr:row>207</xdr:row>
      <xdr:rowOff>143774</xdr:rowOff>
    </xdr:from>
    <xdr:to>
      <xdr:col>15</xdr:col>
      <xdr:colOff>224646</xdr:colOff>
      <xdr:row>209</xdr:row>
      <xdr:rowOff>44929</xdr:rowOff>
    </xdr:to>
    <xdr:sp macro="" textlink="">
      <xdr:nvSpPr>
        <xdr:cNvPr id="19" name="Freeform: Shape 18">
          <a:extLst>
            <a:ext uri="{FF2B5EF4-FFF2-40B4-BE49-F238E27FC236}">
              <a16:creationId xmlns:a16="http://schemas.microsoft.com/office/drawing/2014/main" id="{62821D28-977A-DE4D-4D6F-24467935ED86}"/>
            </a:ext>
          </a:extLst>
        </xdr:cNvPr>
        <xdr:cNvSpPr/>
      </xdr:nvSpPr>
      <xdr:spPr>
        <a:xfrm>
          <a:off x="8150165" y="50491486"/>
          <a:ext cx="835684" cy="350448"/>
        </a:xfrm>
        <a:custGeom>
          <a:avLst/>
          <a:gdLst>
            <a:gd name="connsiteX0" fmla="*/ 0 w 835684"/>
            <a:gd name="connsiteY0" fmla="*/ 0 h 350448"/>
            <a:gd name="connsiteX1" fmla="*/ 835684 w 835684"/>
            <a:gd name="connsiteY1" fmla="*/ 350448 h 350448"/>
            <a:gd name="connsiteX2" fmla="*/ 835684 w 835684"/>
            <a:gd name="connsiteY2" fmla="*/ 350448 h 350448"/>
            <a:gd name="connsiteX3" fmla="*/ 709882 w 835684"/>
            <a:gd name="connsiteY3" fmla="*/ 278561 h 350448"/>
            <a:gd name="connsiteX4" fmla="*/ 709882 w 835684"/>
            <a:gd name="connsiteY4" fmla="*/ 287547 h 350448"/>
            <a:gd name="connsiteX0" fmla="*/ 0 w 835684"/>
            <a:gd name="connsiteY0" fmla="*/ 0 h 350448"/>
            <a:gd name="connsiteX1" fmla="*/ 835684 w 835684"/>
            <a:gd name="connsiteY1" fmla="*/ 350448 h 350448"/>
            <a:gd name="connsiteX2" fmla="*/ 835684 w 835684"/>
            <a:gd name="connsiteY2" fmla="*/ 350448 h 350448"/>
            <a:gd name="connsiteX3" fmla="*/ 709882 w 835684"/>
            <a:gd name="connsiteY3" fmla="*/ 278561 h 350448"/>
            <a:gd name="connsiteX0" fmla="*/ 0 w 835684"/>
            <a:gd name="connsiteY0" fmla="*/ 0 h 350448"/>
            <a:gd name="connsiteX1" fmla="*/ 835684 w 835684"/>
            <a:gd name="connsiteY1" fmla="*/ 350448 h 350448"/>
            <a:gd name="connsiteX2" fmla="*/ 835684 w 835684"/>
            <a:gd name="connsiteY2" fmla="*/ 350448 h 350448"/>
          </a:gdLst>
          <a:ahLst/>
          <a:cxnLst>
            <a:cxn ang="0">
              <a:pos x="connsiteX0" y="connsiteY0"/>
            </a:cxn>
            <a:cxn ang="0">
              <a:pos x="connsiteX1" y="connsiteY1"/>
            </a:cxn>
            <a:cxn ang="0">
              <a:pos x="connsiteX2" y="connsiteY2"/>
            </a:cxn>
          </a:cxnLst>
          <a:rect l="l" t="t" r="r" b="b"/>
          <a:pathLst>
            <a:path w="835684" h="350448">
              <a:moveTo>
                <a:pt x="0" y="0"/>
              </a:moveTo>
              <a:lnTo>
                <a:pt x="835684" y="350448"/>
              </a:lnTo>
              <a:lnTo>
                <a:pt x="835684" y="350448"/>
              </a:lnTo>
            </a:path>
          </a:pathLst>
        </a:custGeom>
        <a:noFill/>
        <a:ln w="19050">
          <a:solidFill>
            <a:srgbClr val="3333FF"/>
          </a:solidFill>
          <a:tailEnd type="triangle"/>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285751</xdr:colOff>
      <xdr:row>89</xdr:row>
      <xdr:rowOff>7327</xdr:rowOff>
    </xdr:from>
    <xdr:to>
      <xdr:col>13</xdr:col>
      <xdr:colOff>200465</xdr:colOff>
      <xdr:row>91</xdr:row>
      <xdr:rowOff>51289</xdr:rowOff>
    </xdr:to>
    <xdr:sp macro="" textlink="">
      <xdr:nvSpPr>
        <xdr:cNvPr id="7175" name="Text Box 7">
          <a:extLst>
            <a:ext uri="{FF2B5EF4-FFF2-40B4-BE49-F238E27FC236}">
              <a16:creationId xmlns:a16="http://schemas.microsoft.com/office/drawing/2014/main" id="{00000000-0008-0000-0100-0000071C0000}"/>
            </a:ext>
          </a:extLst>
        </xdr:cNvPr>
        <xdr:cNvSpPr txBox="1">
          <a:spLocks noChangeArrowheads="1"/>
        </xdr:cNvSpPr>
      </xdr:nvSpPr>
      <xdr:spPr bwMode="auto">
        <a:xfrm>
          <a:off x="8916866" y="27769039"/>
          <a:ext cx="1511984" cy="395654"/>
        </a:xfrm>
        <a:prstGeom prst="rect">
          <a:avLst/>
        </a:prstGeom>
        <a:solidFill>
          <a:schemeClr val="accent6">
            <a:lumMod val="20000"/>
            <a:lumOff val="80000"/>
          </a:schemeClr>
        </a:solidFill>
        <a:ln w="9525">
          <a:noFill/>
          <a:miter lim="800000"/>
          <a:headEnd/>
          <a:tailEnd/>
        </a:ln>
      </xdr:spPr>
      <xdr:txBody>
        <a:bodyPr vertOverflow="clip" wrap="square" lIns="36576" tIns="27432" rIns="0" bIns="0" anchor="t" upright="1"/>
        <a:lstStyle/>
        <a:p>
          <a:pPr algn="ctr" rtl="0">
            <a:defRPr sz="1000"/>
          </a:pPr>
          <a:r>
            <a:rPr lang="en-US" sz="1100" b="0" i="0" u="none" strike="noStrike" baseline="0">
              <a:solidFill>
                <a:srgbClr val="000000"/>
              </a:solidFill>
              <a:latin typeface="Arial"/>
              <a:cs typeface="Arial"/>
            </a:rPr>
            <a:t>Entitlement div. by number of Members</a:t>
          </a:r>
        </a:p>
        <a:p>
          <a:pPr algn="ctr" rtl="0">
            <a:defRPr sz="1000"/>
          </a:pPr>
          <a:r>
            <a:rPr lang="en-US" sz="1100" b="0" i="0" u="none" strike="noStrike" baseline="0">
              <a:solidFill>
                <a:srgbClr val="000000"/>
              </a:solidFill>
              <a:latin typeface="Arial"/>
              <a:cs typeface="Arial"/>
            </a:rPr>
            <a:t>s. </a:t>
          </a:r>
        </a:p>
      </xdr:txBody>
    </xdr:sp>
    <xdr:clientData/>
  </xdr:twoCellAnchor>
  <xdr:twoCellAnchor>
    <xdr:from>
      <xdr:col>12</xdr:col>
      <xdr:colOff>309050</xdr:colOff>
      <xdr:row>88</xdr:row>
      <xdr:rowOff>15240</xdr:rowOff>
    </xdr:from>
    <xdr:to>
      <xdr:col>12</xdr:col>
      <xdr:colOff>405766</xdr:colOff>
      <xdr:row>89</xdr:row>
      <xdr:rowOff>7327</xdr:rowOff>
    </xdr:to>
    <xdr:cxnSp macro="">
      <xdr:nvCxnSpPr>
        <xdr:cNvPr id="4" name="Straight Arrow Connector 3">
          <a:extLst>
            <a:ext uri="{FF2B5EF4-FFF2-40B4-BE49-F238E27FC236}">
              <a16:creationId xmlns:a16="http://schemas.microsoft.com/office/drawing/2014/main" id="{D5C77F72-B999-4B03-A6DE-395B0059E224}"/>
            </a:ext>
          </a:extLst>
        </xdr:cNvPr>
        <xdr:cNvCxnSpPr>
          <a:stCxn id="7175" idx="0"/>
        </xdr:cNvCxnSpPr>
      </xdr:nvCxnSpPr>
      <xdr:spPr>
        <a:xfrm flipV="1">
          <a:off x="9672858" y="27579125"/>
          <a:ext cx="96716" cy="189914"/>
        </a:xfrm>
        <a:prstGeom prst="straightConnector1">
          <a:avLst/>
        </a:prstGeom>
        <a:ln w="952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www.makedemocracybetter.com/" TargetMode="External"/><Relationship Id="rId1" Type="http://schemas.openxmlformats.org/officeDocument/2006/relationships/printerSettings" Target="../printerSettings/printerSettings3.bin"/><Relationship Id="rId4"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L277"/>
  <sheetViews>
    <sheetView showGridLines="0" zoomScale="106" zoomScaleNormal="106" workbookViewId="0">
      <pane ySplit="1" topLeftCell="A5" activePane="bottomLeft" state="frozen"/>
      <selection pane="bottomLeft" activeCell="P37" sqref="P37"/>
    </sheetView>
  </sheetViews>
  <sheetFormatPr defaultRowHeight="12.75" x14ac:dyDescent="0.2"/>
  <cols>
    <col min="1" max="1" width="4.42578125" customWidth="1"/>
    <col min="2" max="2" width="2.28515625" customWidth="1"/>
    <col min="3" max="3" width="2" style="1" customWidth="1"/>
    <col min="4" max="4" width="7.85546875" customWidth="1"/>
    <col min="5" max="5" width="35.140625" customWidth="1"/>
    <col min="6" max="6" width="16.140625" customWidth="1"/>
    <col min="7" max="7" width="3.42578125" customWidth="1"/>
    <col min="8" max="8" width="10.28515625" customWidth="1"/>
    <col min="9" max="9" width="3.28515625" customWidth="1"/>
    <col min="10" max="10" width="14.7109375" customWidth="1"/>
    <col min="11" max="11" width="12.7109375" customWidth="1"/>
    <col min="12" max="12" width="11" customWidth="1"/>
    <col min="13" max="13" width="3.140625" customWidth="1"/>
    <col min="14" max="15" width="2.5703125" customWidth="1"/>
    <col min="16" max="16" width="5.5703125" customWidth="1"/>
    <col min="17" max="17" width="28.7109375" customWidth="1"/>
    <col min="18" max="18" width="11.5703125" customWidth="1"/>
    <col min="19" max="19" width="10.140625" customWidth="1"/>
    <col min="20" max="20" width="11.85546875" customWidth="1"/>
    <col min="21" max="21" width="13.85546875" customWidth="1"/>
    <col min="22" max="22" width="12.42578125" customWidth="1"/>
    <col min="23" max="23" width="11" customWidth="1"/>
    <col min="24" max="24" width="12.7109375" customWidth="1"/>
    <col min="25" max="25" width="12" customWidth="1"/>
    <col min="26" max="26" width="11.140625" customWidth="1"/>
    <col min="27" max="27" width="14.140625" customWidth="1"/>
    <col min="28" max="28" width="11.140625" customWidth="1"/>
    <col min="29" max="29" width="12.5703125" customWidth="1"/>
    <col min="30" max="30" width="12" customWidth="1"/>
    <col min="31" max="31" width="11.42578125" customWidth="1"/>
    <col min="32" max="32" width="11.140625" customWidth="1"/>
    <col min="33" max="33" width="12" customWidth="1"/>
    <col min="34" max="34" width="12.42578125" customWidth="1"/>
    <col min="35" max="35" width="11.42578125" customWidth="1"/>
    <col min="36" max="36" width="10.42578125" bestFit="1" customWidth="1"/>
    <col min="37" max="38" width="11.7109375" customWidth="1"/>
    <col min="40" max="40" width="11.28515625" customWidth="1"/>
    <col min="41" max="41" width="11.42578125" customWidth="1"/>
    <col min="44" max="44" width="11.85546875" customWidth="1"/>
    <col min="45" max="45" width="12.5703125" customWidth="1"/>
    <col min="47" max="47" width="2.28515625" customWidth="1"/>
    <col min="48" max="48" width="11.42578125" customWidth="1"/>
    <col min="49" max="49" width="10.5703125" customWidth="1"/>
  </cols>
  <sheetData>
    <row r="1" spans="1:26" ht="27" customHeight="1" x14ac:dyDescent="0.2">
      <c r="E1" s="689" t="s">
        <v>47</v>
      </c>
      <c r="F1" s="918" t="s">
        <v>265</v>
      </c>
    </row>
    <row r="2" spans="1:26" ht="14.25" customHeight="1" thickBot="1" x14ac:dyDescent="0.25"/>
    <row r="3" spans="1:26" ht="12.75" customHeight="1" x14ac:dyDescent="0.2">
      <c r="A3" t="s">
        <v>45</v>
      </c>
      <c r="C3" s="397"/>
      <c r="D3" s="398" t="s">
        <v>1</v>
      </c>
      <c r="E3" s="398"/>
      <c r="F3" s="398"/>
      <c r="G3" s="398"/>
      <c r="H3" s="398"/>
      <c r="I3" s="398"/>
      <c r="J3" s="398"/>
      <c r="K3" s="398"/>
      <c r="L3" s="398"/>
      <c r="M3" s="398"/>
      <c r="N3" s="399"/>
    </row>
    <row r="4" spans="1:26" ht="26.25" x14ac:dyDescent="0.2">
      <c r="A4" s="63" t="s">
        <v>1</v>
      </c>
      <c r="B4" s="63"/>
      <c r="C4" s="697" t="s">
        <v>172</v>
      </c>
      <c r="D4" s="698"/>
      <c r="E4" s="698"/>
      <c r="F4" s="698"/>
      <c r="G4" s="698"/>
      <c r="H4" s="698"/>
      <c r="I4" s="698"/>
      <c r="J4" s="699"/>
      <c r="K4" s="699"/>
      <c r="L4" s="700"/>
      <c r="M4" s="700"/>
      <c r="N4" s="701"/>
    </row>
    <row r="5" spans="1:26" ht="81.75" customHeight="1" x14ac:dyDescent="0.4">
      <c r="A5" s="63"/>
      <c r="B5" s="63"/>
      <c r="C5" s="400"/>
      <c r="D5" s="707" t="s">
        <v>269</v>
      </c>
      <c r="E5" s="708"/>
      <c r="F5" s="708"/>
      <c r="G5" s="708"/>
      <c r="H5" s="708"/>
      <c r="I5" s="708"/>
      <c r="J5" s="708"/>
      <c r="K5" s="708"/>
      <c r="L5" s="708"/>
      <c r="M5" s="708"/>
      <c r="N5" s="401"/>
      <c r="O5" s="499"/>
      <c r="P5" s="499"/>
      <c r="Q5" s="541"/>
      <c r="R5" s="22"/>
      <c r="S5" s="13"/>
    </row>
    <row r="6" spans="1:26" ht="66" customHeight="1" x14ac:dyDescent="0.4">
      <c r="A6" s="63"/>
      <c r="B6" s="63"/>
      <c r="C6" s="400"/>
      <c r="D6" s="702" t="s">
        <v>268</v>
      </c>
      <c r="E6" s="703"/>
      <c r="F6" s="703"/>
      <c r="G6" s="703"/>
      <c r="H6" s="703"/>
      <c r="I6" s="703"/>
      <c r="J6" s="703"/>
      <c r="K6" s="703"/>
      <c r="L6" s="703"/>
      <c r="M6" s="703"/>
      <c r="N6" s="401"/>
      <c r="O6" s="499"/>
      <c r="P6" s="499"/>
      <c r="Q6" s="379"/>
      <c r="R6" s="22"/>
      <c r="S6" s="13"/>
    </row>
    <row r="7" spans="1:26" ht="53.25" customHeight="1" thickBot="1" x14ac:dyDescent="0.45">
      <c r="A7" s="63"/>
      <c r="B7" s="63"/>
      <c r="C7" s="402"/>
      <c r="D7" s="705" t="s">
        <v>168</v>
      </c>
      <c r="E7" s="706"/>
      <c r="F7" s="706"/>
      <c r="G7" s="706"/>
      <c r="H7" s="706"/>
      <c r="I7" s="706"/>
      <c r="J7" s="706"/>
      <c r="K7" s="706"/>
      <c r="L7" s="706"/>
      <c r="M7" s="706"/>
      <c r="N7" s="403"/>
      <c r="O7" s="499"/>
      <c r="P7" s="499"/>
      <c r="Q7" s="379"/>
      <c r="R7" s="22"/>
      <c r="S7" s="13"/>
    </row>
    <row r="8" spans="1:26" ht="21.75" customHeight="1" thickBot="1" x14ac:dyDescent="0.45">
      <c r="A8" s="63"/>
      <c r="B8" s="63"/>
      <c r="C8" s="227"/>
      <c r="D8" s="228"/>
      <c r="E8" s="229"/>
      <c r="F8" s="229"/>
      <c r="G8" s="229"/>
      <c r="H8" s="229"/>
      <c r="I8" s="229"/>
      <c r="J8" s="229"/>
      <c r="K8" s="229"/>
      <c r="L8" s="229"/>
      <c r="M8" s="229"/>
      <c r="N8" s="230"/>
      <c r="O8" s="499"/>
      <c r="P8" s="499"/>
      <c r="Q8" s="379"/>
      <c r="R8" s="22"/>
      <c r="S8" s="13"/>
    </row>
    <row r="9" spans="1:26" ht="36" customHeight="1" thickTop="1" x14ac:dyDescent="0.35">
      <c r="C9" s="298"/>
      <c r="D9" s="709" t="s">
        <v>112</v>
      </c>
      <c r="E9" s="710"/>
      <c r="F9" s="710"/>
      <c r="G9" s="710"/>
      <c r="H9" s="710"/>
      <c r="I9" s="710"/>
      <c r="J9" s="710"/>
      <c r="K9" s="710"/>
      <c r="L9" s="710"/>
      <c r="M9" s="361"/>
      <c r="N9" s="362"/>
      <c r="O9" s="499"/>
      <c r="P9" s="499"/>
      <c r="Q9" s="379"/>
      <c r="R9" s="23"/>
      <c r="S9" s="3"/>
    </row>
    <row r="10" spans="1:26" ht="37.5" customHeight="1" x14ac:dyDescent="0.35">
      <c r="A10" t="s">
        <v>1</v>
      </c>
      <c r="C10" s="298"/>
      <c r="D10" s="720" t="s">
        <v>178</v>
      </c>
      <c r="E10" s="721"/>
      <c r="F10" s="721"/>
      <c r="G10" s="721"/>
      <c r="H10" s="721"/>
      <c r="I10" s="721"/>
      <c r="J10" s="721"/>
      <c r="K10" s="721"/>
      <c r="L10" s="721"/>
      <c r="M10" s="721"/>
      <c r="N10" s="363"/>
      <c r="O10" s="384"/>
      <c r="P10" s="384"/>
      <c r="Q10" s="384"/>
      <c r="R10" s="23"/>
      <c r="S10" s="3"/>
    </row>
    <row r="11" spans="1:26" ht="21.75" customHeight="1" x14ac:dyDescent="0.3">
      <c r="C11" s="298"/>
      <c r="D11" s="364" t="s">
        <v>42</v>
      </c>
      <c r="E11" s="243"/>
      <c r="F11" s="243"/>
      <c r="G11" s="243"/>
      <c r="H11" s="243"/>
      <c r="I11" s="243"/>
      <c r="J11" s="243"/>
      <c r="K11" s="243"/>
      <c r="L11" s="243"/>
      <c r="M11" s="243"/>
      <c r="N11" s="239"/>
    </row>
    <row r="12" spans="1:26" ht="4.5" customHeight="1" x14ac:dyDescent="0.2">
      <c r="C12" s="298"/>
      <c r="D12" s="243"/>
      <c r="E12" s="243"/>
      <c r="F12" s="243"/>
      <c r="G12" s="243"/>
      <c r="H12" s="243"/>
      <c r="I12" s="243"/>
      <c r="J12" s="243"/>
      <c r="K12" s="243"/>
      <c r="L12" s="243"/>
      <c r="M12" s="243"/>
      <c r="N12" s="239"/>
    </row>
    <row r="13" spans="1:26" ht="46.5" customHeight="1" x14ac:dyDescent="0.2">
      <c r="C13" s="332"/>
      <c r="D13" s="721" t="s">
        <v>266</v>
      </c>
      <c r="E13" s="721"/>
      <c r="F13" s="721"/>
      <c r="G13" s="721"/>
      <c r="H13" s="721"/>
      <c r="I13" s="721"/>
      <c r="J13" s="721"/>
      <c r="K13" s="721"/>
      <c r="L13" s="721"/>
      <c r="M13" s="731"/>
      <c r="N13" s="242"/>
      <c r="O13" s="11"/>
      <c r="P13" s="11"/>
      <c r="Q13" s="11"/>
    </row>
    <row r="14" spans="1:26" ht="41.25" customHeight="1" x14ac:dyDescent="0.2">
      <c r="C14" s="238"/>
      <c r="D14" s="720" t="s">
        <v>114</v>
      </c>
      <c r="E14" s="720"/>
      <c r="F14" s="720"/>
      <c r="G14" s="720"/>
      <c r="H14" s="720"/>
      <c r="I14" s="720"/>
      <c r="J14" s="720"/>
      <c r="K14" s="720"/>
      <c r="L14" s="720"/>
      <c r="M14" s="848"/>
      <c r="N14" s="270"/>
      <c r="O14" s="4"/>
      <c r="P14" s="4"/>
      <c r="Q14" s="4"/>
      <c r="S14" s="4"/>
      <c r="T14" s="4"/>
      <c r="U14" s="4"/>
      <c r="Z14" s="4"/>
    </row>
    <row r="15" spans="1:26" ht="8.25" customHeight="1" thickBot="1" x14ac:dyDescent="0.35">
      <c r="C15" s="249"/>
      <c r="D15" s="359"/>
      <c r="E15" s="366"/>
      <c r="F15" s="366"/>
      <c r="G15" s="366"/>
      <c r="H15" s="366"/>
      <c r="I15" s="366"/>
      <c r="J15" s="366"/>
      <c r="K15" s="366"/>
      <c r="L15" s="366"/>
      <c r="M15" s="366"/>
      <c r="N15" s="367"/>
      <c r="O15" s="34"/>
      <c r="P15" s="34"/>
      <c r="Q15" s="34"/>
      <c r="R15" s="11"/>
      <c r="S15" s="11"/>
    </row>
    <row r="16" spans="1:26" ht="11.25" customHeight="1" thickTop="1" thickBot="1" x14ac:dyDescent="0.35">
      <c r="C16" s="5"/>
      <c r="D16" s="32"/>
      <c r="E16" s="34"/>
      <c r="F16" s="34"/>
      <c r="G16" s="34"/>
      <c r="H16" s="34"/>
      <c r="I16" s="34"/>
      <c r="J16" s="34"/>
      <c r="K16" s="34"/>
      <c r="L16" s="34"/>
      <c r="M16" s="34"/>
      <c r="N16" s="34"/>
      <c r="O16" s="34"/>
      <c r="P16" s="34"/>
      <c r="Q16" s="34"/>
      <c r="R16" s="11"/>
      <c r="S16" s="11"/>
    </row>
    <row r="17" spans="3:19" ht="9.75" customHeight="1" thickTop="1" x14ac:dyDescent="0.3">
      <c r="C17" s="234"/>
      <c r="D17" s="235"/>
      <c r="E17" s="236"/>
      <c r="F17" s="236"/>
      <c r="G17" s="236"/>
      <c r="H17" s="236"/>
      <c r="I17" s="236"/>
      <c r="J17" s="236"/>
      <c r="K17" s="236"/>
      <c r="L17" s="236"/>
      <c r="M17" s="236"/>
      <c r="N17" s="237"/>
      <c r="O17" s="34"/>
      <c r="P17" s="34"/>
      <c r="Q17" s="34"/>
      <c r="R17" s="11"/>
      <c r="S17" s="11"/>
    </row>
    <row r="18" spans="3:19" ht="16.5" customHeight="1" x14ac:dyDescent="0.2">
      <c r="C18" s="238"/>
      <c r="D18" s="732" t="s">
        <v>267</v>
      </c>
      <c r="E18" s="721"/>
      <c r="F18" s="721"/>
      <c r="G18" s="721"/>
      <c r="H18" s="721"/>
      <c r="I18" s="721"/>
      <c r="J18" s="721"/>
      <c r="K18" s="721"/>
      <c r="L18" s="731"/>
      <c r="M18" s="731"/>
      <c r="N18" s="239"/>
    </row>
    <row r="19" spans="3:19" ht="49.5" customHeight="1" x14ac:dyDescent="0.2">
      <c r="C19" s="238"/>
      <c r="D19" s="721"/>
      <c r="E19" s="721"/>
      <c r="F19" s="721"/>
      <c r="G19" s="721"/>
      <c r="H19" s="721"/>
      <c r="I19" s="721"/>
      <c r="J19" s="721"/>
      <c r="K19" s="721"/>
      <c r="L19" s="731"/>
      <c r="M19" s="731"/>
      <c r="N19" s="239"/>
    </row>
    <row r="20" spans="3:19" ht="7.5" customHeight="1" x14ac:dyDescent="0.2">
      <c r="C20" s="238"/>
      <c r="D20" s="240"/>
      <c r="E20" s="240"/>
      <c r="F20" s="240"/>
      <c r="G20" s="240"/>
      <c r="H20" s="240"/>
      <c r="I20" s="240"/>
      <c r="J20" s="240"/>
      <c r="K20" s="240"/>
      <c r="L20" s="231"/>
      <c r="M20" s="231"/>
      <c r="N20" s="239"/>
    </row>
    <row r="21" spans="3:19" ht="16.5" customHeight="1" x14ac:dyDescent="0.2">
      <c r="C21" s="238"/>
      <c r="D21" s="455" t="s">
        <v>248</v>
      </c>
      <c r="E21" s="231"/>
      <c r="F21" s="241"/>
      <c r="G21" s="241"/>
      <c r="H21" s="231"/>
      <c r="I21" s="231"/>
      <c r="J21" s="241"/>
      <c r="K21" s="241"/>
      <c r="L21" s="240"/>
      <c r="M21" s="231"/>
      <c r="N21" s="690" t="s">
        <v>21</v>
      </c>
      <c r="O21" s="500"/>
      <c r="P21" s="500"/>
      <c r="Q21" s="385"/>
      <c r="R21" s="11"/>
    </row>
    <row r="22" spans="3:19" ht="46.5" customHeight="1" x14ac:dyDescent="0.2">
      <c r="C22" s="238"/>
      <c r="D22" s="771" t="s">
        <v>111</v>
      </c>
      <c r="E22" s="771"/>
      <c r="F22" s="771"/>
      <c r="G22" s="771"/>
      <c r="H22" s="771"/>
      <c r="I22" s="771"/>
      <c r="J22" s="771"/>
      <c r="K22" s="771"/>
      <c r="L22" s="771"/>
      <c r="M22" s="771"/>
      <c r="N22" s="239"/>
    </row>
    <row r="23" spans="3:19" ht="6.75" customHeight="1" thickBot="1" x14ac:dyDescent="0.25">
      <c r="C23" s="249"/>
      <c r="D23" s="263"/>
      <c r="E23" s="284"/>
      <c r="F23" s="284"/>
      <c r="G23" s="284"/>
      <c r="H23" s="284"/>
      <c r="I23" s="284"/>
      <c r="J23" s="284"/>
      <c r="K23" s="284"/>
      <c r="L23" s="264"/>
      <c r="M23" s="264"/>
      <c r="N23" s="265"/>
      <c r="O23" s="2"/>
      <c r="P23" s="2"/>
    </row>
    <row r="24" spans="3:19" ht="19.5" customHeight="1" thickTop="1" x14ac:dyDescent="0.3">
      <c r="C24" s="5"/>
      <c r="D24" s="16"/>
      <c r="E24" s="53"/>
      <c r="F24" s="127"/>
      <c r="G24" s="54"/>
      <c r="H24" s="54"/>
      <c r="I24" s="54"/>
      <c r="J24" s="54"/>
      <c r="K24" s="54"/>
      <c r="L24" s="54"/>
      <c r="M24" s="54"/>
      <c r="R24" s="409"/>
    </row>
    <row r="25" spans="3:19" ht="9.75" customHeight="1" thickBot="1" x14ac:dyDescent="0.35">
      <c r="C25" s="5"/>
      <c r="D25" s="16"/>
      <c r="E25" s="53"/>
      <c r="F25" s="127"/>
      <c r="G25" s="54"/>
      <c r="H25" s="54"/>
      <c r="I25" s="54"/>
      <c r="J25" s="54"/>
      <c r="K25" s="54"/>
      <c r="L25" s="54"/>
      <c r="M25" s="54"/>
      <c r="R25" s="409"/>
    </row>
    <row r="26" spans="3:19" ht="21" customHeight="1" x14ac:dyDescent="0.3">
      <c r="C26" s="580"/>
      <c r="D26" s="594" t="s">
        <v>163</v>
      </c>
      <c r="E26" s="581"/>
      <c r="F26" s="582"/>
      <c r="G26" s="583"/>
      <c r="H26" s="583"/>
      <c r="I26" s="583"/>
      <c r="J26" s="583"/>
      <c r="K26" s="583"/>
      <c r="L26" s="584"/>
      <c r="M26" s="54"/>
      <c r="R26" s="409"/>
    </row>
    <row r="27" spans="3:19" ht="19.5" customHeight="1" x14ac:dyDescent="0.3">
      <c r="C27" s="585"/>
      <c r="D27" s="472" t="s">
        <v>271</v>
      </c>
      <c r="E27" s="595"/>
      <c r="F27" s="595"/>
      <c r="G27" s="595"/>
      <c r="H27" s="595"/>
      <c r="I27" s="595"/>
      <c r="J27" s="595"/>
      <c r="K27" s="595"/>
      <c r="L27" s="596"/>
      <c r="M27" s="579"/>
      <c r="R27" s="409"/>
    </row>
    <row r="28" spans="3:19" ht="19.5" customHeight="1" x14ac:dyDescent="0.3">
      <c r="C28" s="585"/>
      <c r="D28" s="919" t="s">
        <v>270</v>
      </c>
      <c r="E28" s="920"/>
      <c r="F28" s="921"/>
      <c r="G28" s="922"/>
      <c r="H28" s="515">
        <v>0.02</v>
      </c>
      <c r="I28" s="472" t="s">
        <v>274</v>
      </c>
      <c r="J28" s="597"/>
      <c r="K28" s="597"/>
      <c r="L28" s="598"/>
      <c r="M28" s="514"/>
      <c r="R28" s="409"/>
    </row>
    <row r="29" spans="3:19" ht="19.5" customHeight="1" x14ac:dyDescent="0.3">
      <c r="C29" s="585"/>
      <c r="D29" s="231"/>
      <c r="E29" s="231"/>
      <c r="F29" s="513"/>
      <c r="G29" s="513" t="s">
        <v>190</v>
      </c>
      <c r="H29" s="923">
        <v>435</v>
      </c>
      <c r="I29" s="472"/>
      <c r="J29" s="231"/>
      <c r="K29" s="472"/>
      <c r="L29" s="598"/>
      <c r="M29" s="514"/>
      <c r="R29" s="409"/>
    </row>
    <row r="30" spans="3:19" ht="18" customHeight="1" x14ac:dyDescent="0.3">
      <c r="C30" s="585"/>
      <c r="D30" s="792" t="s">
        <v>193</v>
      </c>
      <c r="E30" s="696"/>
      <c r="F30" s="696"/>
      <c r="G30" s="696"/>
      <c r="H30" s="696"/>
      <c r="I30" s="696"/>
      <c r="J30" s="696"/>
      <c r="K30" s="696"/>
      <c r="L30" s="587"/>
      <c r="M30" s="54"/>
      <c r="P30" s="63"/>
      <c r="R30" s="409"/>
    </row>
    <row r="31" spans="3:19" ht="18" customHeight="1" x14ac:dyDescent="0.3">
      <c r="C31" s="585"/>
      <c r="D31" s="696"/>
      <c r="E31" s="696"/>
      <c r="F31" s="696"/>
      <c r="G31" s="696"/>
      <c r="H31" s="696"/>
      <c r="I31" s="696"/>
      <c r="J31" s="696"/>
      <c r="K31" s="696"/>
      <c r="L31" s="587"/>
      <c r="M31" s="54"/>
      <c r="R31" s="409"/>
    </row>
    <row r="32" spans="3:19" ht="18" customHeight="1" x14ac:dyDescent="0.3">
      <c r="C32" s="585"/>
      <c r="D32" s="231"/>
      <c r="E32" s="618" t="s">
        <v>189</v>
      </c>
      <c r="F32" s="244"/>
      <c r="G32" s="244"/>
      <c r="H32" s="619">
        <v>20</v>
      </c>
      <c r="I32" s="621" t="s">
        <v>191</v>
      </c>
      <c r="J32" s="244"/>
      <c r="K32" s="244"/>
      <c r="L32" s="587"/>
      <c r="M32" s="54"/>
      <c r="O32" s="63"/>
      <c r="R32" s="409"/>
    </row>
    <row r="33" spans="1:28" ht="18" customHeight="1" x14ac:dyDescent="0.3">
      <c r="C33" s="585"/>
      <c r="D33" s="586"/>
      <c r="E33" s="231"/>
      <c r="F33" s="622"/>
      <c r="G33" s="620" t="s">
        <v>194</v>
      </c>
      <c r="H33" s="619">
        <f>H29+H32</f>
        <v>455</v>
      </c>
      <c r="I33" s="621" t="s">
        <v>192</v>
      </c>
      <c r="J33" s="244"/>
      <c r="K33" s="244"/>
      <c r="L33" s="587"/>
      <c r="M33" s="54"/>
      <c r="R33" s="409"/>
    </row>
    <row r="34" spans="1:28" ht="20.25" customHeight="1" x14ac:dyDescent="0.3">
      <c r="C34" s="585"/>
      <c r="D34" s="231"/>
      <c r="E34" s="244"/>
      <c r="F34" s="244"/>
      <c r="G34" s="513" t="s">
        <v>182</v>
      </c>
      <c r="H34" s="617">
        <v>0.1</v>
      </c>
      <c r="I34" s="244" t="s">
        <v>181</v>
      </c>
      <c r="J34" s="244"/>
      <c r="K34" s="244"/>
      <c r="L34" s="587"/>
      <c r="M34" s="54"/>
      <c r="R34" s="409"/>
    </row>
    <row r="35" spans="1:28" ht="20.25" customHeight="1" x14ac:dyDescent="0.3">
      <c r="C35" s="585"/>
      <c r="D35" s="231"/>
      <c r="E35" s="472" t="s">
        <v>183</v>
      </c>
      <c r="F35" s="244"/>
      <c r="G35" s="244"/>
      <c r="H35" s="610"/>
      <c r="I35" s="244"/>
      <c r="J35" s="244"/>
      <c r="K35" s="244"/>
      <c r="L35" s="587"/>
      <c r="M35" s="54"/>
      <c r="R35" s="409"/>
    </row>
    <row r="36" spans="1:28" ht="9" customHeight="1" thickBot="1" x14ac:dyDescent="0.35">
      <c r="C36" s="588"/>
      <c r="D36" s="589"/>
      <c r="E36" s="590"/>
      <c r="F36" s="590"/>
      <c r="G36" s="590"/>
      <c r="H36" s="590"/>
      <c r="I36" s="590"/>
      <c r="J36" s="590"/>
      <c r="K36" s="590"/>
      <c r="L36" s="591"/>
      <c r="M36" s="54"/>
      <c r="R36" s="409"/>
    </row>
    <row r="37" spans="1:28" ht="19.5" customHeight="1" thickBot="1" x14ac:dyDescent="0.35">
      <c r="C37" s="5"/>
      <c r="D37" s="510"/>
      <c r="E37" s="509"/>
      <c r="F37" s="511"/>
      <c r="G37" s="509"/>
      <c r="H37" s="509"/>
      <c r="I37" s="509"/>
      <c r="J37" s="509"/>
      <c r="K37" s="509"/>
      <c r="L37" s="509"/>
      <c r="M37" s="54"/>
      <c r="R37" s="409"/>
    </row>
    <row r="38" spans="1:28" ht="19.5" customHeight="1" thickTop="1" thickBot="1" x14ac:dyDescent="0.35">
      <c r="C38" s="793"/>
      <c r="D38" s="794"/>
      <c r="E38" s="407" t="s">
        <v>41</v>
      </c>
      <c r="F38" s="255"/>
      <c r="G38" s="255"/>
      <c r="H38" s="255"/>
      <c r="I38" s="459"/>
      <c r="J38" s="457"/>
      <c r="K38" s="457"/>
      <c r="L38" s="460"/>
      <c r="M38" s="54"/>
      <c r="Q38" s="394" t="s">
        <v>151</v>
      </c>
      <c r="V38" s="943" t="s">
        <v>300</v>
      </c>
    </row>
    <row r="39" spans="1:28" ht="22.5" customHeight="1" thickTop="1" thickBot="1" x14ac:dyDescent="0.35">
      <c r="C39" s="795"/>
      <c r="D39" s="796"/>
      <c r="E39" s="826" t="s">
        <v>223</v>
      </c>
      <c r="F39" s="827"/>
      <c r="G39" s="827"/>
      <c r="H39" s="828"/>
      <c r="I39" s="458"/>
      <c r="J39" s="458"/>
      <c r="K39" s="458"/>
      <c r="L39" s="461"/>
      <c r="M39" s="54"/>
      <c r="Q39" s="394" t="s">
        <v>173</v>
      </c>
    </row>
    <row r="40" spans="1:28" ht="8.25" customHeight="1" thickTop="1" thickBot="1" x14ac:dyDescent="0.25">
      <c r="C40" s="797"/>
      <c r="D40" s="796"/>
      <c r="E40" s="404"/>
      <c r="F40" s="405"/>
      <c r="G40" s="406"/>
      <c r="H40" s="256"/>
      <c r="I40" s="458"/>
      <c r="J40" s="458"/>
      <c r="K40" s="458"/>
      <c r="L40" s="461"/>
      <c r="R40" s="52"/>
      <c r="S40" s="501"/>
      <c r="T40" s="501"/>
    </row>
    <row r="41" spans="1:28" ht="40.5" customHeight="1" thickTop="1" x14ac:dyDescent="0.2">
      <c r="A41" s="76" t="s">
        <v>107</v>
      </c>
      <c r="B41" s="76"/>
      <c r="C41" s="238"/>
      <c r="D41" s="231"/>
      <c r="E41" s="134" t="s">
        <v>22</v>
      </c>
      <c r="F41" s="46" t="s">
        <v>71</v>
      </c>
      <c r="G41" s="728" t="s">
        <v>136</v>
      </c>
      <c r="H41" s="729"/>
      <c r="I41" s="730"/>
      <c r="J41" s="738" t="s">
        <v>24</v>
      </c>
      <c r="K41" s="738" t="s">
        <v>16</v>
      </c>
      <c r="L41" s="239"/>
      <c r="Q41" s="517" t="s">
        <v>140</v>
      </c>
      <c r="R41" s="772" t="s">
        <v>134</v>
      </c>
      <c r="S41" s="773"/>
      <c r="T41" s="774"/>
      <c r="U41" s="775" t="s">
        <v>118</v>
      </c>
      <c r="V41" s="777" t="s">
        <v>135</v>
      </c>
      <c r="W41" s="820" t="s">
        <v>156</v>
      </c>
      <c r="AB41" s="63"/>
    </row>
    <row r="42" spans="1:28" ht="18" customHeight="1" thickBot="1" x14ac:dyDescent="0.25">
      <c r="A42" s="76"/>
      <c r="B42" s="76"/>
      <c r="C42" s="238"/>
      <c r="D42" s="231"/>
      <c r="E42" s="722" t="s">
        <v>82</v>
      </c>
      <c r="F42" s="723"/>
      <c r="G42" s="723"/>
      <c r="H42" s="723"/>
      <c r="I42" s="724"/>
      <c r="J42" s="739"/>
      <c r="K42" s="739"/>
      <c r="L42" s="239"/>
      <c r="Q42" s="64"/>
      <c r="R42" s="560" t="s">
        <v>90</v>
      </c>
      <c r="S42" s="561" t="s">
        <v>154</v>
      </c>
      <c r="T42" s="562" t="s">
        <v>155</v>
      </c>
      <c r="U42" s="776"/>
      <c r="V42" s="776"/>
      <c r="W42" s="821"/>
    </row>
    <row r="43" spans="1:28" ht="18.75" customHeight="1" thickTop="1" x14ac:dyDescent="0.25">
      <c r="A43" s="41" t="str">
        <f>IF(J43*100&gt;H$28,"&gt;1%"," ")</f>
        <v>&gt;1%</v>
      </c>
      <c r="B43" s="41"/>
      <c r="C43" s="252"/>
      <c r="D43" s="253">
        <v>1</v>
      </c>
      <c r="E43" s="434" t="s">
        <v>157</v>
      </c>
      <c r="F43" s="371">
        <v>25000000</v>
      </c>
      <c r="G43" s="733">
        <v>125</v>
      </c>
      <c r="H43" s="734"/>
      <c r="I43" s="735"/>
      <c r="J43" s="223">
        <f t="shared" ref="J43:J54" si="0">IF(F43&gt;0,F43/F$59,0)</f>
        <v>0.15360039321700664</v>
      </c>
      <c r="K43" s="224">
        <f t="shared" ref="K43:K54" si="1">IF(G43&gt;0,G43/G$59,0)</f>
        <v>0.28735632183908044</v>
      </c>
      <c r="L43" s="462" t="str">
        <f>IF(K100=J$97," √√ "," ")</f>
        <v xml:space="preserve"> √√ </v>
      </c>
      <c r="M43" s="133"/>
      <c r="N43" s="133"/>
      <c r="O43" s="133"/>
      <c r="P43" s="133"/>
      <c r="Q43" s="554" t="str">
        <f>E190</f>
        <v>Lincoln Republicans</v>
      </c>
      <c r="R43" s="545">
        <f>G152</f>
        <v>125</v>
      </c>
      <c r="S43" s="545">
        <f>J152</f>
        <v>0</v>
      </c>
      <c r="T43" s="546">
        <f>S43+R43</f>
        <v>125</v>
      </c>
      <c r="U43" s="551">
        <f t="shared" ref="U43:U54" si="2">F190</f>
        <v>124.99999999999999</v>
      </c>
      <c r="V43" s="547">
        <f t="shared" ref="V43:V54" si="3">K190</f>
        <v>0.15643772527032437</v>
      </c>
      <c r="W43" s="557">
        <f t="shared" ref="W43:W54" si="4">I190</f>
        <v>0.99999999999999989</v>
      </c>
      <c r="AB43" s="387"/>
    </row>
    <row r="44" spans="1:28" ht="15.75" x14ac:dyDescent="0.25">
      <c r="A44" s="41" t="str">
        <f>IF(J44*100&gt;H$28,"&gt;1%"," ")</f>
        <v>&gt;1%</v>
      </c>
      <c r="B44" s="41"/>
      <c r="C44" s="252"/>
      <c r="D44" s="253">
        <f>1+D43</f>
        <v>2</v>
      </c>
      <c r="E44" s="434" t="s">
        <v>113</v>
      </c>
      <c r="F44" s="372">
        <v>40000000</v>
      </c>
      <c r="G44" s="725">
        <v>135</v>
      </c>
      <c r="H44" s="726"/>
      <c r="I44" s="727"/>
      <c r="J44" s="426">
        <f t="shared" si="0"/>
        <v>0.24576062914721061</v>
      </c>
      <c r="K44" s="427">
        <f t="shared" si="1"/>
        <v>0.31034482758620691</v>
      </c>
      <c r="L44" s="462" t="str">
        <f t="shared" ref="L44:L49" si="5">IF(K101=J$97," !! "," ")</f>
        <v xml:space="preserve"> </v>
      </c>
      <c r="M44" s="133"/>
      <c r="N44" s="133"/>
      <c r="O44" s="133"/>
      <c r="P44" s="133"/>
      <c r="Q44" s="555" t="str">
        <f t="shared" ref="Q44:Q54" si="6">E191</f>
        <v>Democratic Party</v>
      </c>
      <c r="R44" s="548">
        <f t="shared" ref="R44:R54" si="7">G153</f>
        <v>135</v>
      </c>
      <c r="S44" s="548">
        <f t="shared" ref="S44:S54" si="8">J153</f>
        <v>0</v>
      </c>
      <c r="T44" s="549">
        <f t="shared" ref="T44:T56" si="9">S44+R44</f>
        <v>135</v>
      </c>
      <c r="U44" s="552">
        <f t="shared" si="2"/>
        <v>200</v>
      </c>
      <c r="V44" s="550">
        <f t="shared" si="3"/>
        <v>0.25030036043251902</v>
      </c>
      <c r="W44" s="558">
        <f t="shared" si="4"/>
        <v>1.4814814814814814</v>
      </c>
      <c r="AB44" s="387"/>
    </row>
    <row r="45" spans="1:28" ht="15.75" x14ac:dyDescent="0.25">
      <c r="A45" s="41" t="str">
        <f>IF(J45*100&gt;H$28,"&gt;1%"," ")</f>
        <v>&gt;1%</v>
      </c>
      <c r="B45" s="41"/>
      <c r="C45" s="252"/>
      <c r="D45" s="254">
        <f t="shared" ref="D45:D54" si="10">1+D44</f>
        <v>3</v>
      </c>
      <c r="E45" s="434" t="s">
        <v>228</v>
      </c>
      <c r="F45" s="372">
        <v>30000000</v>
      </c>
      <c r="G45" s="725">
        <v>90</v>
      </c>
      <c r="H45" s="726"/>
      <c r="I45" s="727"/>
      <c r="J45" s="222">
        <f t="shared" si="0"/>
        <v>0.18432047186040795</v>
      </c>
      <c r="K45" s="225">
        <f t="shared" si="1"/>
        <v>0.20689655172413793</v>
      </c>
      <c r="L45" s="462" t="str">
        <f t="shared" si="5"/>
        <v xml:space="preserve"> </v>
      </c>
      <c r="M45" s="133"/>
      <c r="N45" s="133"/>
      <c r="O45" s="133"/>
      <c r="P45" s="133"/>
      <c r="Q45" s="555" t="str">
        <f t="shared" si="6"/>
        <v>America First Party</v>
      </c>
      <c r="R45" s="548">
        <f t="shared" si="7"/>
        <v>90</v>
      </c>
      <c r="S45" s="548">
        <f t="shared" si="8"/>
        <v>0</v>
      </c>
      <c r="T45" s="549">
        <f t="shared" si="9"/>
        <v>90</v>
      </c>
      <c r="U45" s="552">
        <f t="shared" si="2"/>
        <v>150</v>
      </c>
      <c r="V45" s="550">
        <f t="shared" si="3"/>
        <v>0.18772527032438927</v>
      </c>
      <c r="W45" s="558">
        <f t="shared" si="4"/>
        <v>1.6666666666666667</v>
      </c>
      <c r="AB45" s="387"/>
    </row>
    <row r="46" spans="1:28" ht="15.75" x14ac:dyDescent="0.25">
      <c r="A46" s="41" t="str">
        <f>IF(J46*100&gt;H$28,"&gt;1%"," ")</f>
        <v>&gt;1%</v>
      </c>
      <c r="B46" s="41"/>
      <c r="C46" s="252"/>
      <c r="D46" s="254">
        <f t="shared" si="10"/>
        <v>4</v>
      </c>
      <c r="E46" s="369" t="s">
        <v>148</v>
      </c>
      <c r="F46" s="372">
        <v>25000000</v>
      </c>
      <c r="G46" s="725">
        <v>65</v>
      </c>
      <c r="H46" s="726"/>
      <c r="I46" s="727"/>
      <c r="J46" s="222">
        <f t="shared" si="0"/>
        <v>0.15360039321700664</v>
      </c>
      <c r="K46" s="225">
        <f t="shared" si="1"/>
        <v>0.14942528735632185</v>
      </c>
      <c r="L46" s="462" t="str">
        <f t="shared" si="5"/>
        <v xml:space="preserve"> </v>
      </c>
      <c r="M46" s="133"/>
      <c r="N46" s="133"/>
      <c r="O46" s="133"/>
      <c r="P46" s="133"/>
      <c r="Q46" s="555" t="str">
        <f t="shared" si="6"/>
        <v>Progressive Democratic Party</v>
      </c>
      <c r="R46" s="548">
        <f t="shared" si="7"/>
        <v>65</v>
      </c>
      <c r="S46" s="548">
        <f t="shared" si="8"/>
        <v>0</v>
      </c>
      <c r="T46" s="549">
        <f t="shared" si="9"/>
        <v>65</v>
      </c>
      <c r="U46" s="552">
        <f t="shared" si="2"/>
        <v>124.99999999999999</v>
      </c>
      <c r="V46" s="550">
        <f t="shared" si="3"/>
        <v>0.15643772527032437</v>
      </c>
      <c r="W46" s="558">
        <f t="shared" si="4"/>
        <v>1.9230769230769229</v>
      </c>
      <c r="AB46" s="387"/>
    </row>
    <row r="47" spans="1:28" ht="15.75" x14ac:dyDescent="0.25">
      <c r="A47" s="41" t="str">
        <f>IF(J47*100&gt;H$28,"&gt;1%"," ")</f>
        <v>&gt;1%</v>
      </c>
      <c r="B47" s="41"/>
      <c r="C47" s="252"/>
      <c r="D47" s="254">
        <f t="shared" si="10"/>
        <v>5</v>
      </c>
      <c r="E47" s="434" t="s">
        <v>257</v>
      </c>
      <c r="F47" s="372">
        <v>15000000</v>
      </c>
      <c r="G47" s="725">
        <v>8</v>
      </c>
      <c r="H47" s="726"/>
      <c r="I47" s="727"/>
      <c r="J47" s="222">
        <f t="shared" si="0"/>
        <v>9.2160235930203976E-2</v>
      </c>
      <c r="K47" s="225">
        <f t="shared" si="1"/>
        <v>1.8390804597701149E-2</v>
      </c>
      <c r="L47" s="462" t="str">
        <f t="shared" si="5"/>
        <v xml:space="preserve"> </v>
      </c>
      <c r="M47" s="133"/>
      <c r="N47" s="133"/>
      <c r="O47" s="133"/>
      <c r="P47" s="133"/>
      <c r="Q47" s="555" t="str">
        <f t="shared" si="6"/>
        <v>Green Party</v>
      </c>
      <c r="R47" s="548">
        <f t="shared" si="7"/>
        <v>8</v>
      </c>
      <c r="S47" s="548">
        <f t="shared" si="8"/>
        <v>7</v>
      </c>
      <c r="T47" s="549">
        <f t="shared" si="9"/>
        <v>15</v>
      </c>
      <c r="U47" s="552">
        <f t="shared" si="2"/>
        <v>75</v>
      </c>
      <c r="V47" s="550">
        <f t="shared" si="3"/>
        <v>9.3862635162194633E-2</v>
      </c>
      <c r="W47" s="558">
        <f t="shared" si="4"/>
        <v>5</v>
      </c>
      <c r="AB47" s="387"/>
    </row>
    <row r="48" spans="1:28" ht="17.45" customHeight="1" x14ac:dyDescent="0.25">
      <c r="A48" s="41" t="str">
        <f>IF(J48*100&gt;H$28,"&gt;1%"," ")</f>
        <v>&gt;1%</v>
      </c>
      <c r="C48" s="252"/>
      <c r="D48" s="254">
        <f t="shared" si="10"/>
        <v>6</v>
      </c>
      <c r="E48" s="369" t="s">
        <v>258</v>
      </c>
      <c r="F48" s="372">
        <v>20000000</v>
      </c>
      <c r="G48" s="725">
        <v>5</v>
      </c>
      <c r="H48" s="726"/>
      <c r="I48" s="727"/>
      <c r="J48" s="222">
        <f t="shared" si="0"/>
        <v>0.12288031457360531</v>
      </c>
      <c r="K48" s="225">
        <f t="shared" si="1"/>
        <v>1.1494252873563218E-2</v>
      </c>
      <c r="L48" s="462" t="str">
        <f t="shared" si="5"/>
        <v xml:space="preserve"> </v>
      </c>
      <c r="M48" s="133"/>
      <c r="N48" s="133"/>
      <c r="O48" s="133"/>
      <c r="P48" s="133"/>
      <c r="Q48" s="555" t="str">
        <f t="shared" si="6"/>
        <v>Libertarian Party</v>
      </c>
      <c r="R48" s="548">
        <f t="shared" si="7"/>
        <v>5</v>
      </c>
      <c r="S48" s="548">
        <f t="shared" si="8"/>
        <v>11</v>
      </c>
      <c r="T48" s="549">
        <f t="shared" si="9"/>
        <v>16</v>
      </c>
      <c r="U48" s="552">
        <f t="shared" si="2"/>
        <v>100</v>
      </c>
      <c r="V48" s="550">
        <f t="shared" si="3"/>
        <v>0.12515018021625951</v>
      </c>
      <c r="W48" s="558">
        <f t="shared" si="4"/>
        <v>6.25</v>
      </c>
      <c r="AB48" s="387"/>
    </row>
    <row r="49" spans="1:28" ht="15.75" customHeight="1" x14ac:dyDescent="0.25">
      <c r="A49" s="41" t="str">
        <f>IF(J49*100&gt;H$28,"&gt;1%"," ")</f>
        <v>&gt;1%</v>
      </c>
      <c r="C49" s="252"/>
      <c r="D49" s="254">
        <f t="shared" si="10"/>
        <v>7</v>
      </c>
      <c r="E49" s="434" t="s">
        <v>260</v>
      </c>
      <c r="F49" s="372">
        <v>400000</v>
      </c>
      <c r="G49" s="725">
        <v>1</v>
      </c>
      <c r="H49" s="726"/>
      <c r="I49" s="727"/>
      <c r="J49" s="222">
        <f t="shared" si="0"/>
        <v>2.4576062914721062E-3</v>
      </c>
      <c r="K49" s="225">
        <f t="shared" si="1"/>
        <v>2.2988505747126436E-3</v>
      </c>
      <c r="L49" s="462" t="str">
        <f t="shared" si="5"/>
        <v xml:space="preserve"> </v>
      </c>
      <c r="M49" s="133"/>
      <c r="N49" s="133"/>
      <c r="O49" s="133"/>
      <c r="P49" s="133"/>
      <c r="Q49" s="555" t="str">
        <f t="shared" si="6"/>
        <v>New West Party</v>
      </c>
      <c r="R49" s="548">
        <f t="shared" si="7"/>
        <v>1</v>
      </c>
      <c r="S49" s="548">
        <f t="shared" si="8"/>
        <v>0</v>
      </c>
      <c r="T49" s="549">
        <f t="shared" si="9"/>
        <v>1</v>
      </c>
      <c r="U49" s="552">
        <f t="shared" si="2"/>
        <v>2</v>
      </c>
      <c r="V49" s="550">
        <f t="shared" si="3"/>
        <v>2.5030036043251903E-3</v>
      </c>
      <c r="W49" s="558">
        <f t="shared" si="4"/>
        <v>2</v>
      </c>
      <c r="AB49" s="387"/>
    </row>
    <row r="50" spans="1:28" ht="15.75" customHeight="1" x14ac:dyDescent="0.25">
      <c r="A50" s="41" t="str">
        <f>IF(J50*100&gt;H$28,"&gt;1%"," ")</f>
        <v>&gt;1%</v>
      </c>
      <c r="C50" s="252"/>
      <c r="D50" s="254">
        <f t="shared" si="10"/>
        <v>8</v>
      </c>
      <c r="E50" s="434" t="s">
        <v>261</v>
      </c>
      <c r="F50" s="372">
        <v>3000000</v>
      </c>
      <c r="G50" s="725">
        <v>2</v>
      </c>
      <c r="H50" s="726"/>
      <c r="I50" s="727"/>
      <c r="J50" s="222">
        <f t="shared" si="0"/>
        <v>1.8432047186040797E-2</v>
      </c>
      <c r="K50" s="225">
        <f t="shared" si="1"/>
        <v>4.5977011494252873E-3</v>
      </c>
      <c r="L50" s="462" t="str">
        <f t="shared" ref="L50:L54" si="11">IF(K107=J$97," ! "," ")</f>
        <v xml:space="preserve"> </v>
      </c>
      <c r="M50" s="133"/>
      <c r="N50" s="133"/>
      <c r="O50" s="133"/>
      <c r="P50" s="133"/>
      <c r="Q50" s="555" t="str">
        <f t="shared" si="6"/>
        <v>First Americans Party</v>
      </c>
      <c r="R50" s="548">
        <f t="shared" si="7"/>
        <v>2</v>
      </c>
      <c r="S50" s="548">
        <f t="shared" si="8"/>
        <v>1</v>
      </c>
      <c r="T50" s="549">
        <f t="shared" si="9"/>
        <v>3</v>
      </c>
      <c r="U50" s="552">
        <f t="shared" si="2"/>
        <v>15</v>
      </c>
      <c r="V50" s="550">
        <f t="shared" si="3"/>
        <v>1.8772527032438927E-2</v>
      </c>
      <c r="W50" s="558">
        <f t="shared" si="4"/>
        <v>5</v>
      </c>
      <c r="AB50" s="387"/>
    </row>
    <row r="51" spans="1:28" ht="15.75" customHeight="1" x14ac:dyDescent="0.25">
      <c r="A51" s="41" t="str">
        <f>IF(J51*100&gt;H$28,"&gt;1%"," ")</f>
        <v>&gt;1%</v>
      </c>
      <c r="C51" s="252"/>
      <c r="D51" s="254">
        <f t="shared" si="10"/>
        <v>9</v>
      </c>
      <c r="E51" s="434" t="s">
        <v>263</v>
      </c>
      <c r="F51" s="372">
        <v>2800000</v>
      </c>
      <c r="G51" s="725">
        <v>0</v>
      </c>
      <c r="H51" s="726"/>
      <c r="I51" s="727"/>
      <c r="J51" s="222">
        <f t="shared" si="0"/>
        <v>1.7203244040304742E-2</v>
      </c>
      <c r="K51" s="225">
        <f t="shared" si="1"/>
        <v>0</v>
      </c>
      <c r="L51" s="462" t="str">
        <f t="shared" si="11"/>
        <v xml:space="preserve"> </v>
      </c>
      <c r="M51" s="133"/>
      <c r="N51" s="133"/>
      <c r="O51" s="133"/>
      <c r="P51" s="133"/>
      <c r="Q51" s="555" t="str">
        <f t="shared" si="6"/>
        <v>New Morality Party</v>
      </c>
      <c r="R51" s="548">
        <f t="shared" si="7"/>
        <v>0</v>
      </c>
      <c r="S51" s="548">
        <f t="shared" si="8"/>
        <v>0</v>
      </c>
      <c r="T51" s="549">
        <f t="shared" si="9"/>
        <v>0</v>
      </c>
      <c r="U51" s="552">
        <f t="shared" si="2"/>
        <v>0</v>
      </c>
      <c r="V51" s="550">
        <f t="shared" si="3"/>
        <v>0</v>
      </c>
      <c r="W51" s="558">
        <f t="shared" si="4"/>
        <v>0</v>
      </c>
      <c r="AB51" s="387"/>
    </row>
    <row r="52" spans="1:28" ht="15.75" customHeight="1" x14ac:dyDescent="0.25">
      <c r="A52" s="41" t="str">
        <f>IF(J52*100&gt;H$28,"&gt;1%"," ")</f>
        <v>&gt;1%</v>
      </c>
      <c r="C52" s="252"/>
      <c r="D52" s="254">
        <f t="shared" si="10"/>
        <v>10</v>
      </c>
      <c r="E52" s="434" t="s">
        <v>272</v>
      </c>
      <c r="F52" s="372">
        <v>400000</v>
      </c>
      <c r="G52" s="725">
        <v>0</v>
      </c>
      <c r="H52" s="726"/>
      <c r="I52" s="727"/>
      <c r="J52" s="222">
        <f t="shared" si="0"/>
        <v>2.4576062914721062E-3</v>
      </c>
      <c r="K52" s="225">
        <f t="shared" si="1"/>
        <v>0</v>
      </c>
      <c r="L52" s="462" t="str">
        <f t="shared" si="11"/>
        <v xml:space="preserve"> </v>
      </c>
      <c r="M52" s="133"/>
      <c r="N52" s="133"/>
      <c r="O52" s="133"/>
      <c r="P52" s="133"/>
      <c r="Q52" s="555" t="str">
        <f t="shared" si="6"/>
        <v>Communist Party of America</v>
      </c>
      <c r="R52" s="548">
        <f t="shared" si="7"/>
        <v>0</v>
      </c>
      <c r="S52" s="548">
        <f t="shared" si="8"/>
        <v>0</v>
      </c>
      <c r="T52" s="549">
        <f t="shared" si="9"/>
        <v>0</v>
      </c>
      <c r="U52" s="552">
        <f t="shared" si="2"/>
        <v>0</v>
      </c>
      <c r="V52" s="550">
        <f t="shared" si="3"/>
        <v>0</v>
      </c>
      <c r="W52" s="558">
        <f t="shared" si="4"/>
        <v>0</v>
      </c>
      <c r="AB52" s="387"/>
    </row>
    <row r="53" spans="1:28" ht="15.75" customHeight="1" x14ac:dyDescent="0.25">
      <c r="A53" s="41" t="str">
        <f>IF(J53*100&gt;H$28,"&gt;1%"," ")</f>
        <v>&gt;1%</v>
      </c>
      <c r="C53" s="252"/>
      <c r="D53" s="254">
        <f t="shared" si="10"/>
        <v>11</v>
      </c>
      <c r="E53" s="369" t="s">
        <v>273</v>
      </c>
      <c r="F53" s="372">
        <v>400000</v>
      </c>
      <c r="G53" s="725">
        <v>0</v>
      </c>
      <c r="H53" s="726"/>
      <c r="I53" s="727"/>
      <c r="J53" s="222">
        <f t="shared" si="0"/>
        <v>2.4576062914721062E-3</v>
      </c>
      <c r="K53" s="225">
        <f t="shared" si="1"/>
        <v>0</v>
      </c>
      <c r="L53" s="462" t="str">
        <f t="shared" si="11"/>
        <v xml:space="preserve"> </v>
      </c>
      <c r="M53" s="133"/>
      <c r="N53" s="133"/>
      <c r="O53" s="133"/>
      <c r="P53" s="133"/>
      <c r="Q53" s="555" t="str">
        <f t="shared" si="6"/>
        <v>Other Party</v>
      </c>
      <c r="R53" s="548">
        <f t="shared" si="7"/>
        <v>0</v>
      </c>
      <c r="S53" s="548">
        <f t="shared" si="8"/>
        <v>0</v>
      </c>
      <c r="T53" s="549">
        <f t="shared" si="9"/>
        <v>0</v>
      </c>
      <c r="U53" s="552">
        <f t="shared" si="2"/>
        <v>0</v>
      </c>
      <c r="V53" s="550">
        <f t="shared" si="3"/>
        <v>0</v>
      </c>
      <c r="W53" s="558">
        <f t="shared" si="4"/>
        <v>0</v>
      </c>
      <c r="AB53" s="387"/>
    </row>
    <row r="54" spans="1:28" ht="16.5" customHeight="1" thickBot="1" x14ac:dyDescent="0.3">
      <c r="A54" s="41" t="str">
        <f>IF(J54*100&gt;H$28,"&gt;1%"," ")</f>
        <v>&gt;1%</v>
      </c>
      <c r="C54" s="252"/>
      <c r="D54" s="254">
        <f t="shared" si="10"/>
        <v>12</v>
      </c>
      <c r="E54" s="370" t="s">
        <v>179</v>
      </c>
      <c r="F54" s="372">
        <v>100000</v>
      </c>
      <c r="G54" s="711">
        <v>0</v>
      </c>
      <c r="H54" s="712"/>
      <c r="I54" s="713"/>
      <c r="J54" s="222">
        <f t="shared" si="0"/>
        <v>6.1440157286802655E-4</v>
      </c>
      <c r="K54" s="225">
        <f t="shared" si="1"/>
        <v>0</v>
      </c>
      <c r="L54" s="462" t="str">
        <f t="shared" si="11"/>
        <v xml:space="preserve"> </v>
      </c>
      <c r="M54" s="133"/>
      <c r="N54" s="133"/>
      <c r="O54" s="133"/>
      <c r="P54" s="133"/>
      <c r="Q54" s="556" t="str">
        <f t="shared" si="6"/>
        <v>Other Parties</v>
      </c>
      <c r="R54" s="543">
        <f t="shared" si="7"/>
        <v>0</v>
      </c>
      <c r="S54" s="543">
        <f t="shared" si="8"/>
        <v>0</v>
      </c>
      <c r="T54" s="542">
        <f t="shared" si="9"/>
        <v>0</v>
      </c>
      <c r="U54" s="553">
        <f t="shared" si="2"/>
        <v>0</v>
      </c>
      <c r="V54" s="544">
        <f t="shared" si="3"/>
        <v>0</v>
      </c>
      <c r="W54" s="559">
        <f t="shared" si="4"/>
        <v>0</v>
      </c>
      <c r="AB54" s="387"/>
    </row>
    <row r="55" spans="1:28" ht="24.75" customHeight="1" thickTop="1" thickBot="1" x14ac:dyDescent="0.25">
      <c r="C55" s="238"/>
      <c r="D55" s="248"/>
      <c r="E55" s="14" t="s">
        <v>4</v>
      </c>
      <c r="F55" s="24">
        <f>SUM(F43:F54)</f>
        <v>162100000</v>
      </c>
      <c r="G55" s="780">
        <f>SUM(G43:I54)</f>
        <v>431</v>
      </c>
      <c r="H55" s="781"/>
      <c r="I55" s="782"/>
      <c r="J55" s="226">
        <f>SUM(J43:J54)</f>
        <v>0.99594494961907076</v>
      </c>
      <c r="K55" s="378">
        <f>SUM(K43:K54)</f>
        <v>0.99080459770114937</v>
      </c>
      <c r="L55" s="239"/>
      <c r="Q55" s="578" t="s">
        <v>159</v>
      </c>
      <c r="R55" s="575">
        <f>SUM(R43:R54)</f>
        <v>431</v>
      </c>
      <c r="S55" s="575">
        <f t="shared" ref="S55:U55" si="12">SUM(S43:S54)</f>
        <v>19</v>
      </c>
      <c r="T55" s="575">
        <f t="shared" si="12"/>
        <v>450</v>
      </c>
      <c r="U55" s="575">
        <f t="shared" si="12"/>
        <v>792</v>
      </c>
      <c r="V55" s="576">
        <f>SUM(V43:V54)</f>
        <v>0.99118942731277537</v>
      </c>
      <c r="W55" s="577">
        <f>U55/T55</f>
        <v>1.76</v>
      </c>
      <c r="AB55" s="67"/>
    </row>
    <row r="56" spans="1:28" ht="18.75" customHeight="1" thickTop="1" thickBot="1" x14ac:dyDescent="0.25">
      <c r="C56" s="238"/>
      <c r="D56" s="248"/>
      <c r="E56" s="43" t="s">
        <v>0</v>
      </c>
      <c r="F56" s="258"/>
      <c r="G56" s="737"/>
      <c r="H56" s="737"/>
      <c r="I56" s="737"/>
      <c r="J56" s="259"/>
      <c r="K56" s="260"/>
      <c r="L56" s="239"/>
      <c r="Q56" s="569" t="s">
        <v>0</v>
      </c>
      <c r="R56" s="570">
        <f>G57</f>
        <v>4</v>
      </c>
      <c r="S56" s="570">
        <v>0</v>
      </c>
      <c r="T56" s="571">
        <f t="shared" si="9"/>
        <v>4</v>
      </c>
      <c r="U56" s="572">
        <f>F204</f>
        <v>7.04</v>
      </c>
      <c r="V56" s="573">
        <f>K204</f>
        <v>8.8105726872246704E-3</v>
      </c>
      <c r="W56" s="574">
        <f>U56/T56</f>
        <v>1.76</v>
      </c>
      <c r="AB56" s="67"/>
    </row>
    <row r="57" spans="1:28" ht="19.5" customHeight="1" thickTop="1" thickBot="1" x14ac:dyDescent="0.25">
      <c r="C57" s="238"/>
      <c r="D57" s="486">
        <f>D54+1</f>
        <v>13</v>
      </c>
      <c r="E57" s="373" t="s">
        <v>252</v>
      </c>
      <c r="F57" s="368">
        <v>600000</v>
      </c>
      <c r="G57" s="856">
        <v>4</v>
      </c>
      <c r="H57" s="734"/>
      <c r="I57" s="735"/>
      <c r="J57" s="389">
        <f>F57/F$59</f>
        <v>3.6864094372081593E-3</v>
      </c>
      <c r="K57" s="390">
        <f>G57/G$59</f>
        <v>9.1954022988505746E-3</v>
      </c>
      <c r="L57" s="257"/>
      <c r="M57" s="133"/>
      <c r="N57" s="133"/>
      <c r="O57" s="133"/>
      <c r="P57" s="133"/>
      <c r="Q57" s="565" t="s">
        <v>3</v>
      </c>
      <c r="R57" s="566">
        <f>R56+R55</f>
        <v>435</v>
      </c>
      <c r="S57" s="566">
        <f t="shared" ref="S57:T57" si="13">S56+S55</f>
        <v>19</v>
      </c>
      <c r="T57" s="566">
        <f t="shared" si="13"/>
        <v>454</v>
      </c>
      <c r="U57" s="566">
        <f>U56+U55</f>
        <v>799.04</v>
      </c>
      <c r="V57" s="567">
        <f>V56+V55</f>
        <v>1</v>
      </c>
      <c r="W57" s="568">
        <f>U57/T57</f>
        <v>1.76</v>
      </c>
      <c r="AB57" s="387"/>
    </row>
    <row r="58" spans="1:28" ht="18" customHeight="1" thickTop="1" thickBot="1" x14ac:dyDescent="0.25">
      <c r="C58" s="238"/>
      <c r="D58" s="248"/>
      <c r="E58" s="374" t="s">
        <v>32</v>
      </c>
      <c r="F58" s="505">
        <v>60000</v>
      </c>
      <c r="G58" s="714">
        <v>0</v>
      </c>
      <c r="H58" s="715"/>
      <c r="I58" s="716"/>
      <c r="J58" s="391">
        <f>F58/F$59</f>
        <v>3.6864094372081595E-4</v>
      </c>
      <c r="K58" s="392">
        <f>G58/G$59</f>
        <v>0</v>
      </c>
      <c r="L58" s="257"/>
      <c r="M58" s="133"/>
      <c r="N58" s="133"/>
      <c r="O58" s="133"/>
      <c r="P58" s="133"/>
      <c r="S58" s="502" t="s">
        <v>262</v>
      </c>
      <c r="X58" s="133"/>
      <c r="Y58" s="133"/>
      <c r="Z58" s="133"/>
      <c r="AB58" s="387"/>
    </row>
    <row r="59" spans="1:28" ht="24.75" customHeight="1" thickTop="1" thickBot="1" x14ac:dyDescent="0.25">
      <c r="C59" s="238"/>
      <c r="D59" s="248"/>
      <c r="E59" s="27" t="s">
        <v>3</v>
      </c>
      <c r="F59" s="28">
        <f>F58+F57+F55</f>
        <v>162760000</v>
      </c>
      <c r="G59" s="717">
        <f>G55+SUM(G57:G58)</f>
        <v>435</v>
      </c>
      <c r="H59" s="718"/>
      <c r="I59" s="719"/>
      <c r="J59" s="29">
        <f>SUM(J55:J58)</f>
        <v>0.99999999999999967</v>
      </c>
      <c r="K59" s="30">
        <f>K57+K55</f>
        <v>1</v>
      </c>
      <c r="L59" s="239"/>
      <c r="T59" s="736" t="s">
        <v>158</v>
      </c>
      <c r="U59" s="696"/>
      <c r="Y59" s="91"/>
      <c r="Z59" s="92"/>
      <c r="AB59" s="67"/>
    </row>
    <row r="60" spans="1:28" ht="18.75" customHeight="1" thickTop="1" x14ac:dyDescent="0.2">
      <c r="C60" s="238"/>
      <c r="D60" s="248"/>
      <c r="E60" s="603" t="s">
        <v>164</v>
      </c>
      <c r="F60" s="602"/>
      <c r="G60" s="604"/>
      <c r="H60" s="605"/>
      <c r="I60" s="605"/>
      <c r="J60" s="601"/>
      <c r="K60" s="261"/>
      <c r="L60" s="239"/>
      <c r="T60" s="696"/>
      <c r="U60" s="696"/>
      <c r="AB60" s="67"/>
    </row>
    <row r="61" spans="1:28" ht="17.25" customHeight="1" thickBot="1" x14ac:dyDescent="0.25">
      <c r="C61" s="249"/>
      <c r="D61" s="250"/>
      <c r="E61" s="606"/>
      <c r="F61" s="608"/>
      <c r="G61" s="608" t="s">
        <v>165</v>
      </c>
      <c r="H61" s="609">
        <f>H28</f>
        <v>0.02</v>
      </c>
      <c r="I61" s="607"/>
      <c r="J61" s="284"/>
      <c r="K61" s="284"/>
      <c r="L61" s="251"/>
      <c r="M61" s="4"/>
      <c r="N61" s="4"/>
      <c r="O61" s="4"/>
      <c r="P61" s="4"/>
      <c r="Q61" s="503"/>
      <c r="R61" s="504"/>
      <c r="T61" s="696"/>
      <c r="U61" s="696"/>
      <c r="AB61" s="67"/>
    </row>
    <row r="62" spans="1:28" ht="16.5" customHeight="1" thickTop="1" x14ac:dyDescent="0.25">
      <c r="C62" s="55"/>
      <c r="D62" s="37"/>
      <c r="E62" s="35"/>
      <c r="F62" s="64"/>
      <c r="G62" s="599" t="s">
        <v>139</v>
      </c>
      <c r="H62" s="611" t="e">
        <f>#REF!</f>
        <v>#REF!</v>
      </c>
      <c r="I62" s="600" t="s">
        <v>138</v>
      </c>
      <c r="J62" s="516"/>
      <c r="K62" s="516"/>
      <c r="L62" s="516"/>
      <c r="M62" s="516"/>
      <c r="N62" s="516"/>
      <c r="O62" s="498"/>
      <c r="P62" s="498"/>
    </row>
    <row r="63" spans="1:28" ht="16.5" customHeight="1" x14ac:dyDescent="0.2">
      <c r="C63" s="5"/>
      <c r="D63" s="4"/>
      <c r="I63" s="516"/>
      <c r="J63" s="516"/>
      <c r="K63" s="516"/>
      <c r="L63" s="516"/>
      <c r="M63" s="516"/>
      <c r="N63" s="516"/>
      <c r="O63" s="498"/>
      <c r="P63" s="498"/>
      <c r="Q63" s="447"/>
      <c r="R63" s="448"/>
      <c r="S63" s="439"/>
    </row>
    <row r="64" spans="1:28" ht="20.25" customHeight="1" x14ac:dyDescent="0.35">
      <c r="C64" s="5"/>
      <c r="D64" s="616" t="s">
        <v>96</v>
      </c>
      <c r="J64" s="393"/>
      <c r="K64" s="4"/>
      <c r="L64" s="4"/>
      <c r="M64" s="4"/>
      <c r="N64" s="4"/>
      <c r="O64" s="4"/>
      <c r="P64" s="4"/>
      <c r="Q64" s="839" t="str">
        <f>IF(G54&gt;0,"ALL PARTIES THAT ELECT A CANDIDATE MUST BE LISTED SEPARATELY."," ")</f>
        <v xml:space="preserve"> </v>
      </c>
      <c r="R64" s="839"/>
      <c r="U64" s="42"/>
      <c r="V64" s="31"/>
    </row>
    <row r="65" spans="3:33" ht="16.5" customHeight="1" thickBot="1" x14ac:dyDescent="0.25">
      <c r="C65" s="5"/>
      <c r="D65" s="4"/>
      <c r="J65" s="393"/>
      <c r="K65" s="4"/>
      <c r="L65" s="4"/>
      <c r="M65" s="4"/>
      <c r="N65" s="4"/>
      <c r="O65" s="4"/>
      <c r="P65" s="4"/>
      <c r="Q65" s="839"/>
      <c r="R65" s="839"/>
      <c r="V65" s="31"/>
    </row>
    <row r="66" spans="3:33" ht="5.25" customHeight="1" thickTop="1" x14ac:dyDescent="0.2">
      <c r="C66" s="234"/>
      <c r="D66" s="266"/>
      <c r="E66" s="255"/>
      <c r="F66" s="255"/>
      <c r="G66" s="255"/>
      <c r="H66" s="255"/>
      <c r="I66" s="255"/>
      <c r="J66" s="267"/>
      <c r="K66" s="266"/>
      <c r="L66" s="268"/>
      <c r="Q66" s="696"/>
      <c r="R66" s="696"/>
    </row>
    <row r="67" spans="3:33" ht="42.75" customHeight="1" x14ac:dyDescent="0.2">
      <c r="C67" s="238"/>
      <c r="D67" s="721" t="s">
        <v>275</v>
      </c>
      <c r="E67" s="695"/>
      <c r="F67" s="695"/>
      <c r="G67" s="695"/>
      <c r="H67" s="695"/>
      <c r="I67" s="695"/>
      <c r="J67" s="695"/>
      <c r="K67" s="695"/>
      <c r="L67" s="747"/>
      <c r="Q67" s="380"/>
    </row>
    <row r="68" spans="3:33" ht="7.5" customHeight="1" thickBot="1" x14ac:dyDescent="0.25">
      <c r="C68" s="249"/>
      <c r="D68" s="250"/>
      <c r="E68" s="250"/>
      <c r="F68" s="250"/>
      <c r="G68" s="250"/>
      <c r="H68" s="250"/>
      <c r="I68" s="250"/>
      <c r="J68" s="250"/>
      <c r="K68" s="250"/>
      <c r="L68" s="251"/>
      <c r="Q68" s="4"/>
      <c r="R68" s="4"/>
    </row>
    <row r="69" spans="3:33" ht="15" customHeight="1" thickTop="1" thickBot="1" x14ac:dyDescent="0.25">
      <c r="C69" s="56"/>
      <c r="D69" s="57"/>
      <c r="E69" s="57"/>
      <c r="F69" s="57"/>
      <c r="G69" s="57"/>
      <c r="H69" s="57"/>
      <c r="I69" s="57"/>
      <c r="J69" s="57"/>
      <c r="K69" s="57"/>
      <c r="L69" s="57"/>
      <c r="M69" s="4"/>
      <c r="N69" s="4"/>
      <c r="O69" s="4"/>
      <c r="P69" s="4"/>
    </row>
    <row r="70" spans="3:33" ht="11.25" customHeight="1" thickTop="1" x14ac:dyDescent="0.2">
      <c r="C70" s="234"/>
      <c r="D70" s="266"/>
      <c r="E70" s="266"/>
      <c r="F70" s="266"/>
      <c r="G70" s="266"/>
      <c r="H70" s="266"/>
      <c r="I70" s="266"/>
      <c r="J70" s="266"/>
      <c r="K70" s="266"/>
      <c r="L70" s="268"/>
      <c r="M70" s="38"/>
    </row>
    <row r="71" spans="3:33" ht="21" customHeight="1" x14ac:dyDescent="0.2">
      <c r="C71" s="238"/>
      <c r="D71" s="269" t="s">
        <v>17</v>
      </c>
      <c r="E71" s="248"/>
      <c r="F71" s="248"/>
      <c r="G71" s="248"/>
      <c r="H71" s="248"/>
      <c r="I71" s="248"/>
      <c r="J71" s="248"/>
      <c r="K71" s="248"/>
      <c r="L71" s="270"/>
      <c r="M71" s="38"/>
      <c r="Z71" s="63" t="s">
        <v>2</v>
      </c>
      <c r="AF71" s="100"/>
      <c r="AG71" s="100"/>
    </row>
    <row r="72" spans="3:33" ht="17.25" customHeight="1" x14ac:dyDescent="0.2">
      <c r="C72" s="238"/>
      <c r="D72" s="231"/>
      <c r="E72" s="248"/>
      <c r="F72" s="248"/>
      <c r="G72" s="513" t="s">
        <v>84</v>
      </c>
      <c r="H72" s="412">
        <f>H28</f>
        <v>0.02</v>
      </c>
      <c r="I72" s="244" t="s">
        <v>141</v>
      </c>
      <c r="J72" s="248"/>
      <c r="K72" s="248"/>
      <c r="L72" s="270"/>
      <c r="M72" s="38"/>
      <c r="AA72" s="100" t="s">
        <v>35</v>
      </c>
      <c r="AB72" s="100"/>
      <c r="AC72" s="100"/>
      <c r="AD72" s="100"/>
      <c r="AE72" s="100"/>
      <c r="AF72" s="100"/>
      <c r="AG72" s="100"/>
    </row>
    <row r="73" spans="3:33" ht="15.75" customHeight="1" x14ac:dyDescent="0.2">
      <c r="C73" s="238"/>
      <c r="D73" s="410" t="s">
        <v>142</v>
      </c>
      <c r="E73" s="271"/>
      <c r="F73" s="271"/>
      <c r="G73" s="243"/>
      <c r="H73" s="243"/>
      <c r="I73" s="231"/>
      <c r="J73" s="231"/>
      <c r="K73" s="231"/>
      <c r="L73" s="239"/>
      <c r="M73" s="36"/>
      <c r="Y73" s="100"/>
      <c r="AA73" s="100" t="s">
        <v>93</v>
      </c>
      <c r="AB73" s="100"/>
      <c r="AC73" s="100"/>
      <c r="AD73" s="100"/>
      <c r="AE73" s="408">
        <f>H28</f>
        <v>0.02</v>
      </c>
      <c r="AF73" s="100"/>
      <c r="AG73" s="102" t="e">
        <f>#REF!</f>
        <v>#REF!</v>
      </c>
    </row>
    <row r="74" spans="3:33" ht="18" customHeight="1" thickBot="1" x14ac:dyDescent="0.25">
      <c r="C74" s="238"/>
      <c r="D74" s="491" t="s">
        <v>277</v>
      </c>
      <c r="E74" s="231"/>
      <c r="F74" s="231"/>
      <c r="G74" s="231"/>
      <c r="H74" s="231"/>
      <c r="I74" s="231"/>
      <c r="J74" s="231"/>
      <c r="K74" s="231"/>
      <c r="L74" s="239"/>
      <c r="M74" s="36"/>
      <c r="Y74" s="100"/>
      <c r="Z74" s="103"/>
      <c r="AA74" s="101"/>
      <c r="AB74" s="103"/>
      <c r="AC74" s="791" t="s">
        <v>94</v>
      </c>
      <c r="AD74" s="100"/>
      <c r="AE74" s="100"/>
      <c r="AF74" s="100"/>
      <c r="AG74" s="100"/>
    </row>
    <row r="75" spans="3:33" ht="49.5" customHeight="1" thickTop="1" thickBot="1" x14ac:dyDescent="0.25">
      <c r="C75" s="238"/>
      <c r="D75" s="248"/>
      <c r="E75" s="274"/>
      <c r="F75" s="44" t="s">
        <v>72</v>
      </c>
      <c r="G75" s="740" t="s">
        <v>33</v>
      </c>
      <c r="H75" s="741"/>
      <c r="I75" s="742"/>
      <c r="J75" s="275" t="s">
        <v>100</v>
      </c>
      <c r="K75" s="248"/>
      <c r="L75" s="270"/>
      <c r="M75" s="38"/>
      <c r="Y75" s="104"/>
      <c r="Z75" s="100"/>
      <c r="AA75" s="100"/>
      <c r="AB75" s="105" t="s">
        <v>34</v>
      </c>
      <c r="AC75" s="791"/>
      <c r="AD75" s="105" t="s">
        <v>43</v>
      </c>
      <c r="AE75" s="105" t="s">
        <v>36</v>
      </c>
      <c r="AF75" s="106" t="s">
        <v>95</v>
      </c>
      <c r="AG75" s="105" t="s">
        <v>37</v>
      </c>
    </row>
    <row r="76" spans="3:33" ht="15.75" thickTop="1" x14ac:dyDescent="0.2">
      <c r="C76" s="238"/>
      <c r="D76" s="253">
        <v>1</v>
      </c>
      <c r="E76" s="135" t="str">
        <f t="shared" ref="E76:E87" si="14">E43</f>
        <v>Lincoln Republicans</v>
      </c>
      <c r="F76" s="136">
        <f t="shared" ref="F76:F84" si="15">IF(AG76&gt;0,AG76,"Excluded")</f>
        <v>25000000</v>
      </c>
      <c r="G76" s="783">
        <f t="shared" ref="G76:G87" si="16">IF(F76="Excluded","Excluded",F76/F$88)</f>
        <v>0.15782828282828282</v>
      </c>
      <c r="H76" s="783"/>
      <c r="I76" s="784"/>
      <c r="J76" s="276">
        <f t="shared" ref="J76:J87" si="17">G43</f>
        <v>125</v>
      </c>
      <c r="K76" s="277"/>
      <c r="L76" s="270"/>
      <c r="M76" s="38"/>
      <c r="P76" s="924" t="s">
        <v>276</v>
      </c>
      <c r="Q76" s="848"/>
      <c r="Y76" s="107">
        <f t="shared" ref="Y76:Y87" si="18">IF(G76="Excluded",0,G76)</f>
        <v>0.15782828282828282</v>
      </c>
      <c r="Z76" s="100"/>
      <c r="AA76" s="100" t="str">
        <f t="shared" ref="AA76:AA87" si="19">E76</f>
        <v>Lincoln Republicans</v>
      </c>
      <c r="AB76" s="108">
        <f>IF(J43&lt;$H$28,0,1)</f>
        <v>1</v>
      </c>
      <c r="AC76" s="103">
        <f t="shared" ref="AC76:AC87" si="20">IF(G43&gt;0,1,0)</f>
        <v>1</v>
      </c>
      <c r="AD76" s="103">
        <f t="shared" ref="AD76:AD87" si="21">IF(AC76+AB76=0,0,AC76+AB76)</f>
        <v>2</v>
      </c>
      <c r="AE76" s="100">
        <f t="shared" ref="AE76:AE87" si="22">IF(AD76&gt;0,F43,0)</f>
        <v>25000000</v>
      </c>
      <c r="AF76" s="109" t="e">
        <f>IF(#REF!=0,0,1)</f>
        <v>#REF!</v>
      </c>
      <c r="AG76" s="110">
        <f t="shared" ref="AG76:AG87" si="23">IF(AE76=0,"Excluded",AE76)</f>
        <v>25000000</v>
      </c>
    </row>
    <row r="77" spans="3:33" ht="15" x14ac:dyDescent="0.2">
      <c r="C77" s="238"/>
      <c r="D77" s="253">
        <f>1+D76</f>
        <v>2</v>
      </c>
      <c r="E77" s="137" t="str">
        <f t="shared" si="14"/>
        <v>Democratic Party</v>
      </c>
      <c r="F77" s="138">
        <f t="shared" si="15"/>
        <v>40000000</v>
      </c>
      <c r="G77" s="743">
        <f t="shared" si="16"/>
        <v>0.25252525252525254</v>
      </c>
      <c r="H77" s="743"/>
      <c r="I77" s="744"/>
      <c r="J77" s="276">
        <f t="shared" si="17"/>
        <v>135</v>
      </c>
      <c r="K77" s="277"/>
      <c r="L77" s="270"/>
      <c r="M77" s="38"/>
      <c r="P77" s="848"/>
      <c r="Q77" s="848"/>
      <c r="Y77" s="107">
        <f t="shared" si="18"/>
        <v>0.25252525252525254</v>
      </c>
      <c r="Z77" s="100"/>
      <c r="AA77" s="100" t="str">
        <f t="shared" si="19"/>
        <v>Democratic Party</v>
      </c>
      <c r="AB77" s="108">
        <f>IF(J44*1&lt;$H$28,0,1)</f>
        <v>1</v>
      </c>
      <c r="AC77" s="103">
        <f t="shared" si="20"/>
        <v>1</v>
      </c>
      <c r="AD77" s="103">
        <f t="shared" si="21"/>
        <v>2</v>
      </c>
      <c r="AE77" s="100">
        <f t="shared" si="22"/>
        <v>40000000</v>
      </c>
      <c r="AF77" s="109" t="e">
        <f>IF(#REF!=0,0,1)</f>
        <v>#REF!</v>
      </c>
      <c r="AG77" s="110">
        <f t="shared" si="23"/>
        <v>40000000</v>
      </c>
    </row>
    <row r="78" spans="3:33" ht="15" x14ac:dyDescent="0.2">
      <c r="C78" s="238"/>
      <c r="D78" s="254">
        <f t="shared" ref="D78:D87" si="24">1+D77</f>
        <v>3</v>
      </c>
      <c r="E78" s="137" t="str">
        <f t="shared" si="14"/>
        <v>America First Party</v>
      </c>
      <c r="F78" s="138">
        <f t="shared" si="15"/>
        <v>30000000</v>
      </c>
      <c r="G78" s="743">
        <f t="shared" si="16"/>
        <v>0.18939393939393939</v>
      </c>
      <c r="H78" s="743"/>
      <c r="I78" s="744"/>
      <c r="J78" s="276">
        <f t="shared" si="17"/>
        <v>90</v>
      </c>
      <c r="K78" s="277"/>
      <c r="L78" s="270"/>
      <c r="M78" s="38"/>
      <c r="P78" s="848"/>
      <c r="Q78" s="848"/>
      <c r="Y78" s="107">
        <f t="shared" si="18"/>
        <v>0.18939393939393939</v>
      </c>
      <c r="Z78" s="100"/>
      <c r="AA78" s="100" t="str">
        <f t="shared" si="19"/>
        <v>America First Party</v>
      </c>
      <c r="AB78" s="108">
        <f>IF(J45*1&lt;$H$28,0,1)</f>
        <v>1</v>
      </c>
      <c r="AC78" s="103">
        <f t="shared" si="20"/>
        <v>1</v>
      </c>
      <c r="AD78" s="103">
        <f t="shared" si="21"/>
        <v>2</v>
      </c>
      <c r="AE78" s="100">
        <f t="shared" si="22"/>
        <v>30000000</v>
      </c>
      <c r="AF78" s="109" t="e">
        <f>IF(#REF!=0,0,1)</f>
        <v>#REF!</v>
      </c>
      <c r="AG78" s="110">
        <f t="shared" si="23"/>
        <v>30000000</v>
      </c>
    </row>
    <row r="79" spans="3:33" ht="15" x14ac:dyDescent="0.2">
      <c r="C79" s="238"/>
      <c r="D79" s="254">
        <f t="shared" si="24"/>
        <v>4</v>
      </c>
      <c r="E79" s="137" t="str">
        <f t="shared" si="14"/>
        <v>Progressive Democratic Party</v>
      </c>
      <c r="F79" s="138">
        <f t="shared" si="15"/>
        <v>25000000</v>
      </c>
      <c r="G79" s="743">
        <f t="shared" si="16"/>
        <v>0.15782828282828282</v>
      </c>
      <c r="H79" s="743"/>
      <c r="I79" s="744"/>
      <c r="J79" s="276">
        <f t="shared" si="17"/>
        <v>65</v>
      </c>
      <c r="K79" s="277"/>
      <c r="L79" s="270"/>
      <c r="M79" s="38"/>
      <c r="P79" s="848"/>
      <c r="Q79" s="848"/>
      <c r="Y79" s="107">
        <f t="shared" si="18"/>
        <v>0.15782828282828282</v>
      </c>
      <c r="Z79" s="100"/>
      <c r="AA79" s="100" t="str">
        <f t="shared" si="19"/>
        <v>Progressive Democratic Party</v>
      </c>
      <c r="AB79" s="108">
        <f>IF(J46*1&lt;$H$28,0,1)</f>
        <v>1</v>
      </c>
      <c r="AC79" s="103">
        <f t="shared" si="20"/>
        <v>1</v>
      </c>
      <c r="AD79" s="103">
        <f t="shared" si="21"/>
        <v>2</v>
      </c>
      <c r="AE79" s="100">
        <f t="shared" si="22"/>
        <v>25000000</v>
      </c>
      <c r="AF79" s="109" t="e">
        <f>IF(#REF!=0,0,1)</f>
        <v>#REF!</v>
      </c>
      <c r="AG79" s="110">
        <f t="shared" si="23"/>
        <v>25000000</v>
      </c>
    </row>
    <row r="80" spans="3:33" ht="15.75" customHeight="1" x14ac:dyDescent="0.2">
      <c r="C80" s="238"/>
      <c r="D80" s="254">
        <f t="shared" si="24"/>
        <v>5</v>
      </c>
      <c r="E80" s="137" t="str">
        <f t="shared" si="14"/>
        <v>Green Party</v>
      </c>
      <c r="F80" s="138">
        <f t="shared" si="15"/>
        <v>15000000</v>
      </c>
      <c r="G80" s="743">
        <f t="shared" si="16"/>
        <v>9.4696969696969696E-2</v>
      </c>
      <c r="H80" s="743"/>
      <c r="I80" s="744"/>
      <c r="J80" s="276">
        <f t="shared" si="17"/>
        <v>8</v>
      </c>
      <c r="K80" s="277"/>
      <c r="L80" s="270"/>
      <c r="M80" s="38"/>
      <c r="P80" s="848"/>
      <c r="Q80" s="848"/>
      <c r="Y80" s="107">
        <f t="shared" si="18"/>
        <v>9.4696969696969696E-2</v>
      </c>
      <c r="Z80" s="100"/>
      <c r="AA80" s="100" t="str">
        <f t="shared" si="19"/>
        <v>Green Party</v>
      </c>
      <c r="AB80" s="108">
        <f>IF(J47*1&lt;$H$28,0,1)</f>
        <v>1</v>
      </c>
      <c r="AC80" s="103">
        <f t="shared" si="20"/>
        <v>1</v>
      </c>
      <c r="AD80" s="103">
        <f t="shared" si="21"/>
        <v>2</v>
      </c>
      <c r="AE80" s="100">
        <f t="shared" si="22"/>
        <v>15000000</v>
      </c>
      <c r="AF80" s="109" t="e">
        <f>IF(#REF!=0,0,1)</f>
        <v>#REF!</v>
      </c>
      <c r="AG80" s="110">
        <f t="shared" si="23"/>
        <v>15000000</v>
      </c>
    </row>
    <row r="81" spans="3:33" ht="15" x14ac:dyDescent="0.2">
      <c r="C81" s="238"/>
      <c r="D81" s="254">
        <f t="shared" si="24"/>
        <v>6</v>
      </c>
      <c r="E81" s="137" t="str">
        <f t="shared" si="14"/>
        <v>Libertarian Party</v>
      </c>
      <c r="F81" s="138">
        <f t="shared" si="15"/>
        <v>20000000</v>
      </c>
      <c r="G81" s="743">
        <f t="shared" si="16"/>
        <v>0.12626262626262627</v>
      </c>
      <c r="H81" s="743"/>
      <c r="I81" s="744"/>
      <c r="J81" s="276">
        <f t="shared" si="17"/>
        <v>5</v>
      </c>
      <c r="K81" s="277"/>
      <c r="L81" s="270"/>
      <c r="M81" s="38"/>
      <c r="P81" s="848"/>
      <c r="Q81" s="848"/>
      <c r="Y81" s="107">
        <f t="shared" si="18"/>
        <v>0.12626262626262627</v>
      </c>
      <c r="Z81" s="100"/>
      <c r="AA81" s="100" t="str">
        <f t="shared" si="19"/>
        <v>Libertarian Party</v>
      </c>
      <c r="AB81" s="108">
        <f>IF(J48*1&lt;$H$28,0,1)</f>
        <v>1</v>
      </c>
      <c r="AC81" s="103">
        <f t="shared" si="20"/>
        <v>1</v>
      </c>
      <c r="AD81" s="103">
        <f t="shared" si="21"/>
        <v>2</v>
      </c>
      <c r="AE81" s="100">
        <f t="shared" si="22"/>
        <v>20000000</v>
      </c>
      <c r="AF81" s="109" t="e">
        <f>IF(#REF!=0,0,1)</f>
        <v>#REF!</v>
      </c>
      <c r="AG81" s="110">
        <f t="shared" si="23"/>
        <v>20000000</v>
      </c>
    </row>
    <row r="82" spans="3:33" ht="15" x14ac:dyDescent="0.2">
      <c r="C82" s="238"/>
      <c r="D82" s="254">
        <f t="shared" si="24"/>
        <v>7</v>
      </c>
      <c r="E82" s="137" t="str">
        <f t="shared" si="14"/>
        <v>New West Party</v>
      </c>
      <c r="F82" s="138">
        <f t="shared" si="15"/>
        <v>400000</v>
      </c>
      <c r="G82" s="743">
        <f t="shared" si="16"/>
        <v>2.5252525252525255E-3</v>
      </c>
      <c r="H82" s="743"/>
      <c r="I82" s="744"/>
      <c r="J82" s="276">
        <f t="shared" si="17"/>
        <v>1</v>
      </c>
      <c r="K82" s="277"/>
      <c r="L82" s="270"/>
      <c r="M82" s="38"/>
      <c r="P82" s="848"/>
      <c r="Q82" s="848"/>
      <c r="Y82" s="107">
        <f t="shared" si="18"/>
        <v>2.5252525252525255E-3</v>
      </c>
      <c r="Z82" s="100"/>
      <c r="AA82" s="100" t="str">
        <f t="shared" si="19"/>
        <v>New West Party</v>
      </c>
      <c r="AB82" s="108">
        <f>IF(J49*1&lt;$H$28,0,1)</f>
        <v>0</v>
      </c>
      <c r="AC82" s="103">
        <f t="shared" si="20"/>
        <v>1</v>
      </c>
      <c r="AD82" s="103">
        <f t="shared" si="21"/>
        <v>1</v>
      </c>
      <c r="AE82" s="100">
        <f t="shared" si="22"/>
        <v>400000</v>
      </c>
      <c r="AF82" s="109" t="e">
        <f>IF(#REF!=0,0,1)</f>
        <v>#REF!</v>
      </c>
      <c r="AG82" s="110">
        <f t="shared" si="23"/>
        <v>400000</v>
      </c>
    </row>
    <row r="83" spans="3:33" ht="15" x14ac:dyDescent="0.2">
      <c r="C83" s="238"/>
      <c r="D83" s="254">
        <f t="shared" si="24"/>
        <v>8</v>
      </c>
      <c r="E83" s="137" t="str">
        <f t="shared" si="14"/>
        <v>First Americans Party</v>
      </c>
      <c r="F83" s="138">
        <f t="shared" si="15"/>
        <v>3000000</v>
      </c>
      <c r="G83" s="743">
        <f t="shared" si="16"/>
        <v>1.893939393939394E-2</v>
      </c>
      <c r="H83" s="743"/>
      <c r="I83" s="744"/>
      <c r="J83" s="276">
        <f t="shared" si="17"/>
        <v>2</v>
      </c>
      <c r="K83" s="277"/>
      <c r="L83" s="270"/>
      <c r="M83" s="38"/>
      <c r="P83" s="848"/>
      <c r="Q83" s="848"/>
      <c r="Y83" s="107">
        <f t="shared" si="18"/>
        <v>1.893939393939394E-2</v>
      </c>
      <c r="Z83" s="100"/>
      <c r="AA83" s="100" t="str">
        <f t="shared" si="19"/>
        <v>First Americans Party</v>
      </c>
      <c r="AB83" s="108">
        <f>IF(J50*1&lt;$H$28,0,1)</f>
        <v>0</v>
      </c>
      <c r="AC83" s="103">
        <f t="shared" si="20"/>
        <v>1</v>
      </c>
      <c r="AD83" s="103">
        <f t="shared" si="21"/>
        <v>1</v>
      </c>
      <c r="AE83" s="100">
        <f t="shared" si="22"/>
        <v>3000000</v>
      </c>
      <c r="AF83" s="109" t="e">
        <f>IF(#REF!=0,0,1)</f>
        <v>#REF!</v>
      </c>
      <c r="AG83" s="110">
        <f t="shared" si="23"/>
        <v>3000000</v>
      </c>
    </row>
    <row r="84" spans="3:33" ht="15" x14ac:dyDescent="0.2">
      <c r="C84" s="238"/>
      <c r="D84" s="254">
        <f t="shared" si="24"/>
        <v>9</v>
      </c>
      <c r="E84" s="137" t="str">
        <f t="shared" si="14"/>
        <v>New Morality Party</v>
      </c>
      <c r="F84" s="138" t="str">
        <f t="shared" si="15"/>
        <v>Excluded</v>
      </c>
      <c r="G84" s="743" t="str">
        <f t="shared" si="16"/>
        <v>Excluded</v>
      </c>
      <c r="H84" s="743"/>
      <c r="I84" s="744"/>
      <c r="J84" s="276">
        <f t="shared" si="17"/>
        <v>0</v>
      </c>
      <c r="K84" s="277"/>
      <c r="L84" s="270"/>
      <c r="M84" s="38"/>
      <c r="P84" s="848"/>
      <c r="Q84" s="848"/>
      <c r="Y84" s="107">
        <f t="shared" si="18"/>
        <v>0</v>
      </c>
      <c r="Z84" s="100"/>
      <c r="AA84" s="100" t="str">
        <f t="shared" si="19"/>
        <v>New Morality Party</v>
      </c>
      <c r="AB84" s="108">
        <f>IF(J51*1&lt;$H$28,0,1)</f>
        <v>0</v>
      </c>
      <c r="AC84" s="103">
        <f t="shared" si="20"/>
        <v>0</v>
      </c>
      <c r="AD84" s="103">
        <f t="shared" si="21"/>
        <v>0</v>
      </c>
      <c r="AE84" s="100">
        <f t="shared" si="22"/>
        <v>0</v>
      </c>
      <c r="AF84" s="109" t="e">
        <f>IF(#REF!=0,0,1)</f>
        <v>#REF!</v>
      </c>
      <c r="AG84" s="110" t="str">
        <f t="shared" si="23"/>
        <v>Excluded</v>
      </c>
    </row>
    <row r="85" spans="3:33" ht="15" x14ac:dyDescent="0.2">
      <c r="C85" s="238"/>
      <c r="D85" s="254">
        <f t="shared" si="24"/>
        <v>10</v>
      </c>
      <c r="E85" s="137" t="str">
        <f t="shared" si="14"/>
        <v>Communist Party of America</v>
      </c>
      <c r="F85" s="138" t="str">
        <f>IF(AG85&gt;0,AG85,"Excluded")</f>
        <v>Excluded</v>
      </c>
      <c r="G85" s="743" t="str">
        <f t="shared" ref="G85:G86" si="25">IF(F85="Excluded","Excluded",F85/F$88)</f>
        <v>Excluded</v>
      </c>
      <c r="H85" s="743"/>
      <c r="I85" s="744"/>
      <c r="J85" s="276">
        <f t="shared" si="17"/>
        <v>0</v>
      </c>
      <c r="K85" s="277"/>
      <c r="L85" s="270"/>
      <c r="M85" s="38"/>
      <c r="P85" s="848"/>
      <c r="Q85" s="848"/>
      <c r="Y85" s="107">
        <f t="shared" si="18"/>
        <v>0</v>
      </c>
      <c r="Z85" s="100"/>
      <c r="AA85" s="100" t="str">
        <f t="shared" si="19"/>
        <v>Communist Party of America</v>
      </c>
      <c r="AB85" s="108">
        <f>IF(J52*1&lt;$H$28,0,1)</f>
        <v>0</v>
      </c>
      <c r="AC85" s="103">
        <f t="shared" si="20"/>
        <v>0</v>
      </c>
      <c r="AD85" s="103">
        <f t="shared" si="21"/>
        <v>0</v>
      </c>
      <c r="AE85" s="100">
        <f t="shared" si="22"/>
        <v>0</v>
      </c>
      <c r="AF85" s="109" t="e">
        <f>IF(#REF!=0,0,1)</f>
        <v>#REF!</v>
      </c>
      <c r="AG85" s="110" t="str">
        <f t="shared" si="23"/>
        <v>Excluded</v>
      </c>
    </row>
    <row r="86" spans="3:33" ht="15" x14ac:dyDescent="0.2">
      <c r="C86" s="238"/>
      <c r="D86" s="254">
        <f t="shared" si="24"/>
        <v>11</v>
      </c>
      <c r="E86" s="137" t="str">
        <f t="shared" si="14"/>
        <v>Other Party</v>
      </c>
      <c r="F86" s="138" t="str">
        <f>IF(AG86&gt;0,AG86,"Excluded")</f>
        <v>Excluded</v>
      </c>
      <c r="G86" s="743" t="str">
        <f t="shared" si="25"/>
        <v>Excluded</v>
      </c>
      <c r="H86" s="743"/>
      <c r="I86" s="744"/>
      <c r="J86" s="276">
        <f t="shared" si="17"/>
        <v>0</v>
      </c>
      <c r="K86" s="277"/>
      <c r="L86" s="270"/>
      <c r="M86" s="38"/>
      <c r="Y86" s="107">
        <f t="shared" si="18"/>
        <v>0</v>
      </c>
      <c r="Z86" s="100"/>
      <c r="AA86" s="100" t="str">
        <f t="shared" si="19"/>
        <v>Other Party</v>
      </c>
      <c r="AB86" s="108">
        <f>IF(J53*1&lt;$H$28,0,1)</f>
        <v>0</v>
      </c>
      <c r="AC86" s="103">
        <f t="shared" si="20"/>
        <v>0</v>
      </c>
      <c r="AD86" s="103">
        <f t="shared" si="21"/>
        <v>0</v>
      </c>
      <c r="AE86" s="100">
        <f t="shared" si="22"/>
        <v>0</v>
      </c>
      <c r="AF86" s="109" t="e">
        <f>IF(#REF!=0,0,1)</f>
        <v>#REF!</v>
      </c>
      <c r="AG86" s="110" t="str">
        <f t="shared" si="23"/>
        <v>Excluded</v>
      </c>
    </row>
    <row r="87" spans="3:33" ht="15.75" thickBot="1" x14ac:dyDescent="0.25">
      <c r="C87" s="238"/>
      <c r="D87" s="254">
        <f t="shared" si="24"/>
        <v>12</v>
      </c>
      <c r="E87" s="139" t="str">
        <f t="shared" si="14"/>
        <v>Other (non-winning) parties*</v>
      </c>
      <c r="F87" s="140" t="str">
        <f>IF(AG87&gt;0,AG87,"Excluded")</f>
        <v>Excluded</v>
      </c>
      <c r="G87" s="753" t="str">
        <f t="shared" si="16"/>
        <v>Excluded</v>
      </c>
      <c r="H87" s="753"/>
      <c r="I87" s="754"/>
      <c r="J87" s="276">
        <f t="shared" si="17"/>
        <v>0</v>
      </c>
      <c r="K87" s="277"/>
      <c r="L87" s="270"/>
      <c r="M87" s="38"/>
      <c r="Y87" s="107">
        <f t="shared" si="18"/>
        <v>0</v>
      </c>
      <c r="Z87" s="100"/>
      <c r="AA87" s="100" t="str">
        <f t="shared" si="19"/>
        <v>Other (non-winning) parties*</v>
      </c>
      <c r="AB87" s="108">
        <f>IF(J54*1&lt;$H$28,0,1)</f>
        <v>0</v>
      </c>
      <c r="AC87" s="103">
        <f t="shared" si="20"/>
        <v>0</v>
      </c>
      <c r="AD87" s="103">
        <f t="shared" si="21"/>
        <v>0</v>
      </c>
      <c r="AE87" s="100">
        <f t="shared" si="22"/>
        <v>0</v>
      </c>
      <c r="AF87" s="109" t="e">
        <f>IF(#REF!=0,0,1)</f>
        <v>#REF!</v>
      </c>
      <c r="AG87" s="110" t="str">
        <f t="shared" si="23"/>
        <v>Excluded</v>
      </c>
    </row>
    <row r="88" spans="3:33" ht="18.75" customHeight="1" thickTop="1" thickBot="1" x14ac:dyDescent="0.25">
      <c r="C88" s="238"/>
      <c r="D88" s="248"/>
      <c r="E88" s="14" t="s">
        <v>10</v>
      </c>
      <c r="F88" s="90">
        <f>SUM(F76:F87)</f>
        <v>158400000</v>
      </c>
      <c r="G88" s="874">
        <f>SUM(G76:I87)</f>
        <v>1</v>
      </c>
      <c r="H88" s="874"/>
      <c r="I88" s="874"/>
      <c r="J88" s="276">
        <f>SUM(J76:J87)</f>
        <v>431</v>
      </c>
      <c r="K88" s="248"/>
      <c r="L88" s="270"/>
      <c r="M88" s="38"/>
      <c r="T88" s="4"/>
      <c r="U88" s="4"/>
      <c r="W88" s="104"/>
      <c r="X88" s="100"/>
      <c r="Y88" s="100"/>
      <c r="Z88" s="100"/>
      <c r="AA88" s="100"/>
      <c r="AB88" s="100"/>
      <c r="AC88" s="100"/>
      <c r="AD88" s="100"/>
      <c r="AE88" s="100"/>
      <c r="AF88" s="100"/>
    </row>
    <row r="89" spans="3:33" ht="9.75" customHeight="1" thickTop="1" x14ac:dyDescent="0.2">
      <c r="C89" s="238"/>
      <c r="D89" s="248"/>
      <c r="E89" s="478"/>
      <c r="F89" s="485"/>
      <c r="G89" s="479"/>
      <c r="H89" s="479"/>
      <c r="I89" s="479"/>
      <c r="J89" s="925" t="s">
        <v>278</v>
      </c>
      <c r="K89" s="248"/>
      <c r="L89" s="270"/>
      <c r="M89" s="38"/>
      <c r="T89" s="4"/>
      <c r="U89" s="4"/>
      <c r="W89" s="104"/>
      <c r="X89" s="100"/>
      <c r="Y89" s="100"/>
      <c r="Z89" s="100"/>
      <c r="AA89" s="100"/>
      <c r="AB89" s="100"/>
      <c r="AC89" s="100"/>
      <c r="AD89" s="100"/>
      <c r="AE89" s="100"/>
      <c r="AF89" s="100"/>
    </row>
    <row r="90" spans="3:33" ht="18.75" customHeight="1" x14ac:dyDescent="0.2">
      <c r="C90" s="238"/>
      <c r="D90" s="487"/>
      <c r="E90" s="244"/>
      <c r="F90" s="485"/>
      <c r="G90" s="479"/>
      <c r="H90" s="479"/>
      <c r="I90" s="479"/>
      <c r="J90" s="276"/>
      <c r="K90" s="248"/>
      <c r="L90" s="270"/>
      <c r="M90" s="38"/>
      <c r="T90" s="4"/>
      <c r="U90" s="4"/>
      <c r="W90" s="104"/>
      <c r="X90" s="100"/>
      <c r="Y90" s="100"/>
      <c r="Z90" s="100"/>
      <c r="AA90" s="100"/>
      <c r="AB90" s="100"/>
      <c r="AC90" s="100"/>
      <c r="AD90" s="100"/>
      <c r="AE90" s="100"/>
      <c r="AF90" s="100"/>
    </row>
    <row r="91" spans="3:33" ht="9" customHeight="1" thickBot="1" x14ac:dyDescent="0.25">
      <c r="C91" s="245"/>
      <c r="D91" s="278"/>
      <c r="E91" s="279"/>
      <c r="F91" s="278"/>
      <c r="G91" s="278"/>
      <c r="H91" s="278"/>
      <c r="I91" s="278"/>
      <c r="J91" s="278"/>
      <c r="K91" s="278"/>
      <c r="L91" s="280"/>
      <c r="M91" s="38"/>
      <c r="Q91" s="4"/>
      <c r="R91" s="4"/>
      <c r="S91" s="4"/>
      <c r="T91" s="4"/>
      <c r="U91" s="4"/>
    </row>
    <row r="92" spans="3:33" ht="14.25" customHeight="1" thickBot="1" x14ac:dyDescent="0.25">
      <c r="C92" s="58"/>
      <c r="D92" s="59"/>
      <c r="E92" s="60"/>
      <c r="F92" s="59"/>
      <c r="G92" s="59"/>
      <c r="H92" s="59"/>
      <c r="I92" s="59"/>
      <c r="J92" s="59"/>
      <c r="K92" s="59"/>
      <c r="L92" s="59"/>
      <c r="M92" s="4"/>
      <c r="N92" s="4"/>
      <c r="O92" s="4"/>
      <c r="P92" s="4"/>
      <c r="Q92" s="4"/>
      <c r="R92" s="4"/>
      <c r="S92" s="4"/>
      <c r="T92" s="4"/>
      <c r="U92" s="4"/>
    </row>
    <row r="93" spans="3:33" ht="11.25" customHeight="1" thickTop="1" x14ac:dyDescent="0.2">
      <c r="C93" s="234"/>
      <c r="D93" s="266"/>
      <c r="E93" s="255"/>
      <c r="F93" s="266"/>
      <c r="G93" s="266"/>
      <c r="H93" s="266"/>
      <c r="I93" s="266"/>
      <c r="J93" s="266"/>
      <c r="K93" s="266"/>
      <c r="L93" s="266"/>
      <c r="M93" s="268"/>
      <c r="N93" s="38"/>
      <c r="O93" s="4"/>
      <c r="P93" s="4"/>
      <c r="Q93" s="4"/>
      <c r="R93" s="4"/>
      <c r="S93" s="4"/>
      <c r="T93" s="4"/>
      <c r="U93" s="4"/>
    </row>
    <row r="94" spans="3:33" ht="16.5" customHeight="1" x14ac:dyDescent="0.25">
      <c r="C94" s="238"/>
      <c r="D94" s="463" t="s">
        <v>18</v>
      </c>
      <c r="E94" s="231"/>
      <c r="F94" s="248"/>
      <c r="G94" s="248"/>
      <c r="H94" s="248"/>
      <c r="I94" s="248"/>
      <c r="J94" s="248"/>
      <c r="K94" s="248"/>
      <c r="L94" s="248"/>
      <c r="M94" s="270"/>
      <c r="N94" s="38"/>
      <c r="O94" s="4"/>
      <c r="P94" s="4"/>
      <c r="Q94" s="4"/>
      <c r="R94" s="4"/>
      <c r="S94" s="4"/>
      <c r="T94" s="4"/>
      <c r="U94" s="4"/>
    </row>
    <row r="95" spans="3:33" ht="65.25" customHeight="1" x14ac:dyDescent="0.3">
      <c r="C95" s="238"/>
      <c r="D95" s="721" t="s">
        <v>249</v>
      </c>
      <c r="E95" s="695"/>
      <c r="F95" s="695"/>
      <c r="G95" s="695"/>
      <c r="H95" s="695"/>
      <c r="I95" s="695"/>
      <c r="J95" s="695"/>
      <c r="K95" s="695"/>
      <c r="L95" s="695"/>
      <c r="M95" s="464"/>
      <c r="N95" s="468"/>
      <c r="O95" s="381"/>
      <c r="P95" s="381"/>
      <c r="Q95" s="381"/>
      <c r="R95" s="11"/>
      <c r="S95" s="11"/>
      <c r="T95" s="4"/>
      <c r="U95" s="6"/>
    </row>
    <row r="96" spans="3:33" ht="15.75" x14ac:dyDescent="0.25">
      <c r="C96" s="238"/>
      <c r="D96" s="243"/>
      <c r="E96" s="243"/>
      <c r="F96" s="243"/>
      <c r="G96" s="281" t="s">
        <v>13</v>
      </c>
      <c r="H96" s="282" t="str">
        <f>AD111</f>
        <v>Lincoln Republicans</v>
      </c>
      <c r="I96" s="281"/>
      <c r="J96" s="231"/>
      <c r="K96" s="231"/>
      <c r="L96" s="243"/>
      <c r="M96" s="465"/>
      <c r="N96" s="38"/>
      <c r="O96" s="4"/>
      <c r="P96" s="4"/>
      <c r="Q96" s="4"/>
      <c r="R96" s="4"/>
      <c r="S96" s="4"/>
      <c r="T96" s="4"/>
    </row>
    <row r="97" spans="3:36" ht="17.45" customHeight="1" x14ac:dyDescent="0.25">
      <c r="C97" s="238"/>
      <c r="D97" s="243"/>
      <c r="E97" s="243"/>
      <c r="F97" s="243"/>
      <c r="G97" s="243"/>
      <c r="H97" s="231"/>
      <c r="I97" s="281" t="s">
        <v>83</v>
      </c>
      <c r="J97" s="466">
        <f>AC111</f>
        <v>1.8375870069605569</v>
      </c>
      <c r="K97" s="231"/>
      <c r="L97" s="243"/>
      <c r="M97" s="465"/>
      <c r="N97" s="38"/>
      <c r="O97" s="4"/>
      <c r="P97" s="4"/>
      <c r="Q97" s="4"/>
      <c r="R97" s="4"/>
      <c r="S97" s="4"/>
      <c r="T97" s="4"/>
      <c r="W97" s="10"/>
    </row>
    <row r="98" spans="3:36" ht="15.75" customHeight="1" thickBot="1" x14ac:dyDescent="0.25">
      <c r="C98" s="238"/>
      <c r="D98" s="243"/>
      <c r="E98" s="243"/>
      <c r="F98" s="243"/>
      <c r="G98" s="243"/>
      <c r="H98" s="243"/>
      <c r="I98" s="281"/>
      <c r="J98" s="467"/>
      <c r="K98" s="243"/>
      <c r="L98" s="243"/>
      <c r="M98" s="465"/>
      <c r="N98" s="38"/>
      <c r="O98" s="4"/>
      <c r="P98" s="4"/>
      <c r="Q98" s="4"/>
      <c r="R98" s="4"/>
      <c r="Z98" s="4"/>
      <c r="AB98" s="2" t="s">
        <v>2</v>
      </c>
    </row>
    <row r="99" spans="3:36" ht="45.75" customHeight="1" thickTop="1" thickBot="1" x14ac:dyDescent="0.25">
      <c r="C99" s="238"/>
      <c r="D99" s="248"/>
      <c r="E99" s="231"/>
      <c r="F99" s="46" t="s">
        <v>11</v>
      </c>
      <c r="G99" s="740" t="s">
        <v>101</v>
      </c>
      <c r="H99" s="741"/>
      <c r="I99" s="742"/>
      <c r="J99" s="451" t="s">
        <v>46</v>
      </c>
      <c r="K99" s="44" t="s">
        <v>40</v>
      </c>
      <c r="L99" s="231"/>
      <c r="M99" s="239"/>
      <c r="N99" s="36"/>
      <c r="Y99" s="420" t="s">
        <v>90</v>
      </c>
      <c r="Z99" s="419" t="s">
        <v>88</v>
      </c>
      <c r="AA99" s="419" t="s">
        <v>87</v>
      </c>
      <c r="AB99" s="419" t="s">
        <v>86</v>
      </c>
      <c r="AC99" s="420"/>
      <c r="AD99" s="419" t="s">
        <v>89</v>
      </c>
      <c r="AJ99" s="210"/>
    </row>
    <row r="100" spans="3:36" ht="15.75" thickTop="1" x14ac:dyDescent="0.2">
      <c r="C100" s="238"/>
      <c r="D100" s="253">
        <v>1</v>
      </c>
      <c r="E100" s="135" t="str">
        <f t="shared" ref="E100:E111" si="26">E43</f>
        <v>Lincoln Republicans</v>
      </c>
      <c r="F100" s="141">
        <f t="shared" ref="F100:F111" si="27">IF(F76="Excluded","Excluded",G43)</f>
        <v>125</v>
      </c>
      <c r="G100" s="800">
        <f>IF(J100="Excluded"," ",F100/F$112)</f>
        <v>0.29002320185614849</v>
      </c>
      <c r="H100" s="801"/>
      <c r="I100" s="801"/>
      <c r="J100" s="452">
        <f t="shared" ref="J100:J111" si="28">G76</f>
        <v>0.15782828282828282</v>
      </c>
      <c r="K100" s="142">
        <f t="shared" ref="K100:K111" si="29">AB100</f>
        <v>1.8375870069605569</v>
      </c>
      <c r="L100" s="518" t="str">
        <f t="shared" ref="L100:L111" si="30">L43</f>
        <v xml:space="preserve"> √√ </v>
      </c>
      <c r="M100" s="239"/>
      <c r="N100" s="36"/>
      <c r="X100" s="210" t="str">
        <f>E100</f>
        <v>Lincoln Republicans</v>
      </c>
      <c r="Y100" s="418">
        <f t="shared" ref="Y100:Y111" si="31">G43</f>
        <v>125</v>
      </c>
      <c r="Z100" s="416">
        <f>J100</f>
        <v>0.15782828282828282</v>
      </c>
      <c r="AA100" s="414">
        <f>G43</f>
        <v>125</v>
      </c>
      <c r="AB100" s="421">
        <f t="shared" ref="AB100:AB111" si="32">IF(F100="Excluded",0,IF(F100=0,0,G100/J100))</f>
        <v>1.8375870069605569</v>
      </c>
      <c r="AC100" s="422">
        <f>AB100</f>
        <v>1.8375870069605569</v>
      </c>
      <c r="AD100" s="210" t="str">
        <f>E100</f>
        <v>Lincoln Republicans</v>
      </c>
      <c r="AJ100" s="211"/>
    </row>
    <row r="101" spans="3:36" ht="15" x14ac:dyDescent="0.2">
      <c r="C101" s="238"/>
      <c r="D101" s="253">
        <f>1+D100</f>
        <v>2</v>
      </c>
      <c r="E101" s="137" t="str">
        <f t="shared" si="26"/>
        <v>Democratic Party</v>
      </c>
      <c r="F101" s="141">
        <f t="shared" si="27"/>
        <v>135</v>
      </c>
      <c r="G101" s="748">
        <f t="shared" ref="G101:G111" si="33">IF(J101="Excluded","Excluded",F101/F$112)</f>
        <v>0.31322505800464034</v>
      </c>
      <c r="H101" s="749"/>
      <c r="I101" s="749"/>
      <c r="J101" s="453">
        <f t="shared" si="28"/>
        <v>0.25252525252525254</v>
      </c>
      <c r="K101" s="143">
        <f t="shared" si="29"/>
        <v>1.2403712296983758</v>
      </c>
      <c r="L101" s="518" t="str">
        <f t="shared" si="30"/>
        <v xml:space="preserve"> </v>
      </c>
      <c r="M101" s="239"/>
      <c r="N101" s="36"/>
      <c r="X101" s="449" t="str">
        <f t="shared" ref="X101:X111" si="34">E101</f>
        <v>Democratic Party</v>
      </c>
      <c r="Y101" s="418">
        <f t="shared" si="31"/>
        <v>135</v>
      </c>
      <c r="Z101" s="417">
        <f t="shared" ref="Z101:Z111" si="35">IF(AC101=K101,J101,Z100)</f>
        <v>0.15782828282828282</v>
      </c>
      <c r="AA101" s="415">
        <f t="shared" ref="AA101:AA111" si="36">IF(AC101=AB101,F101,AA100)</f>
        <v>125</v>
      </c>
      <c r="AB101" s="421">
        <f t="shared" si="32"/>
        <v>1.2403712296983758</v>
      </c>
      <c r="AC101" s="423">
        <f>IF(AB101&gt;AC100,AB101,AC100)</f>
        <v>1.8375870069605569</v>
      </c>
      <c r="AD101" s="210" t="str">
        <f t="shared" ref="AD101:AD111" si="37">IF(AB101&gt;AC100,E101,AD100)</f>
        <v>Lincoln Republicans</v>
      </c>
      <c r="AJ101" s="211"/>
    </row>
    <row r="102" spans="3:36" ht="15" x14ac:dyDescent="0.2">
      <c r="C102" s="238"/>
      <c r="D102" s="254">
        <f t="shared" ref="D102:D111" si="38">1+D101</f>
        <v>3</v>
      </c>
      <c r="E102" s="137" t="str">
        <f t="shared" si="26"/>
        <v>America First Party</v>
      </c>
      <c r="F102" s="141">
        <f t="shared" si="27"/>
        <v>90</v>
      </c>
      <c r="G102" s="748">
        <f t="shared" si="33"/>
        <v>0.20881670533642691</v>
      </c>
      <c r="H102" s="749"/>
      <c r="I102" s="749"/>
      <c r="J102" s="453">
        <f t="shared" si="28"/>
        <v>0.18939393939393939</v>
      </c>
      <c r="K102" s="143">
        <f t="shared" si="29"/>
        <v>1.102552204176334</v>
      </c>
      <c r="L102" s="518" t="str">
        <f t="shared" si="30"/>
        <v xml:space="preserve"> </v>
      </c>
      <c r="M102" s="239"/>
      <c r="N102" s="36"/>
      <c r="X102" s="449" t="str">
        <f t="shared" si="34"/>
        <v>America First Party</v>
      </c>
      <c r="Y102" s="418">
        <f t="shared" si="31"/>
        <v>90</v>
      </c>
      <c r="Z102" s="417">
        <f t="shared" si="35"/>
        <v>0.15782828282828282</v>
      </c>
      <c r="AA102" s="415">
        <f t="shared" si="36"/>
        <v>125</v>
      </c>
      <c r="AB102" s="421">
        <f t="shared" si="32"/>
        <v>1.102552204176334</v>
      </c>
      <c r="AC102" s="423">
        <f t="shared" ref="AC102:AC111" si="39">IF(AB102&gt;AC101,AB102,AC101)</f>
        <v>1.8375870069605569</v>
      </c>
      <c r="AD102" s="210" t="str">
        <f t="shared" si="37"/>
        <v>Lincoln Republicans</v>
      </c>
      <c r="AJ102" s="211"/>
    </row>
    <row r="103" spans="3:36" ht="15" x14ac:dyDescent="0.2">
      <c r="C103" s="238"/>
      <c r="D103" s="254">
        <f t="shared" si="38"/>
        <v>4</v>
      </c>
      <c r="E103" s="137" t="str">
        <f t="shared" si="26"/>
        <v>Progressive Democratic Party</v>
      </c>
      <c r="F103" s="141">
        <f t="shared" si="27"/>
        <v>65</v>
      </c>
      <c r="G103" s="748">
        <f t="shared" si="33"/>
        <v>0.15081206496519722</v>
      </c>
      <c r="H103" s="749"/>
      <c r="I103" s="749"/>
      <c r="J103" s="453">
        <f t="shared" si="28"/>
        <v>0.15782828282828282</v>
      </c>
      <c r="K103" s="143">
        <f t="shared" si="29"/>
        <v>0.95554524361948967</v>
      </c>
      <c r="L103" s="518" t="str">
        <f t="shared" si="30"/>
        <v xml:space="preserve"> </v>
      </c>
      <c r="M103" s="239"/>
      <c r="N103" s="36"/>
      <c r="X103" s="449" t="str">
        <f t="shared" si="34"/>
        <v>Progressive Democratic Party</v>
      </c>
      <c r="Y103" s="418">
        <f t="shared" si="31"/>
        <v>65</v>
      </c>
      <c r="Z103" s="417">
        <f t="shared" si="35"/>
        <v>0.15782828282828282</v>
      </c>
      <c r="AA103" s="415">
        <f t="shared" si="36"/>
        <v>125</v>
      </c>
      <c r="AB103" s="421">
        <f t="shared" si="32"/>
        <v>0.95554524361948967</v>
      </c>
      <c r="AC103" s="423">
        <f t="shared" si="39"/>
        <v>1.8375870069605569</v>
      </c>
      <c r="AD103" s="210" t="str">
        <f t="shared" si="37"/>
        <v>Lincoln Republicans</v>
      </c>
      <c r="AJ103" s="211"/>
    </row>
    <row r="104" spans="3:36" ht="15" customHeight="1" x14ac:dyDescent="0.2">
      <c r="C104" s="238"/>
      <c r="D104" s="254">
        <f t="shared" si="38"/>
        <v>5</v>
      </c>
      <c r="E104" s="137" t="str">
        <f t="shared" si="26"/>
        <v>Green Party</v>
      </c>
      <c r="F104" s="141">
        <f t="shared" si="27"/>
        <v>8</v>
      </c>
      <c r="G104" s="748">
        <f t="shared" si="33"/>
        <v>1.8561484918793503E-2</v>
      </c>
      <c r="H104" s="749"/>
      <c r="I104" s="749"/>
      <c r="J104" s="453">
        <f t="shared" si="28"/>
        <v>9.4696969696969696E-2</v>
      </c>
      <c r="K104" s="143">
        <f t="shared" si="29"/>
        <v>0.19600928074245938</v>
      </c>
      <c r="L104" s="518" t="str">
        <f t="shared" si="30"/>
        <v xml:space="preserve"> </v>
      </c>
      <c r="M104" s="239"/>
      <c r="N104" s="36"/>
      <c r="X104" s="449" t="str">
        <f t="shared" si="34"/>
        <v>Green Party</v>
      </c>
      <c r="Y104" s="418">
        <f t="shared" si="31"/>
        <v>8</v>
      </c>
      <c r="Z104" s="417">
        <f t="shared" si="35"/>
        <v>0.15782828282828282</v>
      </c>
      <c r="AA104" s="415">
        <f t="shared" si="36"/>
        <v>125</v>
      </c>
      <c r="AB104" s="421">
        <f t="shared" si="32"/>
        <v>0.19600928074245938</v>
      </c>
      <c r="AC104" s="423">
        <f t="shared" si="39"/>
        <v>1.8375870069605569</v>
      </c>
      <c r="AD104" s="210" t="str">
        <f t="shared" si="37"/>
        <v>Lincoln Republicans</v>
      </c>
      <c r="AJ104" s="211"/>
    </row>
    <row r="105" spans="3:36" ht="15" x14ac:dyDescent="0.2">
      <c r="C105" s="238"/>
      <c r="D105" s="254">
        <f t="shared" si="38"/>
        <v>6</v>
      </c>
      <c r="E105" s="137" t="str">
        <f t="shared" si="26"/>
        <v>Libertarian Party</v>
      </c>
      <c r="F105" s="141">
        <f t="shared" si="27"/>
        <v>5</v>
      </c>
      <c r="G105" s="748">
        <f t="shared" si="33"/>
        <v>1.1600928074245939E-2</v>
      </c>
      <c r="H105" s="749"/>
      <c r="I105" s="749"/>
      <c r="J105" s="453">
        <f t="shared" si="28"/>
        <v>0.12626262626262627</v>
      </c>
      <c r="K105" s="143">
        <f t="shared" si="29"/>
        <v>9.1879350348027827E-2</v>
      </c>
      <c r="L105" s="518" t="str">
        <f t="shared" si="30"/>
        <v xml:space="preserve"> </v>
      </c>
      <c r="M105" s="239"/>
      <c r="N105" s="36"/>
      <c r="X105" s="449" t="str">
        <f t="shared" si="34"/>
        <v>Libertarian Party</v>
      </c>
      <c r="Y105" s="418">
        <f t="shared" si="31"/>
        <v>5</v>
      </c>
      <c r="Z105" s="417">
        <f t="shared" si="35"/>
        <v>0.15782828282828282</v>
      </c>
      <c r="AA105" s="415">
        <f t="shared" si="36"/>
        <v>125</v>
      </c>
      <c r="AB105" s="421">
        <f t="shared" si="32"/>
        <v>9.1879350348027827E-2</v>
      </c>
      <c r="AC105" s="423">
        <f t="shared" si="39"/>
        <v>1.8375870069605569</v>
      </c>
      <c r="AD105" s="210" t="str">
        <f t="shared" si="37"/>
        <v>Lincoln Republicans</v>
      </c>
      <c r="AJ105" s="211"/>
    </row>
    <row r="106" spans="3:36" ht="15" x14ac:dyDescent="0.2">
      <c r="C106" s="238"/>
      <c r="D106" s="254">
        <f t="shared" si="38"/>
        <v>7</v>
      </c>
      <c r="E106" s="137" t="str">
        <f t="shared" si="26"/>
        <v>New West Party</v>
      </c>
      <c r="F106" s="141">
        <f t="shared" si="27"/>
        <v>1</v>
      </c>
      <c r="G106" s="748">
        <f t="shared" si="33"/>
        <v>2.3201856148491878E-3</v>
      </c>
      <c r="H106" s="749"/>
      <c r="I106" s="749"/>
      <c r="J106" s="453">
        <f t="shared" si="28"/>
        <v>2.5252525252525255E-3</v>
      </c>
      <c r="K106" s="143">
        <f t="shared" si="29"/>
        <v>0.91879350348027833</v>
      </c>
      <c r="L106" s="518" t="str">
        <f t="shared" si="30"/>
        <v xml:space="preserve"> </v>
      </c>
      <c r="M106" s="239"/>
      <c r="N106" s="36"/>
      <c r="X106" s="449" t="str">
        <f t="shared" si="34"/>
        <v>New West Party</v>
      </c>
      <c r="Y106" s="418">
        <f t="shared" si="31"/>
        <v>1</v>
      </c>
      <c r="Z106" s="417">
        <f t="shared" si="35"/>
        <v>0.15782828282828282</v>
      </c>
      <c r="AA106" s="415">
        <f t="shared" si="36"/>
        <v>125</v>
      </c>
      <c r="AB106" s="421">
        <f t="shared" si="32"/>
        <v>0.91879350348027833</v>
      </c>
      <c r="AC106" s="423">
        <f t="shared" si="39"/>
        <v>1.8375870069605569</v>
      </c>
      <c r="AD106" s="210" t="str">
        <f t="shared" si="37"/>
        <v>Lincoln Republicans</v>
      </c>
      <c r="AJ106" s="211"/>
    </row>
    <row r="107" spans="3:36" ht="15" x14ac:dyDescent="0.2">
      <c r="C107" s="238"/>
      <c r="D107" s="254">
        <f t="shared" si="38"/>
        <v>8</v>
      </c>
      <c r="E107" s="137" t="str">
        <f t="shared" si="26"/>
        <v>First Americans Party</v>
      </c>
      <c r="F107" s="141">
        <f t="shared" si="27"/>
        <v>2</v>
      </c>
      <c r="G107" s="748">
        <f t="shared" si="33"/>
        <v>4.6403712296983757E-3</v>
      </c>
      <c r="H107" s="749"/>
      <c r="I107" s="749"/>
      <c r="J107" s="453">
        <f t="shared" si="28"/>
        <v>1.893939393939394E-2</v>
      </c>
      <c r="K107" s="143">
        <f t="shared" si="29"/>
        <v>0.24501160092807422</v>
      </c>
      <c r="L107" s="518" t="str">
        <f t="shared" si="30"/>
        <v xml:space="preserve"> </v>
      </c>
      <c r="M107" s="239"/>
      <c r="N107" s="36"/>
      <c r="X107" s="449" t="str">
        <f t="shared" si="34"/>
        <v>First Americans Party</v>
      </c>
      <c r="Y107" s="418">
        <f t="shared" si="31"/>
        <v>2</v>
      </c>
      <c r="Z107" s="417">
        <f t="shared" si="35"/>
        <v>0.15782828282828282</v>
      </c>
      <c r="AA107" s="415">
        <f t="shared" si="36"/>
        <v>125</v>
      </c>
      <c r="AB107" s="421">
        <f t="shared" si="32"/>
        <v>0.24501160092807422</v>
      </c>
      <c r="AC107" s="423">
        <f t="shared" si="39"/>
        <v>1.8375870069605569</v>
      </c>
      <c r="AD107" s="210" t="str">
        <f t="shared" si="37"/>
        <v>Lincoln Republicans</v>
      </c>
      <c r="AJ107" s="211"/>
    </row>
    <row r="108" spans="3:36" ht="15" x14ac:dyDescent="0.2">
      <c r="C108" s="238"/>
      <c r="D108" s="254">
        <f t="shared" si="38"/>
        <v>9</v>
      </c>
      <c r="E108" s="137" t="str">
        <f t="shared" si="26"/>
        <v>New Morality Party</v>
      </c>
      <c r="F108" s="141" t="str">
        <f t="shared" si="27"/>
        <v>Excluded</v>
      </c>
      <c r="G108" s="748" t="str">
        <f t="shared" si="33"/>
        <v>Excluded</v>
      </c>
      <c r="H108" s="749"/>
      <c r="I108" s="749"/>
      <c r="J108" s="453" t="str">
        <f t="shared" si="28"/>
        <v>Excluded</v>
      </c>
      <c r="K108" s="143">
        <f t="shared" si="29"/>
        <v>0</v>
      </c>
      <c r="L108" s="518" t="str">
        <f t="shared" si="30"/>
        <v xml:space="preserve"> </v>
      </c>
      <c r="M108" s="239"/>
      <c r="N108" s="36"/>
      <c r="X108" s="449" t="str">
        <f t="shared" si="34"/>
        <v>New Morality Party</v>
      </c>
      <c r="Y108" s="418">
        <f t="shared" si="31"/>
        <v>0</v>
      </c>
      <c r="Z108" s="417">
        <f t="shared" si="35"/>
        <v>0.15782828282828282</v>
      </c>
      <c r="AA108" s="415">
        <f t="shared" si="36"/>
        <v>125</v>
      </c>
      <c r="AB108" s="421">
        <f t="shared" si="32"/>
        <v>0</v>
      </c>
      <c r="AC108" s="423">
        <f t="shared" si="39"/>
        <v>1.8375870069605569</v>
      </c>
      <c r="AD108" s="210" t="str">
        <f t="shared" si="37"/>
        <v>Lincoln Republicans</v>
      </c>
      <c r="AJ108" s="211"/>
    </row>
    <row r="109" spans="3:36" ht="15" x14ac:dyDescent="0.2">
      <c r="C109" s="238"/>
      <c r="D109" s="254">
        <f t="shared" si="38"/>
        <v>10</v>
      </c>
      <c r="E109" s="137" t="str">
        <f t="shared" si="26"/>
        <v>Communist Party of America</v>
      </c>
      <c r="F109" s="141" t="str">
        <f t="shared" si="27"/>
        <v>Excluded</v>
      </c>
      <c r="G109" s="748" t="str">
        <f t="shared" si="33"/>
        <v>Excluded</v>
      </c>
      <c r="H109" s="749"/>
      <c r="I109" s="749"/>
      <c r="J109" s="453" t="str">
        <f t="shared" si="28"/>
        <v>Excluded</v>
      </c>
      <c r="K109" s="143">
        <f t="shared" si="29"/>
        <v>0</v>
      </c>
      <c r="L109" s="518" t="str">
        <f t="shared" si="30"/>
        <v xml:space="preserve"> </v>
      </c>
      <c r="M109" s="239"/>
      <c r="N109" s="36"/>
      <c r="X109" s="449" t="str">
        <f t="shared" si="34"/>
        <v>Communist Party of America</v>
      </c>
      <c r="Y109" s="418">
        <f t="shared" si="31"/>
        <v>0</v>
      </c>
      <c r="Z109" s="417">
        <f t="shared" si="35"/>
        <v>0.15782828282828282</v>
      </c>
      <c r="AA109" s="415">
        <f t="shared" si="36"/>
        <v>125</v>
      </c>
      <c r="AB109" s="421">
        <f t="shared" si="32"/>
        <v>0</v>
      </c>
      <c r="AC109" s="423">
        <f t="shared" si="39"/>
        <v>1.8375870069605569</v>
      </c>
      <c r="AD109" s="210" t="str">
        <f t="shared" si="37"/>
        <v>Lincoln Republicans</v>
      </c>
      <c r="AJ109" s="211"/>
    </row>
    <row r="110" spans="3:36" ht="15" x14ac:dyDescent="0.2">
      <c r="C110" s="238"/>
      <c r="D110" s="254">
        <f t="shared" si="38"/>
        <v>11</v>
      </c>
      <c r="E110" s="137" t="str">
        <f t="shared" si="26"/>
        <v>Other Party</v>
      </c>
      <c r="F110" s="141" t="str">
        <f t="shared" si="27"/>
        <v>Excluded</v>
      </c>
      <c r="G110" s="748" t="str">
        <f t="shared" si="33"/>
        <v>Excluded</v>
      </c>
      <c r="H110" s="749"/>
      <c r="I110" s="749"/>
      <c r="J110" s="453" t="str">
        <f t="shared" si="28"/>
        <v>Excluded</v>
      </c>
      <c r="K110" s="143">
        <f t="shared" si="29"/>
        <v>0</v>
      </c>
      <c r="L110" s="518" t="str">
        <f t="shared" si="30"/>
        <v xml:space="preserve"> </v>
      </c>
      <c r="M110" s="239"/>
      <c r="N110" s="36"/>
      <c r="X110" s="449" t="str">
        <f t="shared" si="34"/>
        <v>Other Party</v>
      </c>
      <c r="Y110" s="418">
        <f t="shared" si="31"/>
        <v>0</v>
      </c>
      <c r="Z110" s="417">
        <f t="shared" si="35"/>
        <v>0.15782828282828282</v>
      </c>
      <c r="AA110" s="415">
        <f t="shared" si="36"/>
        <v>125</v>
      </c>
      <c r="AB110" s="421">
        <f t="shared" si="32"/>
        <v>0</v>
      </c>
      <c r="AC110" s="423">
        <f t="shared" si="39"/>
        <v>1.8375870069605569</v>
      </c>
      <c r="AD110" s="210" t="str">
        <f t="shared" si="37"/>
        <v>Lincoln Republicans</v>
      </c>
      <c r="AJ110" s="211"/>
    </row>
    <row r="111" spans="3:36" ht="15.75" thickBot="1" x14ac:dyDescent="0.25">
      <c r="C111" s="238"/>
      <c r="D111" s="254">
        <f t="shared" si="38"/>
        <v>12</v>
      </c>
      <c r="E111" s="139" t="str">
        <f t="shared" si="26"/>
        <v>Other (non-winning) parties*</v>
      </c>
      <c r="F111" s="141" t="str">
        <f t="shared" si="27"/>
        <v>Excluded</v>
      </c>
      <c r="G111" s="872" t="str">
        <f t="shared" si="33"/>
        <v>Excluded</v>
      </c>
      <c r="H111" s="873"/>
      <c r="I111" s="873"/>
      <c r="J111" s="450" t="str">
        <f t="shared" si="28"/>
        <v>Excluded</v>
      </c>
      <c r="K111" s="144">
        <f t="shared" si="29"/>
        <v>0</v>
      </c>
      <c r="L111" s="518" t="str">
        <f t="shared" si="30"/>
        <v xml:space="preserve"> </v>
      </c>
      <c r="M111" s="239"/>
      <c r="N111" s="36"/>
      <c r="X111" s="449" t="str">
        <f t="shared" si="34"/>
        <v>Other (non-winning) parties*</v>
      </c>
      <c r="Y111" s="418">
        <f t="shared" si="31"/>
        <v>0</v>
      </c>
      <c r="Z111" s="417">
        <f t="shared" si="35"/>
        <v>0.15782828282828282</v>
      </c>
      <c r="AA111" s="415">
        <f t="shared" si="36"/>
        <v>125</v>
      </c>
      <c r="AB111" s="421">
        <f t="shared" si="32"/>
        <v>0</v>
      </c>
      <c r="AC111" s="423">
        <f t="shared" si="39"/>
        <v>1.8375870069605569</v>
      </c>
      <c r="AD111" s="210" t="str">
        <f t="shared" si="37"/>
        <v>Lincoln Republicans</v>
      </c>
      <c r="AJ111" s="211"/>
    </row>
    <row r="112" spans="3:36" ht="29.25" customHeight="1" thickTop="1" thickBot="1" x14ac:dyDescent="0.25">
      <c r="C112" s="238"/>
      <c r="D112" s="248"/>
      <c r="E112" s="14" t="s">
        <v>4</v>
      </c>
      <c r="F112" s="82">
        <f>SUM(F100:F111)</f>
        <v>431</v>
      </c>
      <c r="G112" s="788">
        <f>F112/F$112</f>
        <v>1</v>
      </c>
      <c r="H112" s="789"/>
      <c r="I112" s="790"/>
      <c r="J112" s="83">
        <f>SUM(J100:J111)</f>
        <v>1</v>
      </c>
      <c r="K112" s="231"/>
      <c r="L112" s="231"/>
      <c r="M112" s="239"/>
      <c r="N112" s="36"/>
      <c r="AC112" s="212"/>
      <c r="AF112" s="210"/>
      <c r="AG112" s="210"/>
      <c r="AH112" s="210"/>
      <c r="AI112" s="212"/>
      <c r="AJ112" s="211"/>
    </row>
    <row r="113" spans="3:38" ht="18" customHeight="1" thickTop="1" thickBot="1" x14ac:dyDescent="0.25">
      <c r="C113" s="249"/>
      <c r="D113" s="250"/>
      <c r="E113" s="250"/>
      <c r="F113" s="250"/>
      <c r="G113" s="284"/>
      <c r="H113" s="284"/>
      <c r="I113" s="284"/>
      <c r="J113" s="284"/>
      <c r="K113" s="283"/>
      <c r="L113" s="250"/>
      <c r="M113" s="251"/>
      <c r="N113" s="38"/>
      <c r="O113" s="4"/>
      <c r="P113" s="4"/>
      <c r="Q113" s="4"/>
      <c r="R113" s="4"/>
      <c r="S113" s="4"/>
      <c r="T113" s="4"/>
      <c r="U113" s="4"/>
    </row>
    <row r="114" spans="3:38" ht="15.75" customHeight="1" thickTop="1" thickBot="1" x14ac:dyDescent="0.25">
      <c r="C114" s="55"/>
      <c r="D114" s="39"/>
      <c r="E114" s="35"/>
      <c r="F114" s="35"/>
      <c r="G114" s="35"/>
      <c r="H114" s="35"/>
      <c r="I114" s="35"/>
      <c r="J114" s="40"/>
      <c r="K114" s="40"/>
      <c r="L114" s="40"/>
      <c r="M114" s="40"/>
      <c r="N114" s="33"/>
      <c r="O114" s="33"/>
      <c r="P114" s="33"/>
      <c r="Q114" s="33"/>
      <c r="R114" s="33"/>
      <c r="S114" s="12"/>
    </row>
    <row r="115" spans="3:38" ht="8.25" customHeight="1" thickTop="1" x14ac:dyDescent="0.2">
      <c r="C115" s="234"/>
      <c r="D115" s="285"/>
      <c r="E115" s="255"/>
      <c r="F115" s="255"/>
      <c r="G115" s="255"/>
      <c r="H115" s="255"/>
      <c r="I115" s="255"/>
      <c r="J115" s="286"/>
      <c r="K115" s="286"/>
      <c r="L115" s="286"/>
      <c r="M115" s="287"/>
      <c r="N115" s="469"/>
      <c r="O115" s="33"/>
      <c r="P115" s="33"/>
      <c r="Q115" s="33"/>
      <c r="R115" s="33"/>
      <c r="S115" s="12"/>
    </row>
    <row r="116" spans="3:38" ht="19.5" customHeight="1" x14ac:dyDescent="0.2">
      <c r="C116" s="238"/>
      <c r="D116" s="269" t="s">
        <v>19</v>
      </c>
      <c r="E116" s="231"/>
      <c r="F116" s="231"/>
      <c r="G116" s="231"/>
      <c r="H116" s="231"/>
      <c r="I116" s="231"/>
      <c r="J116" s="288"/>
      <c r="K116" s="288"/>
      <c r="L116" s="288"/>
      <c r="M116" s="289"/>
      <c r="N116" s="469"/>
      <c r="O116" s="33"/>
      <c r="P116" s="33"/>
      <c r="Q116" s="33"/>
      <c r="R116" s="33"/>
      <c r="S116" s="12"/>
    </row>
    <row r="117" spans="3:38" s="2" customFormat="1" ht="51" customHeight="1" x14ac:dyDescent="0.2">
      <c r="C117" s="238"/>
      <c r="D117" s="745" t="s">
        <v>143</v>
      </c>
      <c r="E117" s="746"/>
      <c r="F117" s="746"/>
      <c r="G117" s="746"/>
      <c r="H117" s="746"/>
      <c r="I117" s="746"/>
      <c r="J117" s="746"/>
      <c r="K117" s="746"/>
      <c r="L117" s="353"/>
      <c r="M117" s="290"/>
      <c r="N117" s="470"/>
      <c r="O117" s="382"/>
      <c r="P117" s="382"/>
      <c r="Q117" s="382"/>
      <c r="R117" s="10"/>
      <c r="S117" s="10"/>
    </row>
    <row r="118" spans="3:38" ht="15.75" x14ac:dyDescent="0.25">
      <c r="C118" s="238"/>
      <c r="D118" s="291"/>
      <c r="E118" s="292" t="str">
        <f>H96</f>
        <v>Lincoln Republicans</v>
      </c>
      <c r="F118" s="413">
        <f>AA111</f>
        <v>125</v>
      </c>
      <c r="G118" s="243" t="s">
        <v>115</v>
      </c>
      <c r="H118" s="243"/>
      <c r="I118" s="293"/>
      <c r="J118" s="231"/>
      <c r="K118" s="248"/>
      <c r="L118" s="248"/>
      <c r="M118" s="270"/>
      <c r="N118" s="38"/>
      <c r="O118" s="4"/>
      <c r="P118" s="4"/>
      <c r="Q118" s="4"/>
      <c r="R118" s="4"/>
      <c r="S118" s="4"/>
    </row>
    <row r="119" spans="3:38" ht="15" x14ac:dyDescent="0.2">
      <c r="C119" s="238"/>
      <c r="D119" s="291"/>
      <c r="E119" s="281" t="s">
        <v>14</v>
      </c>
      <c r="F119" s="493">
        <f>Z111</f>
        <v>0.15782828282828282</v>
      </c>
      <c r="G119" s="243" t="s">
        <v>15</v>
      </c>
      <c r="H119" s="243"/>
      <c r="I119" s="294"/>
      <c r="J119" s="231"/>
      <c r="K119" s="248"/>
      <c r="L119" s="248"/>
      <c r="M119" s="270"/>
      <c r="N119" s="38"/>
      <c r="O119" s="4"/>
      <c r="P119" s="4"/>
      <c r="Q119" s="4"/>
      <c r="R119" s="4"/>
      <c r="S119" s="4"/>
    </row>
    <row r="120" spans="3:38" ht="15.75" x14ac:dyDescent="0.25">
      <c r="C120" s="238"/>
      <c r="D120" s="291"/>
      <c r="E120" s="295" t="s">
        <v>5</v>
      </c>
      <c r="F120" s="297">
        <f>F118/F119</f>
        <v>792</v>
      </c>
      <c r="G120" s="282" t="s">
        <v>169</v>
      </c>
      <c r="H120" s="243"/>
      <c r="I120" s="296"/>
      <c r="J120" s="231"/>
      <c r="K120" s="248"/>
      <c r="L120" s="248"/>
      <c r="M120" s="270"/>
      <c r="N120" s="38"/>
      <c r="O120" s="4"/>
      <c r="P120" s="4"/>
      <c r="Q120" s="4"/>
      <c r="R120" s="4"/>
      <c r="S120" s="4"/>
      <c r="T120" s="4"/>
      <c r="U120" s="4"/>
    </row>
    <row r="121" spans="3:38" ht="65.25" customHeight="1" thickBot="1" x14ac:dyDescent="0.35">
      <c r="C121" s="238"/>
      <c r="D121" s="721" t="s">
        <v>250</v>
      </c>
      <c r="E121" s="695"/>
      <c r="F121" s="695"/>
      <c r="G121" s="695"/>
      <c r="H121" s="695"/>
      <c r="I121" s="695"/>
      <c r="J121" s="695"/>
      <c r="K121" s="695"/>
      <c r="L121" s="695"/>
      <c r="M121" s="273"/>
      <c r="N121" s="468"/>
      <c r="O121" s="381"/>
      <c r="P121" s="381"/>
      <c r="Q121" s="381"/>
      <c r="R121" s="11"/>
      <c r="S121" s="11"/>
      <c r="T121" s="4"/>
      <c r="U121" s="6"/>
      <c r="AJ121" s="446"/>
    </row>
    <row r="122" spans="3:38" ht="48.75" customHeight="1" thickTop="1" thickBot="1" x14ac:dyDescent="0.3">
      <c r="C122" s="298"/>
      <c r="D122" s="231"/>
      <c r="E122" s="231"/>
      <c r="F122" s="44" t="s">
        <v>9</v>
      </c>
      <c r="G122" s="231"/>
      <c r="H122" s="231"/>
      <c r="I122" s="231"/>
      <c r="J122" s="44" t="s">
        <v>118</v>
      </c>
      <c r="K122" s="231"/>
      <c r="L122" s="231"/>
      <c r="M122" s="239"/>
      <c r="N122" s="36"/>
      <c r="Z122" s="213" t="s">
        <v>2</v>
      </c>
      <c r="AA122" s="112"/>
      <c r="AB122" s="113"/>
      <c r="AC122" s="100"/>
      <c r="AD122" s="100"/>
      <c r="AE122" s="100"/>
      <c r="AF122" s="102">
        <f>J147</f>
        <v>0.1</v>
      </c>
      <c r="AG122" s="100"/>
      <c r="AH122" s="100"/>
      <c r="AI122" s="446"/>
      <c r="AJ122" s="446"/>
      <c r="AK122" s="100"/>
    </row>
    <row r="123" spans="3:38" ht="18" customHeight="1" thickTop="1" x14ac:dyDescent="0.25">
      <c r="C123" s="298"/>
      <c r="D123" s="253">
        <v>1</v>
      </c>
      <c r="E123" s="135" t="str">
        <f t="shared" ref="E123:E134" si="40">E100</f>
        <v>Lincoln Republicans</v>
      </c>
      <c r="F123" s="442">
        <f>IF(J100="Excluded","Excluded",J100)</f>
        <v>0.15782828282828282</v>
      </c>
      <c r="G123" s="145" t="s">
        <v>6</v>
      </c>
      <c r="H123" s="146">
        <f t="shared" ref="H123:H135" si="41">F$120</f>
        <v>792</v>
      </c>
      <c r="I123" s="147" t="s">
        <v>7</v>
      </c>
      <c r="J123" s="148">
        <f t="shared" ref="J123:J130" si="42">IF(F123="Excluded","Excluded",F123*F$120)</f>
        <v>124.99999999999999</v>
      </c>
      <c r="K123" s="231"/>
      <c r="L123" s="231"/>
      <c r="M123" s="239"/>
      <c r="N123" s="36"/>
      <c r="Z123" s="100"/>
      <c r="AA123" s="100"/>
      <c r="AB123" s="100"/>
      <c r="AC123" s="100"/>
      <c r="AD123" s="114">
        <f>J135/F112</f>
        <v>1.8375870069605569</v>
      </c>
      <c r="AE123" s="111" t="s">
        <v>128</v>
      </c>
      <c r="AF123" s="111"/>
      <c r="AG123" s="111"/>
      <c r="AH123" s="111"/>
      <c r="AI123" s="446" t="s">
        <v>125</v>
      </c>
      <c r="AJ123" s="446"/>
      <c r="AK123" s="100"/>
    </row>
    <row r="124" spans="3:38" ht="15.75" x14ac:dyDescent="0.25">
      <c r="C124" s="298"/>
      <c r="D124" s="253">
        <f>1+D123</f>
        <v>2</v>
      </c>
      <c r="E124" s="137" t="str">
        <f t="shared" si="40"/>
        <v>Democratic Party</v>
      </c>
      <c r="F124" s="563">
        <f t="shared" ref="F124:F134" si="43">IF(J101="Excluded","Excluded",J101)</f>
        <v>0.25252525252525254</v>
      </c>
      <c r="G124" s="149" t="s">
        <v>6</v>
      </c>
      <c r="H124" s="150">
        <f t="shared" si="41"/>
        <v>792</v>
      </c>
      <c r="I124" s="151" t="s">
        <v>7</v>
      </c>
      <c r="J124" s="152">
        <f t="shared" si="42"/>
        <v>200</v>
      </c>
      <c r="K124" s="231"/>
      <c r="L124" s="231"/>
      <c r="M124" s="239"/>
      <c r="N124" s="36"/>
      <c r="Z124" s="115" t="s">
        <v>38</v>
      </c>
      <c r="AA124" s="100"/>
      <c r="AB124" s="100"/>
      <c r="AC124" s="100"/>
      <c r="AD124" s="100"/>
      <c r="AE124" s="116" t="s">
        <v>39</v>
      </c>
      <c r="AF124" s="614">
        <f>J147</f>
        <v>0.1</v>
      </c>
      <c r="AG124" s="117" t="s">
        <v>30</v>
      </c>
      <c r="AH124" s="111"/>
      <c r="AI124" s="100"/>
      <c r="AJ124" s="445">
        <f>H149</f>
        <v>20</v>
      </c>
      <c r="AK124" s="100"/>
      <c r="AL124" s="63"/>
    </row>
    <row r="125" spans="3:38" ht="15" customHeight="1" x14ac:dyDescent="0.2">
      <c r="C125" s="298"/>
      <c r="D125" s="254">
        <f t="shared" ref="D125:D134" si="44">1+D124</f>
        <v>3</v>
      </c>
      <c r="E125" s="137" t="str">
        <f t="shared" si="40"/>
        <v>America First Party</v>
      </c>
      <c r="F125" s="563">
        <f t="shared" si="43"/>
        <v>0.18939393939393939</v>
      </c>
      <c r="G125" s="149" t="s">
        <v>6</v>
      </c>
      <c r="H125" s="150">
        <f t="shared" si="41"/>
        <v>792</v>
      </c>
      <c r="I125" s="151" t="s">
        <v>7</v>
      </c>
      <c r="J125" s="152">
        <f t="shared" si="42"/>
        <v>150</v>
      </c>
      <c r="K125" s="231"/>
      <c r="L125" s="231"/>
      <c r="M125" s="239"/>
      <c r="N125" s="36"/>
      <c r="AA125" s="778" t="s">
        <v>31</v>
      </c>
      <c r="AB125" s="778" t="s">
        <v>130</v>
      </c>
      <c r="AC125" s="778" t="s">
        <v>131</v>
      </c>
      <c r="AD125" s="778" t="s">
        <v>74</v>
      </c>
      <c r="AE125" s="778" t="s">
        <v>73</v>
      </c>
      <c r="AF125" s="778" t="s">
        <v>75</v>
      </c>
      <c r="AG125" s="786" t="s">
        <v>129</v>
      </c>
      <c r="AH125" s="778" t="s">
        <v>78</v>
      </c>
      <c r="AI125" s="778" t="s">
        <v>76</v>
      </c>
      <c r="AJ125" s="435"/>
      <c r="AK125" s="778" t="s">
        <v>126</v>
      </c>
      <c r="AL125" s="778" t="s">
        <v>127</v>
      </c>
    </row>
    <row r="126" spans="3:38" ht="15" customHeight="1" x14ac:dyDescent="0.2">
      <c r="C126" s="298"/>
      <c r="D126" s="254">
        <f t="shared" si="44"/>
        <v>4</v>
      </c>
      <c r="E126" s="137" t="str">
        <f t="shared" si="40"/>
        <v>Progressive Democratic Party</v>
      </c>
      <c r="F126" s="563">
        <f t="shared" si="43"/>
        <v>0.15782828282828282</v>
      </c>
      <c r="G126" s="149" t="s">
        <v>6</v>
      </c>
      <c r="H126" s="150">
        <f t="shared" si="41"/>
        <v>792</v>
      </c>
      <c r="I126" s="151" t="s">
        <v>7</v>
      </c>
      <c r="J126" s="152">
        <f t="shared" si="42"/>
        <v>124.99999999999999</v>
      </c>
      <c r="K126" s="231"/>
      <c r="L126" s="231"/>
      <c r="M126" s="239"/>
      <c r="N126" s="36"/>
      <c r="Z126" s="100"/>
      <c r="AA126" s="785"/>
      <c r="AB126" s="785"/>
      <c r="AC126" s="785"/>
      <c r="AD126" s="785"/>
      <c r="AE126" s="785"/>
      <c r="AF126" s="785"/>
      <c r="AG126" s="787"/>
      <c r="AH126" s="785"/>
      <c r="AI126" s="779"/>
      <c r="AJ126" s="99"/>
      <c r="AK126" s="779"/>
      <c r="AL126" s="779"/>
    </row>
    <row r="127" spans="3:38" ht="15" customHeight="1" x14ac:dyDescent="0.2">
      <c r="C127" s="298"/>
      <c r="D127" s="254">
        <f t="shared" si="44"/>
        <v>5</v>
      </c>
      <c r="E127" s="137" t="str">
        <f t="shared" si="40"/>
        <v>Green Party</v>
      </c>
      <c r="F127" s="563">
        <f t="shared" si="43"/>
        <v>9.4696969696969696E-2</v>
      </c>
      <c r="G127" s="149" t="s">
        <v>6</v>
      </c>
      <c r="H127" s="150">
        <f>F$120</f>
        <v>792</v>
      </c>
      <c r="I127" s="151" t="s">
        <v>7</v>
      </c>
      <c r="J127" s="152">
        <f t="shared" si="42"/>
        <v>75</v>
      </c>
      <c r="K127" s="231"/>
      <c r="L127" s="231"/>
      <c r="M127" s="239"/>
      <c r="N127" s="36"/>
      <c r="Z127" s="100"/>
      <c r="AA127" s="785"/>
      <c r="AB127" s="785"/>
      <c r="AC127" s="785"/>
      <c r="AD127" s="785"/>
      <c r="AE127" s="785"/>
      <c r="AF127" s="785"/>
      <c r="AG127" s="787"/>
      <c r="AH127" s="785"/>
      <c r="AI127" s="779"/>
      <c r="AJ127" s="436"/>
      <c r="AK127" s="779"/>
      <c r="AL127" s="779"/>
    </row>
    <row r="128" spans="3:38" ht="15" x14ac:dyDescent="0.2">
      <c r="C128" s="298"/>
      <c r="D128" s="254">
        <f t="shared" si="44"/>
        <v>6</v>
      </c>
      <c r="E128" s="137" t="str">
        <f t="shared" si="40"/>
        <v>Libertarian Party</v>
      </c>
      <c r="F128" s="563">
        <f t="shared" si="43"/>
        <v>0.12626262626262627</v>
      </c>
      <c r="G128" s="149" t="s">
        <v>6</v>
      </c>
      <c r="H128" s="150">
        <f>F$120</f>
        <v>792</v>
      </c>
      <c r="I128" s="151" t="s">
        <v>7</v>
      </c>
      <c r="J128" s="152">
        <f t="shared" si="42"/>
        <v>100</v>
      </c>
      <c r="K128" s="231"/>
      <c r="L128" s="231"/>
      <c r="M128" s="239"/>
      <c r="N128" s="36"/>
      <c r="Z128" s="118" t="str">
        <f t="shared" ref="Z128:Z139" si="45">E152</f>
        <v>Lincoln Republicans</v>
      </c>
      <c r="AA128" s="207">
        <f t="shared" ref="AA128:AA134" si="46">IF(F123="Excluded"," ",J123)</f>
        <v>124.99999999999999</v>
      </c>
      <c r="AB128" s="204" t="str">
        <f t="shared" ref="AB128:AB132" si="47">IF(F100="Excluded","Not applic.",IF(G152/G$164&lt;AF$124,G152,"Not applic."))</f>
        <v>Not applic.</v>
      </c>
      <c r="AC128" s="103" t="str">
        <f t="shared" ref="AC128:AC139" si="48">IF(AB128="Not applic.","no",IF(G152/G$164&lt;$AF$124,"yes","no"))</f>
        <v>no</v>
      </c>
      <c r="AD128" s="207">
        <f t="shared" ref="AD128:AD139" si="49">IF(AC128="no",0,J123/J$135*F$112)</f>
        <v>0</v>
      </c>
      <c r="AE128" s="208">
        <f t="shared" ref="AE128:AE139" si="50">IF(AD128=0,0,G152)</f>
        <v>0</v>
      </c>
      <c r="AF128" s="207">
        <f t="shared" ref="AF128:AF129" si="51">IF(AD128&lt;AE128,0,AD128-AE128)</f>
        <v>0</v>
      </c>
      <c r="AG128" s="209">
        <f>IF(AB128=0,1,0)</f>
        <v>0</v>
      </c>
      <c r="AH128" s="207">
        <f>AF128-AG128</f>
        <v>0</v>
      </c>
      <c r="AI128" s="128">
        <f t="shared" ref="AI128:AI139" si="52">IF(AF128=0,0,AF128/AF$140*AI$140)</f>
        <v>0</v>
      </c>
      <c r="AJ128" s="221">
        <f>IF(AI128&lt;0,0,AI128)</f>
        <v>0</v>
      </c>
      <c r="AK128" s="128">
        <f>ROUND(AJ128,0)</f>
        <v>0</v>
      </c>
      <c r="AL128" s="128">
        <f t="shared" ref="AL128:AL140" si="53">AK128+AG128</f>
        <v>0</v>
      </c>
    </row>
    <row r="129" spans="3:38" ht="15" x14ac:dyDescent="0.2">
      <c r="C129" s="298"/>
      <c r="D129" s="254">
        <f t="shared" si="44"/>
        <v>7</v>
      </c>
      <c r="E129" s="137" t="str">
        <f t="shared" si="40"/>
        <v>New West Party</v>
      </c>
      <c r="F129" s="563">
        <f t="shared" si="43"/>
        <v>2.5252525252525255E-3</v>
      </c>
      <c r="G129" s="149" t="s">
        <v>6</v>
      </c>
      <c r="H129" s="150">
        <f>F$120</f>
        <v>792</v>
      </c>
      <c r="I129" s="151" t="s">
        <v>7</v>
      </c>
      <c r="J129" s="152">
        <f t="shared" si="42"/>
        <v>2</v>
      </c>
      <c r="K129" s="231"/>
      <c r="L129" s="231"/>
      <c r="M129" s="239"/>
      <c r="N129" s="36"/>
      <c r="Z129" s="118" t="str">
        <f t="shared" si="45"/>
        <v>Democratic Party</v>
      </c>
      <c r="AA129" s="207">
        <f t="shared" si="46"/>
        <v>200</v>
      </c>
      <c r="AB129" s="204" t="str">
        <f t="shared" si="47"/>
        <v>Not applic.</v>
      </c>
      <c r="AC129" s="103" t="str">
        <f t="shared" si="48"/>
        <v>no</v>
      </c>
      <c r="AD129" s="207">
        <f t="shared" si="49"/>
        <v>0</v>
      </c>
      <c r="AE129" s="208">
        <f t="shared" si="50"/>
        <v>0</v>
      </c>
      <c r="AF129" s="207">
        <f t="shared" si="51"/>
        <v>0</v>
      </c>
      <c r="AG129" s="209">
        <f t="shared" ref="AG129:AG139" si="54">IF(AB129=0,1,0)</f>
        <v>0</v>
      </c>
      <c r="AH129" s="207">
        <f t="shared" ref="AH129:AH139" si="55">AF129-AG129</f>
        <v>0</v>
      </c>
      <c r="AI129" s="128">
        <f t="shared" si="52"/>
        <v>0</v>
      </c>
      <c r="AJ129" s="221">
        <f t="shared" ref="AJ129:AJ139" si="56">IF(AI129&lt;0,0,AI129)</f>
        <v>0</v>
      </c>
      <c r="AK129" s="128">
        <f t="shared" ref="AK129:AK139" si="57">ROUND(AJ129,0)</f>
        <v>0</v>
      </c>
      <c r="AL129" s="128">
        <f t="shared" si="53"/>
        <v>0</v>
      </c>
    </row>
    <row r="130" spans="3:38" ht="15" x14ac:dyDescent="0.2">
      <c r="C130" s="298"/>
      <c r="D130" s="254">
        <f t="shared" si="44"/>
        <v>8</v>
      </c>
      <c r="E130" s="137" t="str">
        <f t="shared" si="40"/>
        <v>First Americans Party</v>
      </c>
      <c r="F130" s="563">
        <f t="shared" si="43"/>
        <v>1.893939393939394E-2</v>
      </c>
      <c r="G130" s="149" t="s">
        <v>6</v>
      </c>
      <c r="H130" s="150">
        <f>F$120</f>
        <v>792</v>
      </c>
      <c r="I130" s="151" t="s">
        <v>7</v>
      </c>
      <c r="J130" s="152">
        <f t="shared" si="42"/>
        <v>15</v>
      </c>
      <c r="K130" s="231"/>
      <c r="L130" s="231"/>
      <c r="M130" s="239"/>
      <c r="N130" s="36"/>
      <c r="Z130" s="118" t="str">
        <f t="shared" si="45"/>
        <v>America First Party</v>
      </c>
      <c r="AA130" s="207">
        <f t="shared" si="46"/>
        <v>150</v>
      </c>
      <c r="AB130" s="204" t="str">
        <f t="shared" si="47"/>
        <v>Not applic.</v>
      </c>
      <c r="AC130" s="103" t="str">
        <f t="shared" si="48"/>
        <v>no</v>
      </c>
      <c r="AD130" s="207">
        <f t="shared" si="49"/>
        <v>0</v>
      </c>
      <c r="AE130" s="208">
        <f t="shared" si="50"/>
        <v>0</v>
      </c>
      <c r="AF130" s="207">
        <f>IF(AD130&lt;AE130,0,AD130-AE130)</f>
        <v>0</v>
      </c>
      <c r="AG130" s="209">
        <f t="shared" si="54"/>
        <v>0</v>
      </c>
      <c r="AH130" s="207">
        <f t="shared" si="55"/>
        <v>0</v>
      </c>
      <c r="AI130" s="128">
        <f t="shared" si="52"/>
        <v>0</v>
      </c>
      <c r="AJ130" s="221">
        <f t="shared" si="56"/>
        <v>0</v>
      </c>
      <c r="AK130" s="128">
        <f t="shared" si="57"/>
        <v>0</v>
      </c>
      <c r="AL130" s="128">
        <f t="shared" si="53"/>
        <v>0</v>
      </c>
    </row>
    <row r="131" spans="3:38" ht="15" x14ac:dyDescent="0.2">
      <c r="C131" s="298"/>
      <c r="D131" s="254">
        <f t="shared" si="44"/>
        <v>9</v>
      </c>
      <c r="E131" s="137" t="str">
        <f t="shared" si="40"/>
        <v>New Morality Party</v>
      </c>
      <c r="F131" s="563" t="str">
        <f t="shared" si="43"/>
        <v>Excluded</v>
      </c>
      <c r="G131" s="149" t="s">
        <v>6</v>
      </c>
      <c r="H131" s="150">
        <f>F$120</f>
        <v>792</v>
      </c>
      <c r="I131" s="151" t="s">
        <v>7</v>
      </c>
      <c r="J131" s="152" t="str">
        <f>IF(F131="Excluded","Excluded",F131*F$120)</f>
        <v>Excluded</v>
      </c>
      <c r="K131" s="231"/>
      <c r="L131" s="231"/>
      <c r="M131" s="239"/>
      <c r="N131" s="36"/>
      <c r="Z131" s="118" t="str">
        <f t="shared" si="45"/>
        <v>Progressive Democratic Party</v>
      </c>
      <c r="AA131" s="207">
        <f t="shared" si="46"/>
        <v>124.99999999999999</v>
      </c>
      <c r="AB131" s="204" t="str">
        <f t="shared" si="47"/>
        <v>Not applic.</v>
      </c>
      <c r="AC131" s="103" t="str">
        <f t="shared" si="48"/>
        <v>no</v>
      </c>
      <c r="AD131" s="207">
        <f t="shared" si="49"/>
        <v>0</v>
      </c>
      <c r="AE131" s="208">
        <f t="shared" si="50"/>
        <v>0</v>
      </c>
      <c r="AF131" s="207">
        <f t="shared" ref="AF131:AF139" si="58">IF(AD131&lt;AE131,0,AD131-AE131)</f>
        <v>0</v>
      </c>
      <c r="AG131" s="209">
        <f t="shared" si="54"/>
        <v>0</v>
      </c>
      <c r="AH131" s="207">
        <f t="shared" si="55"/>
        <v>0</v>
      </c>
      <c r="AI131" s="128">
        <f t="shared" si="52"/>
        <v>0</v>
      </c>
      <c r="AJ131" s="221">
        <f t="shared" si="56"/>
        <v>0</v>
      </c>
      <c r="AK131" s="128">
        <f t="shared" si="57"/>
        <v>0</v>
      </c>
      <c r="AL131" s="128">
        <f t="shared" si="53"/>
        <v>0</v>
      </c>
    </row>
    <row r="132" spans="3:38" ht="15" x14ac:dyDescent="0.2">
      <c r="C132" s="298"/>
      <c r="D132" s="254">
        <f t="shared" si="44"/>
        <v>10</v>
      </c>
      <c r="E132" s="137" t="str">
        <f t="shared" si="40"/>
        <v>Communist Party of America</v>
      </c>
      <c r="F132" s="563" t="str">
        <f t="shared" si="43"/>
        <v>Excluded</v>
      </c>
      <c r="G132" s="149" t="s">
        <v>6</v>
      </c>
      <c r="H132" s="150">
        <f t="shared" ref="H132:H133" si="59">F$120</f>
        <v>792</v>
      </c>
      <c r="I132" s="151" t="s">
        <v>7</v>
      </c>
      <c r="J132" s="152" t="str">
        <f t="shared" ref="J132:J133" si="60">IF(F132="Excluded","Excluded",F132*F$120)</f>
        <v>Excluded</v>
      </c>
      <c r="K132" s="231"/>
      <c r="L132" s="231"/>
      <c r="M132" s="239"/>
      <c r="N132" s="36"/>
      <c r="Z132" s="118" t="str">
        <f t="shared" si="45"/>
        <v>Green Party</v>
      </c>
      <c r="AA132" s="207">
        <f t="shared" si="46"/>
        <v>75</v>
      </c>
      <c r="AB132" s="204">
        <f t="shared" si="47"/>
        <v>8</v>
      </c>
      <c r="AC132" s="103" t="str">
        <f t="shared" si="48"/>
        <v>yes</v>
      </c>
      <c r="AD132" s="207">
        <f t="shared" si="49"/>
        <v>40.814393939393938</v>
      </c>
      <c r="AE132" s="208">
        <f t="shared" si="50"/>
        <v>8</v>
      </c>
      <c r="AF132" s="207">
        <f t="shared" si="58"/>
        <v>32.814393939393938</v>
      </c>
      <c r="AG132" s="209">
        <f t="shared" si="54"/>
        <v>0</v>
      </c>
      <c r="AH132" s="207">
        <f t="shared" si="55"/>
        <v>32.814393939393938</v>
      </c>
      <c r="AI132" s="128">
        <f t="shared" si="52"/>
        <v>7.4169520547945211</v>
      </c>
      <c r="AJ132" s="221">
        <f t="shared" si="56"/>
        <v>7.4169520547945211</v>
      </c>
      <c r="AK132" s="128">
        <f t="shared" si="57"/>
        <v>7</v>
      </c>
      <c r="AL132" s="128">
        <f t="shared" si="53"/>
        <v>7</v>
      </c>
    </row>
    <row r="133" spans="3:38" ht="15" x14ac:dyDescent="0.2">
      <c r="C133" s="298"/>
      <c r="D133" s="254">
        <f t="shared" si="44"/>
        <v>11</v>
      </c>
      <c r="E133" s="137" t="str">
        <f t="shared" si="40"/>
        <v>Other Party</v>
      </c>
      <c r="F133" s="563" t="str">
        <f t="shared" si="43"/>
        <v>Excluded</v>
      </c>
      <c r="G133" s="149" t="s">
        <v>6</v>
      </c>
      <c r="H133" s="150">
        <f t="shared" si="59"/>
        <v>792</v>
      </c>
      <c r="I133" s="151" t="s">
        <v>7</v>
      </c>
      <c r="J133" s="152" t="str">
        <f t="shared" si="60"/>
        <v>Excluded</v>
      </c>
      <c r="K133" s="231"/>
      <c r="L133" s="231"/>
      <c r="M133" s="239"/>
      <c r="N133" s="36"/>
      <c r="Z133" s="118" t="str">
        <f t="shared" si="45"/>
        <v>Libertarian Party</v>
      </c>
      <c r="AA133" s="207">
        <f t="shared" si="46"/>
        <v>100</v>
      </c>
      <c r="AB133" s="204">
        <f>IF(F105="Excluded","Not applic.",IF(G157/G$164&lt;AF$124,G157,"Not applic."))</f>
        <v>5</v>
      </c>
      <c r="AC133" s="103" t="str">
        <f t="shared" si="48"/>
        <v>yes</v>
      </c>
      <c r="AD133" s="207">
        <f t="shared" si="49"/>
        <v>54.419191919191924</v>
      </c>
      <c r="AE133" s="208">
        <f t="shared" si="50"/>
        <v>5</v>
      </c>
      <c r="AF133" s="207">
        <f t="shared" si="58"/>
        <v>49.419191919191924</v>
      </c>
      <c r="AG133" s="209">
        <f t="shared" si="54"/>
        <v>0</v>
      </c>
      <c r="AH133" s="207">
        <f t="shared" si="55"/>
        <v>49.419191919191924</v>
      </c>
      <c r="AI133" s="128">
        <f t="shared" si="52"/>
        <v>11.170091324200918</v>
      </c>
      <c r="AJ133" s="221">
        <f t="shared" si="56"/>
        <v>11.170091324200918</v>
      </c>
      <c r="AK133" s="128">
        <f t="shared" si="57"/>
        <v>11</v>
      </c>
      <c r="AL133" s="128">
        <f t="shared" si="53"/>
        <v>11</v>
      </c>
    </row>
    <row r="134" spans="3:38" ht="15.75" thickBot="1" x14ac:dyDescent="0.25">
      <c r="C134" s="298"/>
      <c r="D134" s="254">
        <f t="shared" si="44"/>
        <v>12</v>
      </c>
      <c r="E134" s="139" t="str">
        <f t="shared" si="40"/>
        <v>Other (non-winning) parties*</v>
      </c>
      <c r="F134" s="564" t="str">
        <f t="shared" si="43"/>
        <v>Excluded</v>
      </c>
      <c r="G134" s="153" t="s">
        <v>6</v>
      </c>
      <c r="H134" s="154">
        <f t="shared" si="41"/>
        <v>792</v>
      </c>
      <c r="I134" s="155" t="s">
        <v>7</v>
      </c>
      <c r="J134" s="156" t="str">
        <f>IF(F134="Excluded","Excluded",F134*F$120)</f>
        <v>Excluded</v>
      </c>
      <c r="K134" s="231"/>
      <c r="L134" s="231"/>
      <c r="M134" s="239"/>
      <c r="N134" s="36"/>
      <c r="Z134" s="118" t="str">
        <f t="shared" si="45"/>
        <v>New West Party</v>
      </c>
      <c r="AA134" s="207">
        <f t="shared" si="46"/>
        <v>2</v>
      </c>
      <c r="AB134" s="204">
        <f t="shared" ref="AB134:AB139" si="61">IF(F106="Excluded","Not applic.",IF(G158/G$164&lt;AF$124,G158,"Not applic."))</f>
        <v>1</v>
      </c>
      <c r="AC134" s="103" t="str">
        <f t="shared" si="48"/>
        <v>yes</v>
      </c>
      <c r="AD134" s="207">
        <f t="shared" si="49"/>
        <v>1.0883838383838385</v>
      </c>
      <c r="AE134" s="208">
        <f t="shared" si="50"/>
        <v>1</v>
      </c>
      <c r="AF134" s="207">
        <f t="shared" si="58"/>
        <v>8.8383838383838453E-2</v>
      </c>
      <c r="AG134" s="209">
        <f t="shared" si="54"/>
        <v>0</v>
      </c>
      <c r="AH134" s="207">
        <f t="shared" si="55"/>
        <v>8.8383838383838453E-2</v>
      </c>
      <c r="AI134" s="128">
        <f t="shared" si="52"/>
        <v>1.9977168949771709E-2</v>
      </c>
      <c r="AJ134" s="221">
        <f t="shared" si="56"/>
        <v>1.9977168949771709E-2</v>
      </c>
      <c r="AK134" s="128">
        <f t="shared" si="57"/>
        <v>0</v>
      </c>
      <c r="AL134" s="128">
        <f t="shared" si="53"/>
        <v>0</v>
      </c>
    </row>
    <row r="135" spans="3:38" ht="27.75" customHeight="1" thickTop="1" thickBot="1" x14ac:dyDescent="0.25">
      <c r="C135" s="298"/>
      <c r="D135" s="231"/>
      <c r="E135" s="14" t="s">
        <v>4</v>
      </c>
      <c r="F135" s="443">
        <f>SUM(F123:F134)</f>
        <v>1</v>
      </c>
      <c r="G135" s="18" t="s">
        <v>6</v>
      </c>
      <c r="H135" s="220">
        <f t="shared" si="41"/>
        <v>792</v>
      </c>
      <c r="I135" s="15" t="s">
        <v>7</v>
      </c>
      <c r="J135" s="79">
        <f>SUM(J123:J134)</f>
        <v>792</v>
      </c>
      <c r="K135" s="300"/>
      <c r="L135" s="301"/>
      <c r="M135" s="239"/>
      <c r="N135" s="36"/>
      <c r="Z135" s="118" t="str">
        <f t="shared" si="45"/>
        <v>First Americans Party</v>
      </c>
      <c r="AA135" s="207">
        <f>IF(F130="Excluded","Excluded",J130)</f>
        <v>15</v>
      </c>
      <c r="AB135" s="204">
        <f t="shared" si="61"/>
        <v>2</v>
      </c>
      <c r="AC135" s="103" t="str">
        <f t="shared" si="48"/>
        <v>yes</v>
      </c>
      <c r="AD135" s="207">
        <f t="shared" si="49"/>
        <v>8.162878787878789</v>
      </c>
      <c r="AE135" s="208">
        <f t="shared" si="50"/>
        <v>2</v>
      </c>
      <c r="AF135" s="207">
        <f t="shared" si="58"/>
        <v>6.162878787878789</v>
      </c>
      <c r="AG135" s="209">
        <f t="shared" si="54"/>
        <v>0</v>
      </c>
      <c r="AH135" s="207">
        <f t="shared" si="55"/>
        <v>6.162878787878789</v>
      </c>
      <c r="AI135" s="128">
        <f t="shared" si="52"/>
        <v>1.3929794520547949</v>
      </c>
      <c r="AJ135" s="221">
        <f t="shared" si="56"/>
        <v>1.3929794520547949</v>
      </c>
      <c r="AK135" s="128">
        <f t="shared" si="57"/>
        <v>1</v>
      </c>
      <c r="AL135" s="128">
        <f t="shared" si="53"/>
        <v>1</v>
      </c>
    </row>
    <row r="136" spans="3:38" ht="44.25" customHeight="1" thickTop="1" x14ac:dyDescent="0.3">
      <c r="C136" s="298"/>
      <c r="D136" s="768" t="s">
        <v>149</v>
      </c>
      <c r="E136" s="769"/>
      <c r="F136" s="769"/>
      <c r="G136" s="769"/>
      <c r="H136" s="769"/>
      <c r="I136" s="769"/>
      <c r="J136" s="769"/>
      <c r="K136" s="769"/>
      <c r="L136" s="288"/>
      <c r="M136" s="239"/>
      <c r="N136" s="36"/>
      <c r="Z136" s="118" t="str">
        <f t="shared" si="45"/>
        <v>New Morality Party</v>
      </c>
      <c r="AA136" s="207" t="str">
        <f>IF(F131="Excluded","Excluded",J131)</f>
        <v>Excluded</v>
      </c>
      <c r="AB136" s="204" t="str">
        <f t="shared" si="61"/>
        <v>Not applic.</v>
      </c>
      <c r="AC136" s="103" t="str">
        <f t="shared" si="48"/>
        <v>no</v>
      </c>
      <c r="AD136" s="207">
        <f t="shared" si="49"/>
        <v>0</v>
      </c>
      <c r="AE136" s="208">
        <f t="shared" si="50"/>
        <v>0</v>
      </c>
      <c r="AF136" s="207">
        <f t="shared" si="58"/>
        <v>0</v>
      </c>
      <c r="AG136" s="209">
        <f t="shared" si="54"/>
        <v>0</v>
      </c>
      <c r="AH136" s="207">
        <f t="shared" si="55"/>
        <v>0</v>
      </c>
      <c r="AI136" s="128">
        <f t="shared" si="52"/>
        <v>0</v>
      </c>
      <c r="AJ136" s="221">
        <f t="shared" si="56"/>
        <v>0</v>
      </c>
      <c r="AK136" s="128">
        <f t="shared" si="57"/>
        <v>0</v>
      </c>
      <c r="AL136" s="128">
        <f t="shared" si="53"/>
        <v>0</v>
      </c>
    </row>
    <row r="137" spans="3:38" ht="9" customHeight="1" thickBot="1" x14ac:dyDescent="0.25">
      <c r="C137" s="299"/>
      <c r="D137" s="284"/>
      <c r="E137" s="284"/>
      <c r="F137" s="284"/>
      <c r="G137" s="284"/>
      <c r="H137" s="284"/>
      <c r="I137" s="284"/>
      <c r="J137" s="284"/>
      <c r="K137" s="284"/>
      <c r="L137" s="284"/>
      <c r="M137" s="302"/>
      <c r="N137" s="36"/>
      <c r="Z137" s="118" t="str">
        <f t="shared" si="45"/>
        <v>Communist Party of America</v>
      </c>
      <c r="AA137" s="207" t="str">
        <f>IF(F132="Excluded","Excluded",J132)</f>
        <v>Excluded</v>
      </c>
      <c r="AB137" s="204" t="str">
        <f t="shared" si="61"/>
        <v>Not applic.</v>
      </c>
      <c r="AC137" s="103" t="str">
        <f t="shared" si="48"/>
        <v>no</v>
      </c>
      <c r="AD137" s="207">
        <f t="shared" si="49"/>
        <v>0</v>
      </c>
      <c r="AE137" s="208">
        <f t="shared" si="50"/>
        <v>0</v>
      </c>
      <c r="AF137" s="207">
        <f t="shared" si="58"/>
        <v>0</v>
      </c>
      <c r="AG137" s="209">
        <f t="shared" si="54"/>
        <v>0</v>
      </c>
      <c r="AH137" s="207">
        <f t="shared" si="55"/>
        <v>0</v>
      </c>
      <c r="AI137" s="128">
        <f t="shared" si="52"/>
        <v>0</v>
      </c>
      <c r="AJ137" s="221">
        <f t="shared" si="56"/>
        <v>0</v>
      </c>
      <c r="AK137" s="128">
        <f t="shared" si="57"/>
        <v>0</v>
      </c>
      <c r="AL137" s="128">
        <f t="shared" si="53"/>
        <v>0</v>
      </c>
    </row>
    <row r="138" spans="3:38" ht="9.75" customHeight="1" thickTop="1" x14ac:dyDescent="0.2">
      <c r="C138" s="55"/>
      <c r="D138" s="395"/>
      <c r="E138" s="37"/>
      <c r="F138" s="37"/>
      <c r="G138" s="37"/>
      <c r="H138" s="37"/>
      <c r="I138" s="37"/>
      <c r="J138" s="37"/>
      <c r="K138" s="37"/>
      <c r="L138" s="37"/>
      <c r="M138" s="37"/>
      <c r="N138" s="4"/>
      <c r="O138" s="4"/>
      <c r="P138" s="4"/>
      <c r="Q138" s="4"/>
      <c r="R138" s="4"/>
      <c r="S138" s="4"/>
      <c r="T138" s="4"/>
      <c r="U138" s="4"/>
      <c r="Z138" s="118" t="str">
        <f t="shared" si="45"/>
        <v>Other Party</v>
      </c>
      <c r="AA138" s="207" t="str">
        <f>IF(F133="Excluded","Excluded",J133)</f>
        <v>Excluded</v>
      </c>
      <c r="AB138" s="204" t="str">
        <f t="shared" si="61"/>
        <v>Not applic.</v>
      </c>
      <c r="AC138" s="103" t="str">
        <f t="shared" si="48"/>
        <v>no</v>
      </c>
      <c r="AD138" s="207">
        <f t="shared" si="49"/>
        <v>0</v>
      </c>
      <c r="AE138" s="208">
        <f t="shared" si="50"/>
        <v>0</v>
      </c>
      <c r="AF138" s="207">
        <f t="shared" si="58"/>
        <v>0</v>
      </c>
      <c r="AG138" s="209">
        <f t="shared" si="54"/>
        <v>0</v>
      </c>
      <c r="AH138" s="207">
        <f t="shared" si="55"/>
        <v>0</v>
      </c>
      <c r="AI138" s="128">
        <f t="shared" si="52"/>
        <v>0</v>
      </c>
      <c r="AJ138" s="221">
        <f t="shared" si="56"/>
        <v>0</v>
      </c>
      <c r="AK138" s="128">
        <f t="shared" si="57"/>
        <v>0</v>
      </c>
      <c r="AL138" s="128">
        <f t="shared" si="53"/>
        <v>0</v>
      </c>
    </row>
    <row r="139" spans="3:38" ht="21" customHeight="1" x14ac:dyDescent="0.2">
      <c r="C139" s="5"/>
      <c r="E139" s="857" t="s">
        <v>279</v>
      </c>
      <c r="F139" s="858"/>
      <c r="G139" s="858"/>
      <c r="H139" s="858"/>
      <c r="I139" s="858"/>
      <c r="J139" s="858"/>
      <c r="K139" s="858"/>
      <c r="L139" s="33"/>
      <c r="M139" s="4"/>
      <c r="N139" s="4"/>
      <c r="O139" s="4"/>
      <c r="P139" s="4"/>
      <c r="Q139" s="4"/>
      <c r="R139" s="4"/>
      <c r="S139" s="4"/>
      <c r="T139" s="4"/>
      <c r="U139" s="4"/>
      <c r="Z139" s="118" t="str">
        <f t="shared" si="45"/>
        <v>Other (non-winning) parties*</v>
      </c>
      <c r="AA139" s="207" t="str">
        <f>IF(F134="Excluded","Excluded",J134)</f>
        <v>Excluded</v>
      </c>
      <c r="AB139" s="204" t="str">
        <f t="shared" si="61"/>
        <v>Not applic.</v>
      </c>
      <c r="AC139" s="103" t="str">
        <f t="shared" si="48"/>
        <v>no</v>
      </c>
      <c r="AD139" s="207">
        <f t="shared" si="49"/>
        <v>0</v>
      </c>
      <c r="AE139" s="208">
        <f t="shared" si="50"/>
        <v>0</v>
      </c>
      <c r="AF139" s="207">
        <f t="shared" si="58"/>
        <v>0</v>
      </c>
      <c r="AG139" s="209">
        <f t="shared" si="54"/>
        <v>0</v>
      </c>
      <c r="AH139" s="207">
        <f t="shared" si="55"/>
        <v>0</v>
      </c>
      <c r="AI139" s="128">
        <f t="shared" si="52"/>
        <v>0</v>
      </c>
      <c r="AJ139" s="221">
        <f t="shared" si="56"/>
        <v>0</v>
      </c>
      <c r="AK139" s="128">
        <f t="shared" si="57"/>
        <v>0</v>
      </c>
      <c r="AL139" s="128">
        <f t="shared" si="53"/>
        <v>0</v>
      </c>
    </row>
    <row r="140" spans="3:38" ht="21" customHeight="1" x14ac:dyDescent="0.2">
      <c r="C140" s="5"/>
      <c r="D140" s="33"/>
      <c r="E140" s="858"/>
      <c r="F140" s="858"/>
      <c r="G140" s="858"/>
      <c r="H140" s="858"/>
      <c r="I140" s="858"/>
      <c r="J140" s="858"/>
      <c r="K140" s="858"/>
      <c r="L140" s="33"/>
      <c r="M140" s="4"/>
      <c r="N140" s="4"/>
      <c r="O140" s="4"/>
      <c r="P140" s="4"/>
      <c r="Q140" s="4"/>
      <c r="R140" s="4"/>
      <c r="S140" s="4"/>
      <c r="T140" s="4"/>
      <c r="U140" s="4"/>
      <c r="Z140" s="100"/>
      <c r="AA140" s="444">
        <f t="shared" ref="AA140" si="62">SUM(AA128:AA139)</f>
        <v>792</v>
      </c>
      <c r="AB140" s="129">
        <f t="shared" ref="AB140" si="63">SUM(AB128:AB139)</f>
        <v>16</v>
      </c>
      <c r="AC140" s="100"/>
      <c r="AD140" s="615">
        <f t="shared" ref="AD140" si="64">SUM(AD128:AD139)</f>
        <v>104.48484848484847</v>
      </c>
      <c r="AE140" s="208">
        <f>SUM(AE128:AE139)</f>
        <v>16</v>
      </c>
      <c r="AF140" s="444">
        <f>SUM(AF128:AF139)</f>
        <v>88.48484848484847</v>
      </c>
      <c r="AG140" s="444">
        <f>SUM(AG128:AG139)</f>
        <v>0</v>
      </c>
      <c r="AH140" s="444">
        <f>SUM(AH128:AH139)</f>
        <v>88.48484848484847</v>
      </c>
      <c r="AI140" s="119">
        <f>AJ124-AG140</f>
        <v>20</v>
      </c>
      <c r="AJ140" s="497">
        <f>SUM(AJ128:AJ139)</f>
        <v>20.000000000000007</v>
      </c>
      <c r="AK140" s="119">
        <f>SUM(AK128:AK139)</f>
        <v>19</v>
      </c>
      <c r="AL140" s="119">
        <f t="shared" si="53"/>
        <v>19</v>
      </c>
    </row>
    <row r="141" spans="3:38" ht="12" customHeight="1" thickBot="1" x14ac:dyDescent="0.25">
      <c r="C141" s="5"/>
      <c r="D141" s="396"/>
      <c r="E141" s="4"/>
      <c r="F141" s="4"/>
      <c r="G141" s="4"/>
      <c r="H141" s="4"/>
      <c r="I141" s="4"/>
      <c r="J141" s="4"/>
      <c r="K141" s="4"/>
      <c r="L141" s="4"/>
      <c r="M141" s="4"/>
      <c r="N141" s="4"/>
      <c r="O141" s="4"/>
      <c r="P141" s="4"/>
      <c r="Q141" s="4"/>
      <c r="R141" s="4"/>
      <c r="S141" s="4"/>
      <c r="T141" s="4"/>
      <c r="U141" s="4"/>
    </row>
    <row r="142" spans="3:38" ht="8.25" customHeight="1" thickTop="1" x14ac:dyDescent="0.2">
      <c r="C142" s="234"/>
      <c r="D142" s="303"/>
      <c r="E142" s="266"/>
      <c r="F142" s="266"/>
      <c r="G142" s="266"/>
      <c r="H142" s="266"/>
      <c r="I142" s="266"/>
      <c r="J142" s="266"/>
      <c r="K142" s="266"/>
      <c r="L142" s="266"/>
      <c r="M142" s="268"/>
      <c r="N142" s="4"/>
      <c r="O142" s="4"/>
      <c r="P142" s="4"/>
      <c r="Q142" s="4"/>
      <c r="R142" s="4"/>
      <c r="S142" s="4"/>
      <c r="T142" s="4"/>
      <c r="U142" s="4"/>
    </row>
    <row r="143" spans="3:38" ht="19.5" customHeight="1" x14ac:dyDescent="0.2">
      <c r="C143" s="238"/>
      <c r="D143" s="269" t="s">
        <v>20</v>
      </c>
      <c r="E143" s="231"/>
      <c r="F143" s="288"/>
      <c r="G143" s="288"/>
      <c r="H143" s="288"/>
      <c r="I143" s="288"/>
      <c r="J143" s="288"/>
      <c r="K143" s="288"/>
      <c r="L143" s="248"/>
      <c r="M143" s="270"/>
      <c r="N143" s="4"/>
      <c r="O143" s="4"/>
      <c r="P143" s="4"/>
      <c r="Q143" s="4"/>
      <c r="R143" s="4"/>
      <c r="S143" s="4"/>
      <c r="T143" s="4"/>
      <c r="U143" s="4"/>
    </row>
    <row r="144" spans="3:38" ht="19.5" customHeight="1" x14ac:dyDescent="0.2">
      <c r="C144" s="238"/>
      <c r="D144" s="847" t="s">
        <v>255</v>
      </c>
      <c r="E144" s="848"/>
      <c r="F144" s="848"/>
      <c r="G144" s="848"/>
      <c r="H144" s="848"/>
      <c r="I144" s="848"/>
      <c r="J144" s="848"/>
      <c r="K144" s="848"/>
      <c r="L144" s="848"/>
      <c r="M144" s="270"/>
      <c r="N144" s="4"/>
      <c r="O144" s="4"/>
      <c r="P144" s="4"/>
      <c r="Q144" s="4"/>
      <c r="R144" s="4"/>
      <c r="S144" s="4"/>
      <c r="T144" s="4"/>
      <c r="U144" s="4"/>
    </row>
    <row r="145" spans="3:21" ht="16.5" customHeight="1" x14ac:dyDescent="0.2">
      <c r="C145" s="238"/>
      <c r="D145" s="848"/>
      <c r="E145" s="848"/>
      <c r="F145" s="848"/>
      <c r="G145" s="848"/>
      <c r="H145" s="848"/>
      <c r="I145" s="848"/>
      <c r="J145" s="848"/>
      <c r="K145" s="848"/>
      <c r="L145" s="848"/>
      <c r="M145" s="270"/>
      <c r="N145" s="4"/>
      <c r="O145" s="4"/>
      <c r="Q145" s="4"/>
      <c r="R145" s="4"/>
      <c r="S145" s="4"/>
      <c r="T145" s="4"/>
      <c r="U145" s="4"/>
    </row>
    <row r="146" spans="3:21" ht="6" customHeight="1" x14ac:dyDescent="0.2">
      <c r="C146" s="238"/>
      <c r="D146" s="471"/>
      <c r="E146" s="471"/>
      <c r="F146" s="471"/>
      <c r="G146" s="471"/>
      <c r="H146" s="471"/>
      <c r="I146" s="471"/>
      <c r="J146" s="471"/>
      <c r="K146" s="471"/>
      <c r="L146" s="471"/>
      <c r="M146" s="270"/>
      <c r="N146" s="4"/>
      <c r="O146" s="4"/>
      <c r="P146" s="4"/>
      <c r="Q146" s="4"/>
      <c r="R146" s="4"/>
      <c r="S146" s="4"/>
      <c r="T146" s="4"/>
      <c r="U146" s="4"/>
    </row>
    <row r="147" spans="3:21" ht="17.25" customHeight="1" x14ac:dyDescent="0.2">
      <c r="C147" s="238"/>
      <c r="D147" s="231"/>
      <c r="E147" s="473"/>
      <c r="F147" s="231"/>
      <c r="G147" s="231"/>
      <c r="H147" s="231"/>
      <c r="I147" s="513" t="s">
        <v>160</v>
      </c>
      <c r="J147" s="592">
        <f>H34</f>
        <v>0.1</v>
      </c>
      <c r="K147" s="472" t="s">
        <v>280</v>
      </c>
      <c r="L147" s="231"/>
      <c r="M147" s="239"/>
      <c r="R147" s="4"/>
      <c r="S147" s="4"/>
      <c r="T147" s="4"/>
      <c r="U147" s="4"/>
    </row>
    <row r="148" spans="3:21" ht="14.25" customHeight="1" x14ac:dyDescent="0.2">
      <c r="C148" s="238"/>
      <c r="D148" s="593" t="s">
        <v>281</v>
      </c>
      <c r="E148" s="231"/>
      <c r="F148" s="474"/>
      <c r="G148" s="244"/>
      <c r="H148" s="231"/>
      <c r="I148" s="475"/>
      <c r="J148" s="476"/>
      <c r="K148" s="474"/>
      <c r="L148" s="474"/>
      <c r="M148" s="477"/>
    </row>
    <row r="149" spans="3:21" ht="18.75" customHeight="1" x14ac:dyDescent="0.25">
      <c r="C149" s="238"/>
      <c r="D149" s="231"/>
      <c r="E149" s="231"/>
      <c r="F149" s="231"/>
      <c r="G149" s="513" t="s">
        <v>161</v>
      </c>
      <c r="H149" s="512">
        <f>H32</f>
        <v>20</v>
      </c>
      <c r="I149" s="243" t="s">
        <v>162</v>
      </c>
      <c r="J149" s="231"/>
      <c r="K149" s="231"/>
      <c r="L149" s="231"/>
      <c r="M149" s="305"/>
      <c r="N149" s="11"/>
      <c r="O149" s="11"/>
    </row>
    <row r="150" spans="3:21" ht="9.75" customHeight="1" thickBot="1" x14ac:dyDescent="0.25">
      <c r="C150" s="238"/>
      <c r="D150" s="231"/>
      <c r="E150" s="243"/>
      <c r="F150" s="231"/>
      <c r="G150" s="231"/>
      <c r="H150" s="231"/>
      <c r="I150" s="231"/>
      <c r="J150" s="231"/>
      <c r="K150" s="231"/>
      <c r="L150" s="231"/>
      <c r="M150" s="477"/>
    </row>
    <row r="151" spans="3:21" ht="55.15" customHeight="1" thickTop="1" thickBot="1" x14ac:dyDescent="0.25">
      <c r="C151" s="238"/>
      <c r="D151" s="253"/>
      <c r="E151" s="248"/>
      <c r="F151" s="45" t="str">
        <f t="shared" ref="F151:F163" si="65">F122</f>
        <v xml:space="preserve"> % of Popular  Vote for Eligible Parties</v>
      </c>
      <c r="G151" s="824" t="s">
        <v>102</v>
      </c>
      <c r="H151" s="825"/>
      <c r="I151" s="825"/>
      <c r="J151" s="45" t="s">
        <v>8</v>
      </c>
      <c r="K151" s="44" t="s">
        <v>117</v>
      </c>
      <c r="L151" s="231"/>
      <c r="M151" s="239"/>
      <c r="N151" s="383"/>
      <c r="O151" s="383"/>
      <c r="P151" s="383"/>
      <c r="Q151" s="383"/>
    </row>
    <row r="152" spans="3:21" ht="15.75" thickTop="1" x14ac:dyDescent="0.2">
      <c r="C152" s="238"/>
      <c r="D152" s="253">
        <v>1</v>
      </c>
      <c r="E152" s="157" t="str">
        <f t="shared" ref="E152:E163" si="66">E123</f>
        <v>Lincoln Republicans</v>
      </c>
      <c r="F152" s="158">
        <f t="shared" si="65"/>
        <v>0.15782828282828282</v>
      </c>
      <c r="G152" s="750">
        <f t="shared" ref="G152:G163" si="67">G43</f>
        <v>125</v>
      </c>
      <c r="H152" s="751"/>
      <c r="I152" s="752"/>
      <c r="J152" s="159">
        <f t="shared" ref="J152:J163" si="68">AL128</f>
        <v>0</v>
      </c>
      <c r="K152" s="160">
        <f>IF(G152+J152=0,"",G152+J152)</f>
        <v>125</v>
      </c>
      <c r="L152" s="231"/>
      <c r="M152" s="239"/>
      <c r="N152" s="33"/>
      <c r="O152" s="33"/>
      <c r="P152" s="33"/>
      <c r="Q152" s="33"/>
    </row>
    <row r="153" spans="3:21" ht="15" x14ac:dyDescent="0.2">
      <c r="C153" s="238"/>
      <c r="D153" s="253">
        <f>1+D152</f>
        <v>2</v>
      </c>
      <c r="E153" s="161" t="str">
        <f t="shared" si="66"/>
        <v>Democratic Party</v>
      </c>
      <c r="F153" s="162">
        <f t="shared" si="65"/>
        <v>0.25252525252525254</v>
      </c>
      <c r="G153" s="761">
        <f t="shared" si="67"/>
        <v>135</v>
      </c>
      <c r="H153" s="762"/>
      <c r="I153" s="763"/>
      <c r="J153" s="159">
        <f t="shared" si="68"/>
        <v>0</v>
      </c>
      <c r="K153" s="160">
        <f t="shared" ref="K153:K163" si="69">G153+J153</f>
        <v>135</v>
      </c>
      <c r="L153" s="231"/>
      <c r="M153" s="239"/>
      <c r="N153" s="33"/>
      <c r="O153" s="33"/>
      <c r="P153" s="33"/>
      <c r="Q153" s="33"/>
    </row>
    <row r="154" spans="3:21" ht="15" x14ac:dyDescent="0.2">
      <c r="C154" s="238"/>
      <c r="D154" s="254">
        <f t="shared" ref="D154:D163" si="70">1+D153</f>
        <v>3</v>
      </c>
      <c r="E154" s="161" t="str">
        <f t="shared" si="66"/>
        <v>America First Party</v>
      </c>
      <c r="F154" s="162">
        <f t="shared" si="65"/>
        <v>0.18939393939393939</v>
      </c>
      <c r="G154" s="761">
        <f t="shared" si="67"/>
        <v>90</v>
      </c>
      <c r="H154" s="762"/>
      <c r="I154" s="763"/>
      <c r="J154" s="159">
        <f t="shared" si="68"/>
        <v>0</v>
      </c>
      <c r="K154" s="160">
        <f t="shared" si="69"/>
        <v>90</v>
      </c>
      <c r="L154" s="231"/>
      <c r="M154" s="239"/>
      <c r="N154" s="33"/>
      <c r="O154" s="33"/>
      <c r="P154" s="33"/>
      <c r="Q154" s="33"/>
    </row>
    <row r="155" spans="3:21" ht="15" x14ac:dyDescent="0.2">
      <c r="C155" s="238"/>
      <c r="D155" s="254">
        <f t="shared" si="70"/>
        <v>4</v>
      </c>
      <c r="E155" s="161" t="str">
        <f t="shared" si="66"/>
        <v>Progressive Democratic Party</v>
      </c>
      <c r="F155" s="162">
        <f t="shared" si="65"/>
        <v>0.15782828282828282</v>
      </c>
      <c r="G155" s="761">
        <f t="shared" si="67"/>
        <v>65</v>
      </c>
      <c r="H155" s="762"/>
      <c r="I155" s="763"/>
      <c r="J155" s="159">
        <f t="shared" si="68"/>
        <v>0</v>
      </c>
      <c r="K155" s="160">
        <f t="shared" si="69"/>
        <v>65</v>
      </c>
      <c r="L155" s="231"/>
      <c r="M155" s="239"/>
      <c r="N155" s="33"/>
      <c r="O155" s="33"/>
      <c r="P155" s="33"/>
      <c r="Q155" s="33"/>
    </row>
    <row r="156" spans="3:21" ht="15" customHeight="1" x14ac:dyDescent="0.2">
      <c r="C156" s="238"/>
      <c r="D156" s="254">
        <f t="shared" si="70"/>
        <v>5</v>
      </c>
      <c r="E156" s="161" t="str">
        <f t="shared" si="66"/>
        <v>Green Party</v>
      </c>
      <c r="F156" s="162">
        <f t="shared" si="65"/>
        <v>9.4696969696969696E-2</v>
      </c>
      <c r="G156" s="761">
        <f t="shared" si="67"/>
        <v>8</v>
      </c>
      <c r="H156" s="762"/>
      <c r="I156" s="763"/>
      <c r="J156" s="159">
        <f t="shared" si="68"/>
        <v>7</v>
      </c>
      <c r="K156" s="160">
        <f t="shared" si="69"/>
        <v>15</v>
      </c>
      <c r="L156" s="231"/>
      <c r="M156" s="239"/>
      <c r="N156" s="33"/>
      <c r="O156" s="33"/>
      <c r="P156" s="33"/>
      <c r="Q156" s="33"/>
    </row>
    <row r="157" spans="3:21" ht="15" x14ac:dyDescent="0.2">
      <c r="C157" s="238"/>
      <c r="D157" s="254">
        <f t="shared" si="70"/>
        <v>6</v>
      </c>
      <c r="E157" s="161" t="str">
        <f t="shared" si="66"/>
        <v>Libertarian Party</v>
      </c>
      <c r="F157" s="162">
        <f t="shared" si="65"/>
        <v>0.12626262626262627</v>
      </c>
      <c r="G157" s="761">
        <f t="shared" si="67"/>
        <v>5</v>
      </c>
      <c r="H157" s="762"/>
      <c r="I157" s="763"/>
      <c r="J157" s="159">
        <f t="shared" si="68"/>
        <v>11</v>
      </c>
      <c r="K157" s="160">
        <f t="shared" si="69"/>
        <v>16</v>
      </c>
      <c r="L157" s="231"/>
      <c r="M157" s="239"/>
      <c r="N157" s="33"/>
      <c r="O157" s="33"/>
      <c r="P157" s="33"/>
      <c r="Q157" s="33"/>
    </row>
    <row r="158" spans="3:21" ht="15" x14ac:dyDescent="0.2">
      <c r="C158" s="238"/>
      <c r="D158" s="254">
        <f t="shared" si="70"/>
        <v>7</v>
      </c>
      <c r="E158" s="161" t="str">
        <f t="shared" si="66"/>
        <v>New West Party</v>
      </c>
      <c r="F158" s="162">
        <f t="shared" si="65"/>
        <v>2.5252525252525255E-3</v>
      </c>
      <c r="G158" s="761">
        <f t="shared" si="67"/>
        <v>1</v>
      </c>
      <c r="H158" s="762"/>
      <c r="I158" s="763"/>
      <c r="J158" s="159">
        <f t="shared" si="68"/>
        <v>0</v>
      </c>
      <c r="K158" s="160">
        <f t="shared" si="69"/>
        <v>1</v>
      </c>
      <c r="L158" s="231"/>
      <c r="M158" s="239"/>
      <c r="N158" s="33"/>
      <c r="O158" s="33"/>
      <c r="P158" s="33"/>
      <c r="Q158" s="33"/>
    </row>
    <row r="159" spans="3:21" ht="15" x14ac:dyDescent="0.2">
      <c r="C159" s="238"/>
      <c r="D159" s="254">
        <f t="shared" si="70"/>
        <v>8</v>
      </c>
      <c r="E159" s="161" t="str">
        <f t="shared" si="66"/>
        <v>First Americans Party</v>
      </c>
      <c r="F159" s="162">
        <f t="shared" si="65"/>
        <v>1.893939393939394E-2</v>
      </c>
      <c r="G159" s="761">
        <f t="shared" si="67"/>
        <v>2</v>
      </c>
      <c r="H159" s="762"/>
      <c r="I159" s="763"/>
      <c r="J159" s="159">
        <f t="shared" si="68"/>
        <v>1</v>
      </c>
      <c r="K159" s="160">
        <f t="shared" si="69"/>
        <v>3</v>
      </c>
      <c r="L159" s="231"/>
      <c r="M159" s="239"/>
      <c r="N159" s="33"/>
      <c r="O159" s="33"/>
      <c r="P159" s="33"/>
      <c r="Q159" s="33"/>
    </row>
    <row r="160" spans="3:21" ht="15" x14ac:dyDescent="0.2">
      <c r="C160" s="238"/>
      <c r="D160" s="254">
        <f t="shared" si="70"/>
        <v>9</v>
      </c>
      <c r="E160" s="161" t="str">
        <f t="shared" si="66"/>
        <v>New Morality Party</v>
      </c>
      <c r="F160" s="162" t="str">
        <f t="shared" si="65"/>
        <v>Excluded</v>
      </c>
      <c r="G160" s="761">
        <f t="shared" si="67"/>
        <v>0</v>
      </c>
      <c r="H160" s="762"/>
      <c r="I160" s="763"/>
      <c r="J160" s="159">
        <f t="shared" si="68"/>
        <v>0</v>
      </c>
      <c r="K160" s="160">
        <f t="shared" si="69"/>
        <v>0</v>
      </c>
      <c r="L160" s="231"/>
      <c r="M160" s="239"/>
      <c r="N160" s="33"/>
      <c r="O160" s="33"/>
      <c r="P160" s="33"/>
      <c r="Q160" s="33"/>
    </row>
    <row r="161" spans="3:38" ht="15" x14ac:dyDescent="0.2">
      <c r="C161" s="238"/>
      <c r="D161" s="254">
        <f t="shared" si="70"/>
        <v>10</v>
      </c>
      <c r="E161" s="161" t="str">
        <f t="shared" si="66"/>
        <v>Communist Party of America</v>
      </c>
      <c r="F161" s="162" t="str">
        <f t="shared" si="65"/>
        <v>Excluded</v>
      </c>
      <c r="G161" s="761">
        <f t="shared" si="67"/>
        <v>0</v>
      </c>
      <c r="H161" s="762"/>
      <c r="I161" s="763"/>
      <c r="J161" s="159">
        <f t="shared" si="68"/>
        <v>0</v>
      </c>
      <c r="K161" s="160">
        <f t="shared" si="69"/>
        <v>0</v>
      </c>
      <c r="L161" s="231"/>
      <c r="M161" s="239"/>
      <c r="N161" s="33"/>
      <c r="O161" s="33"/>
      <c r="P161" s="33"/>
      <c r="Q161" s="33"/>
    </row>
    <row r="162" spans="3:38" ht="15" x14ac:dyDescent="0.2">
      <c r="C162" s="238"/>
      <c r="D162" s="254">
        <f t="shared" si="70"/>
        <v>11</v>
      </c>
      <c r="E162" s="161" t="str">
        <f t="shared" si="66"/>
        <v>Other Party</v>
      </c>
      <c r="F162" s="162" t="str">
        <f t="shared" si="65"/>
        <v>Excluded</v>
      </c>
      <c r="G162" s="761">
        <f t="shared" si="67"/>
        <v>0</v>
      </c>
      <c r="H162" s="762"/>
      <c r="I162" s="763"/>
      <c r="J162" s="159">
        <f t="shared" si="68"/>
        <v>0</v>
      </c>
      <c r="K162" s="160">
        <f t="shared" si="69"/>
        <v>0</v>
      </c>
      <c r="L162" s="231"/>
      <c r="M162" s="239"/>
      <c r="N162" s="33"/>
      <c r="O162" s="33"/>
      <c r="P162" s="33"/>
      <c r="Q162" s="33"/>
    </row>
    <row r="163" spans="3:38" ht="15.75" thickBot="1" x14ac:dyDescent="0.25">
      <c r="C163" s="238"/>
      <c r="D163" s="254">
        <f t="shared" si="70"/>
        <v>12</v>
      </c>
      <c r="E163" s="163" t="str">
        <f t="shared" si="66"/>
        <v>Other (non-winning) parties*</v>
      </c>
      <c r="F163" s="164" t="str">
        <f t="shared" si="65"/>
        <v>Excluded</v>
      </c>
      <c r="G163" s="883">
        <f t="shared" si="67"/>
        <v>0</v>
      </c>
      <c r="H163" s="884"/>
      <c r="I163" s="885"/>
      <c r="J163" s="159">
        <f t="shared" si="68"/>
        <v>0</v>
      </c>
      <c r="K163" s="160">
        <f t="shared" si="69"/>
        <v>0</v>
      </c>
      <c r="L163" s="231"/>
      <c r="M163" s="239"/>
      <c r="N163" s="33"/>
      <c r="O163" s="33"/>
      <c r="P163" s="33"/>
      <c r="Q163" s="33"/>
    </row>
    <row r="164" spans="3:38" ht="25.5" customHeight="1" thickTop="1" thickBot="1" x14ac:dyDescent="0.25">
      <c r="C164" s="238"/>
      <c r="D164" s="253"/>
      <c r="E164" s="14" t="s">
        <v>4</v>
      </c>
      <c r="F164" s="454">
        <f>SUM(F152:F163)</f>
        <v>1</v>
      </c>
      <c r="G164" s="871">
        <f>SUM(G152:G163)</f>
        <v>431</v>
      </c>
      <c r="H164" s="871"/>
      <c r="I164" s="871"/>
      <c r="J164" s="25">
        <f>SUM(J152:J163)</f>
        <v>19</v>
      </c>
      <c r="K164" s="68">
        <f>SUM(K152:K163)</f>
        <v>450</v>
      </c>
      <c r="L164" s="829" t="s">
        <v>195</v>
      </c>
      <c r="M164" s="830"/>
      <c r="N164" s="89"/>
      <c r="O164" s="89"/>
      <c r="P164" s="89"/>
      <c r="Q164" s="89"/>
    </row>
    <row r="165" spans="3:38" ht="15" customHeight="1" thickTop="1" thickBot="1" x14ac:dyDescent="0.25">
      <c r="C165" s="238"/>
      <c r="D165" s="253"/>
      <c r="E165" s="478"/>
      <c r="F165" s="479"/>
      <c r="G165" s="480"/>
      <c r="H165" s="480"/>
      <c r="I165" s="480"/>
      <c r="J165" s="247" t="s">
        <v>27</v>
      </c>
      <c r="K165" s="481"/>
      <c r="L165" s="231"/>
      <c r="M165" s="239"/>
      <c r="N165" s="89"/>
      <c r="O165" s="89"/>
      <c r="P165" s="89"/>
      <c r="Q165" s="89"/>
      <c r="AI165" s="63"/>
      <c r="AJ165" s="63"/>
      <c r="AK165" s="63"/>
      <c r="AL165" s="63"/>
    </row>
    <row r="166" spans="3:38" ht="8.25" customHeight="1" x14ac:dyDescent="0.2">
      <c r="C166" s="238"/>
      <c r="D166" s="253"/>
      <c r="E166" s="478"/>
      <c r="F166" s="479"/>
      <c r="G166" s="480"/>
      <c r="H166" s="480"/>
      <c r="I166" s="480"/>
      <c r="J166" s="437"/>
      <c r="K166" s="481"/>
      <c r="L166" s="231"/>
      <c r="M166" s="239"/>
      <c r="N166" s="89"/>
      <c r="O166" s="89"/>
      <c r="P166" s="89"/>
      <c r="Q166" s="89"/>
      <c r="U166" s="67"/>
      <c r="V166" s="67"/>
      <c r="W166" s="121"/>
      <c r="X166" s="120"/>
      <c r="Y166" s="114"/>
      <c r="Z166" s="122"/>
      <c r="AB166" s="120"/>
      <c r="AC166" s="120"/>
      <c r="AD166" s="120"/>
      <c r="AE166" s="123"/>
      <c r="AF166" s="120"/>
      <c r="AG166" s="100"/>
      <c r="AH166" s="100"/>
      <c r="AI166" s="100"/>
      <c r="AK166" s="63"/>
      <c r="AL166" s="63"/>
    </row>
    <row r="167" spans="3:38" ht="15" customHeight="1" x14ac:dyDescent="0.2">
      <c r="C167" s="238"/>
      <c r="D167" s="770" t="s">
        <v>254</v>
      </c>
      <c r="E167" s="694"/>
      <c r="F167" s="694"/>
      <c r="G167" s="694"/>
      <c r="H167" s="694"/>
      <c r="I167" s="694"/>
      <c r="J167" s="694"/>
      <c r="K167" s="694"/>
      <c r="L167" s="694"/>
      <c r="M167" s="464"/>
      <c r="N167" s="89"/>
      <c r="O167" s="89"/>
      <c r="P167" s="89"/>
      <c r="Q167" s="89"/>
      <c r="U167" s="67"/>
      <c r="V167" s="67"/>
      <c r="W167" s="121"/>
      <c r="X167" s="120"/>
      <c r="Y167" s="114"/>
      <c r="Z167" s="122"/>
      <c r="AB167" s="120"/>
      <c r="AC167" s="120"/>
      <c r="AD167" s="120"/>
      <c r="AE167" s="123"/>
      <c r="AF167" s="120"/>
      <c r="AG167" s="100"/>
      <c r="AH167" s="100"/>
      <c r="AI167" s="100"/>
      <c r="AK167" s="63"/>
      <c r="AL167" s="63"/>
    </row>
    <row r="168" spans="3:38" ht="15" customHeight="1" x14ac:dyDescent="0.2">
      <c r="C168" s="238"/>
      <c r="D168" s="694"/>
      <c r="E168" s="694"/>
      <c r="F168" s="694"/>
      <c r="G168" s="694"/>
      <c r="H168" s="694"/>
      <c r="I168" s="694"/>
      <c r="J168" s="694"/>
      <c r="K168" s="694"/>
      <c r="L168" s="694"/>
      <c r="M168" s="464"/>
      <c r="N168" s="89"/>
      <c r="O168" s="89"/>
      <c r="P168" s="691"/>
      <c r="U168" s="67"/>
      <c r="V168" s="67"/>
      <c r="W168" s="121"/>
      <c r="X168" s="120"/>
      <c r="Y168" s="114"/>
      <c r="Z168" s="122"/>
      <c r="AB168" s="120"/>
      <c r="AC168" s="120"/>
      <c r="AD168" s="120"/>
      <c r="AE168" s="123"/>
      <c r="AF168" s="120"/>
      <c r="AG168" s="100"/>
      <c r="AH168" s="100"/>
      <c r="AI168" s="100"/>
      <c r="AK168" s="63"/>
      <c r="AL168" s="63"/>
    </row>
    <row r="169" spans="3:38" ht="15" customHeight="1" x14ac:dyDescent="0.2">
      <c r="C169" s="238"/>
      <c r="D169" s="694"/>
      <c r="E169" s="694"/>
      <c r="F169" s="694"/>
      <c r="G169" s="694"/>
      <c r="H169" s="694"/>
      <c r="I169" s="694"/>
      <c r="J169" s="694"/>
      <c r="K169" s="694"/>
      <c r="L169" s="694"/>
      <c r="M169" s="464"/>
      <c r="N169" s="89"/>
      <c r="O169" s="89"/>
      <c r="P169" s="89"/>
      <c r="Q169" s="89"/>
      <c r="U169" s="67"/>
      <c r="V169" s="67"/>
      <c r="W169" s="121"/>
      <c r="X169" s="120"/>
      <c r="Y169" s="114"/>
      <c r="Z169" s="122"/>
      <c r="AB169" s="120"/>
      <c r="AC169" s="120"/>
      <c r="AD169" s="120"/>
      <c r="AE169" s="123"/>
      <c r="AF169" s="120"/>
      <c r="AG169" s="100"/>
      <c r="AH169" s="100"/>
      <c r="AI169" s="100"/>
      <c r="AK169" s="63"/>
      <c r="AL169" s="63"/>
    </row>
    <row r="170" spans="3:38" ht="15" customHeight="1" x14ac:dyDescent="0.2">
      <c r="C170" s="238"/>
      <c r="D170" s="694"/>
      <c r="E170" s="694"/>
      <c r="F170" s="694"/>
      <c r="G170" s="694"/>
      <c r="H170" s="694"/>
      <c r="I170" s="694"/>
      <c r="J170" s="694"/>
      <c r="K170" s="694"/>
      <c r="L170" s="694"/>
      <c r="M170" s="464"/>
      <c r="N170" s="89"/>
      <c r="O170" s="89"/>
      <c r="P170" s="89"/>
      <c r="Q170" s="89"/>
      <c r="U170" s="67"/>
      <c r="V170" s="67"/>
      <c r="W170" s="121"/>
      <c r="X170" s="120"/>
      <c r="Y170" s="114"/>
      <c r="Z170" s="122"/>
      <c r="AB170" s="120"/>
      <c r="AC170" s="120"/>
      <c r="AD170" s="120"/>
      <c r="AE170" s="123"/>
      <c r="AF170" s="120"/>
      <c r="AG170" s="100"/>
      <c r="AH170" s="100"/>
      <c r="AI170" s="100"/>
      <c r="AK170" s="63"/>
      <c r="AL170" s="63"/>
    </row>
    <row r="171" spans="3:38" ht="15" customHeight="1" x14ac:dyDescent="0.2">
      <c r="C171" s="238"/>
      <c r="D171" s="694"/>
      <c r="E171" s="694"/>
      <c r="F171" s="694"/>
      <c r="G171" s="694"/>
      <c r="H171" s="694"/>
      <c r="I171" s="694"/>
      <c r="J171" s="694"/>
      <c r="K171" s="694"/>
      <c r="L171" s="694"/>
      <c r="M171" s="464"/>
      <c r="N171" s="89"/>
      <c r="O171" s="89"/>
      <c r="P171" s="89"/>
      <c r="Q171" s="89"/>
      <c r="U171" s="67"/>
      <c r="V171" s="67"/>
      <c r="W171" s="121"/>
      <c r="X171" s="120"/>
      <c r="Y171" s="114"/>
      <c r="Z171" s="122"/>
      <c r="AB171" s="120"/>
      <c r="AC171" s="120"/>
      <c r="AD171" s="120"/>
      <c r="AE171" s="123"/>
      <c r="AF171" s="120"/>
      <c r="AG171" s="100"/>
      <c r="AH171" s="100"/>
      <c r="AI171" s="100"/>
      <c r="AK171" s="63"/>
      <c r="AL171" s="63"/>
    </row>
    <row r="172" spans="3:38" ht="15" customHeight="1" x14ac:dyDescent="0.2">
      <c r="C172" s="238"/>
      <c r="D172" s="694"/>
      <c r="E172" s="694"/>
      <c r="F172" s="694"/>
      <c r="G172" s="694"/>
      <c r="H172" s="694"/>
      <c r="I172" s="694"/>
      <c r="J172" s="694"/>
      <c r="K172" s="694"/>
      <c r="L172" s="694"/>
      <c r="M172" s="464"/>
      <c r="N172" s="89"/>
      <c r="O172" s="89"/>
      <c r="P172" s="89"/>
      <c r="Q172" s="89"/>
      <c r="U172" s="67"/>
      <c r="V172" s="67"/>
      <c r="W172" s="121"/>
      <c r="X172" s="120"/>
      <c r="Y172" s="114"/>
      <c r="Z172" s="122"/>
      <c r="AB172" s="120"/>
      <c r="AC172" s="120"/>
      <c r="AD172" s="120"/>
      <c r="AE172" s="123"/>
      <c r="AF172" s="120"/>
      <c r="AG172" s="100"/>
      <c r="AH172" s="100"/>
      <c r="AI172" s="100"/>
      <c r="AK172" s="63"/>
      <c r="AL172" s="63"/>
    </row>
    <row r="173" spans="3:38" ht="15" customHeight="1" x14ac:dyDescent="0.2">
      <c r="C173" s="238"/>
      <c r="D173" s="694"/>
      <c r="E173" s="694"/>
      <c r="F173" s="694"/>
      <c r="G173" s="694"/>
      <c r="H173" s="694"/>
      <c r="I173" s="694"/>
      <c r="J173" s="694"/>
      <c r="K173" s="694"/>
      <c r="L173" s="694"/>
      <c r="M173" s="464"/>
      <c r="N173" s="89"/>
      <c r="O173" s="89"/>
      <c r="P173" s="89"/>
      <c r="Q173" s="89"/>
      <c r="U173" s="67"/>
      <c r="V173" s="67"/>
      <c r="W173" s="121"/>
      <c r="X173" s="120"/>
      <c r="Y173" s="114"/>
      <c r="Z173" s="122"/>
      <c r="AB173" s="120"/>
      <c r="AC173" s="120"/>
      <c r="AD173" s="120"/>
      <c r="AE173" s="123"/>
      <c r="AF173" s="120"/>
      <c r="AG173" s="100"/>
      <c r="AH173" s="100"/>
      <c r="AI173" s="100"/>
      <c r="AK173" s="63"/>
      <c r="AL173" s="63"/>
    </row>
    <row r="174" spans="3:38" ht="15" customHeight="1" x14ac:dyDescent="0.2">
      <c r="C174" s="238"/>
      <c r="D174" s="770" t="s">
        <v>256</v>
      </c>
      <c r="E174" s="694"/>
      <c r="F174" s="694"/>
      <c r="G174" s="694"/>
      <c r="H174" s="694"/>
      <c r="I174" s="694"/>
      <c r="J174" s="694"/>
      <c r="K174" s="694"/>
      <c r="L174" s="694"/>
      <c r="M174" s="464"/>
      <c r="N174" s="89"/>
      <c r="O174" s="89"/>
      <c r="P174" s="89"/>
      <c r="Q174" s="89"/>
      <c r="U174" s="67"/>
      <c r="V174" s="67"/>
      <c r="W174" s="121"/>
      <c r="X174" s="120"/>
      <c r="Y174" s="114"/>
      <c r="Z174" s="122"/>
      <c r="AB174" s="120"/>
      <c r="AC174" s="120"/>
      <c r="AD174" s="120"/>
      <c r="AE174" s="123"/>
      <c r="AF174" s="120"/>
      <c r="AG174" s="100"/>
      <c r="AH174" s="100"/>
      <c r="AI174" s="100"/>
      <c r="AK174" s="63"/>
      <c r="AL174" s="63"/>
    </row>
    <row r="175" spans="3:38" ht="15" customHeight="1" x14ac:dyDescent="0.2">
      <c r="C175" s="238"/>
      <c r="D175" s="694"/>
      <c r="E175" s="694"/>
      <c r="F175" s="694"/>
      <c r="G175" s="694"/>
      <c r="H175" s="694"/>
      <c r="I175" s="694"/>
      <c r="J175" s="694"/>
      <c r="K175" s="694"/>
      <c r="L175" s="694"/>
      <c r="M175" s="464"/>
      <c r="N175" s="89"/>
      <c r="O175" s="89"/>
      <c r="P175" s="89"/>
      <c r="Q175" s="89"/>
      <c r="U175" s="67"/>
      <c r="V175" s="67"/>
      <c r="W175" s="121"/>
      <c r="X175" s="120"/>
      <c r="Y175" s="114"/>
      <c r="Z175" s="122"/>
      <c r="AB175" s="120"/>
      <c r="AC175" s="120"/>
      <c r="AD175" s="120"/>
      <c r="AE175" s="123"/>
      <c r="AF175" s="120"/>
      <c r="AG175" s="100"/>
      <c r="AH175" s="100"/>
      <c r="AI175" s="100"/>
      <c r="AK175" s="63"/>
      <c r="AL175" s="63"/>
    </row>
    <row r="176" spans="3:38" ht="5.25" customHeight="1" thickBot="1" x14ac:dyDescent="0.25">
      <c r="C176" s="245"/>
      <c r="D176" s="386" t="s">
        <v>1</v>
      </c>
      <c r="E176" s="278"/>
      <c r="F176" s="278"/>
      <c r="G176" s="278"/>
      <c r="H176" s="278"/>
      <c r="I176" s="278"/>
      <c r="J176" s="279"/>
      <c r="K176" s="279"/>
      <c r="L176" s="278"/>
      <c r="M176" s="482"/>
      <c r="N176" s="4"/>
      <c r="O176" s="4"/>
      <c r="P176" s="4"/>
      <c r="Q176" s="4"/>
      <c r="W176" s="100"/>
      <c r="X176" s="100"/>
      <c r="Y176" s="100"/>
      <c r="AH176" s="100"/>
    </row>
    <row r="177" spans="3:34" ht="12" customHeight="1" thickBot="1" x14ac:dyDescent="0.25">
      <c r="C177" s="58"/>
      <c r="D177" s="61"/>
      <c r="E177" s="59"/>
      <c r="F177" s="59"/>
      <c r="G177" s="59"/>
      <c r="H177" s="59"/>
      <c r="I177" s="59"/>
      <c r="J177" s="59"/>
      <c r="K177" s="59"/>
      <c r="L177" s="59"/>
      <c r="M177" s="59"/>
      <c r="N177" s="438"/>
      <c r="O177" s="4"/>
      <c r="P177" s="4"/>
      <c r="Q177" s="4"/>
      <c r="R177" s="63"/>
      <c r="U177" s="4"/>
      <c r="W177" s="100"/>
      <c r="X177" s="100"/>
      <c r="Y177" s="100"/>
      <c r="Z177" s="118"/>
      <c r="AH177" s="100"/>
    </row>
    <row r="178" spans="3:34" ht="15" customHeight="1" thickTop="1" x14ac:dyDescent="0.2">
      <c r="C178" s="234"/>
      <c r="D178" s="303"/>
      <c r="E178" s="266"/>
      <c r="F178" s="266"/>
      <c r="G178" s="266"/>
      <c r="H178" s="266"/>
      <c r="I178" s="266"/>
      <c r="J178" s="266"/>
      <c r="K178" s="266"/>
      <c r="L178" s="266"/>
      <c r="M178" s="266"/>
      <c r="N178" s="268"/>
      <c r="O178" s="4"/>
      <c r="P178" s="4"/>
      <c r="Q178" s="4"/>
      <c r="R178" s="63"/>
    </row>
    <row r="179" spans="3:34" ht="18.75" customHeight="1" x14ac:dyDescent="0.2">
      <c r="C179" s="238"/>
      <c r="D179" s="269" t="s">
        <v>116</v>
      </c>
      <c r="E179" s="248"/>
      <c r="F179" s="248"/>
      <c r="G179" s="248"/>
      <c r="H179" s="248"/>
      <c r="I179" s="248"/>
      <c r="J179" s="248"/>
      <c r="K179" s="248"/>
      <c r="L179" s="248"/>
      <c r="M179" s="248"/>
      <c r="N179" s="270"/>
      <c r="O179" s="4"/>
      <c r="P179" s="4"/>
      <c r="Q179" s="4"/>
      <c r="R179" s="63"/>
    </row>
    <row r="180" spans="3:34" ht="17.25" customHeight="1" x14ac:dyDescent="0.2">
      <c r="C180" s="238"/>
      <c r="D180" s="721" t="s">
        <v>282</v>
      </c>
      <c r="E180" s="721"/>
      <c r="F180" s="721"/>
      <c r="G180" s="721"/>
      <c r="H180" s="721"/>
      <c r="I180" s="721"/>
      <c r="J180" s="721"/>
      <c r="K180" s="721"/>
      <c r="L180" s="721"/>
      <c r="M180" s="721"/>
      <c r="N180" s="239"/>
      <c r="Q180" s="63"/>
    </row>
    <row r="181" spans="3:34" ht="27.75" customHeight="1" x14ac:dyDescent="0.2">
      <c r="C181" s="238"/>
      <c r="D181" s="721"/>
      <c r="E181" s="721"/>
      <c r="F181" s="721"/>
      <c r="G181" s="721"/>
      <c r="H181" s="721"/>
      <c r="I181" s="721"/>
      <c r="J181" s="721"/>
      <c r="K181" s="721"/>
      <c r="L181" s="721"/>
      <c r="M181" s="721"/>
      <c r="N181" s="239"/>
    </row>
    <row r="182" spans="3:34" ht="22.5" customHeight="1" x14ac:dyDescent="0.2">
      <c r="C182" s="298"/>
      <c r="D182" s="721" t="s">
        <v>251</v>
      </c>
      <c r="E182" s="721"/>
      <c r="F182" s="721"/>
      <c r="G182" s="721"/>
      <c r="H182" s="721"/>
      <c r="I182" s="721"/>
      <c r="J182" s="721"/>
      <c r="K182" s="721"/>
      <c r="L182" s="721"/>
      <c r="M182" s="721"/>
      <c r="N182" s="242"/>
      <c r="O182" s="11"/>
      <c r="P182" s="11"/>
      <c r="Q182" s="11"/>
    </row>
    <row r="183" spans="3:34" ht="15" customHeight="1" x14ac:dyDescent="0.2">
      <c r="C183" s="298"/>
      <c r="D183" s="721"/>
      <c r="E183" s="721"/>
      <c r="F183" s="721"/>
      <c r="G183" s="721"/>
      <c r="H183" s="721"/>
      <c r="I183" s="721"/>
      <c r="J183" s="721"/>
      <c r="K183" s="721"/>
      <c r="L183" s="721"/>
      <c r="M183" s="721"/>
      <c r="N183" s="242"/>
      <c r="O183" s="11"/>
      <c r="P183" s="11"/>
      <c r="Q183" s="11"/>
    </row>
    <row r="184" spans="3:34" ht="15" customHeight="1" x14ac:dyDescent="0.3">
      <c r="C184" s="298"/>
      <c r="D184" s="231"/>
      <c r="E184" s="306"/>
      <c r="F184" s="231"/>
      <c r="G184" s="281" t="s">
        <v>99</v>
      </c>
      <c r="H184" s="424">
        <f>F202/G202</f>
        <v>1.76</v>
      </c>
      <c r="I184" s="243" t="s">
        <v>25</v>
      </c>
      <c r="J184" s="365"/>
      <c r="K184" s="304"/>
      <c r="L184" s="304"/>
      <c r="M184" s="304"/>
      <c r="N184" s="307"/>
      <c r="O184" s="34"/>
      <c r="P184" s="34"/>
      <c r="Q184" s="34"/>
    </row>
    <row r="185" spans="3:34" ht="15" customHeight="1" x14ac:dyDescent="0.3">
      <c r="C185" s="298"/>
      <c r="D185" s="231"/>
      <c r="E185" s="926" t="s">
        <v>283</v>
      </c>
      <c r="F185" s="231"/>
      <c r="G185" s="281"/>
      <c r="H185" s="424"/>
      <c r="I185" s="243"/>
      <c r="J185" s="365"/>
      <c r="K185" s="304"/>
      <c r="L185" s="304"/>
      <c r="M185" s="304"/>
      <c r="N185" s="307"/>
      <c r="O185" s="34"/>
      <c r="P185" s="34"/>
      <c r="Q185" s="34"/>
    </row>
    <row r="186" spans="3:34" ht="17.25" customHeight="1" thickBot="1" x14ac:dyDescent="0.35">
      <c r="C186" s="298"/>
      <c r="D186" s="272"/>
      <c r="E186" s="306"/>
      <c r="F186" s="304"/>
      <c r="G186" s="304"/>
      <c r="H186" s="308"/>
      <c r="I186" s="304"/>
      <c r="J186" s="304"/>
      <c r="K186" s="927" t="s">
        <v>109</v>
      </c>
      <c r="L186" s="846"/>
      <c r="M186" s="304"/>
      <c r="N186" s="307"/>
      <c r="O186" s="34"/>
      <c r="P186" s="34"/>
      <c r="Q186" s="34"/>
    </row>
    <row r="187" spans="3:34" ht="18.75" customHeight="1" thickTop="1" x14ac:dyDescent="0.2">
      <c r="C187" s="298"/>
      <c r="D187" s="231"/>
      <c r="E187" s="231"/>
      <c r="F187" s="859" t="str">
        <f>J122</f>
        <v>House Vote Entitlement</v>
      </c>
      <c r="G187" s="862" t="s">
        <v>137</v>
      </c>
      <c r="H187" s="863"/>
      <c r="I187" s="866" t="s">
        <v>234</v>
      </c>
      <c r="J187" s="867"/>
      <c r="K187" s="842" t="s">
        <v>108</v>
      </c>
      <c r="L187" s="843"/>
      <c r="M187" s="231"/>
      <c r="N187" s="239"/>
    </row>
    <row r="188" spans="3:34" ht="20.25" customHeight="1" x14ac:dyDescent="0.2">
      <c r="C188" s="298"/>
      <c r="D188" s="231"/>
      <c r="E188" s="456"/>
      <c r="F188" s="860"/>
      <c r="G188" s="860"/>
      <c r="H188" s="864"/>
      <c r="I188" s="868"/>
      <c r="J188" s="869"/>
      <c r="K188" s="870" t="s">
        <v>118</v>
      </c>
      <c r="L188" s="844" t="s">
        <v>110</v>
      </c>
      <c r="M188" s="231"/>
      <c r="N188" s="239"/>
    </row>
    <row r="189" spans="3:34" ht="18.75" customHeight="1" thickBot="1" x14ac:dyDescent="0.25">
      <c r="C189" s="298"/>
      <c r="D189" s="231"/>
      <c r="E189" s="309"/>
      <c r="F189" s="861"/>
      <c r="G189" s="861"/>
      <c r="H189" s="865"/>
      <c r="I189" s="868"/>
      <c r="J189" s="869"/>
      <c r="K189" s="870"/>
      <c r="L189" s="845"/>
      <c r="M189" s="231"/>
      <c r="N189" s="239"/>
    </row>
    <row r="190" spans="3:34" ht="17.25" customHeight="1" thickTop="1" x14ac:dyDescent="0.2">
      <c r="C190" s="298"/>
      <c r="D190" s="253">
        <v>1</v>
      </c>
      <c r="E190" s="135" t="str">
        <f>E43</f>
        <v>Lincoln Republicans</v>
      </c>
      <c r="F190" s="519">
        <f>IF(K152=0,0,J123)</f>
        <v>124.99999999999999</v>
      </c>
      <c r="G190" s="804">
        <f>K152</f>
        <v>125</v>
      </c>
      <c r="H190" s="805"/>
      <c r="I190" s="831">
        <f>IF(G190=0,0,F190/G190)</f>
        <v>0.99999999999999989</v>
      </c>
      <c r="J190" s="831"/>
      <c r="K190" s="520">
        <f t="shared" ref="K190:K201" si="71">F190/F$206</f>
        <v>0.15643772527032437</v>
      </c>
      <c r="L190" s="521">
        <f>IF(F190=0,0,F76/(F$88+F$90))</f>
        <v>0.15782828282828282</v>
      </c>
      <c r="M190" s="231"/>
      <c r="N190" s="239"/>
    </row>
    <row r="191" spans="3:34" ht="15.75" customHeight="1" x14ac:dyDescent="0.2">
      <c r="C191" s="298"/>
      <c r="D191" s="253">
        <f>1+D190</f>
        <v>2</v>
      </c>
      <c r="E191" s="137" t="str">
        <f>E44</f>
        <v>Democratic Party</v>
      </c>
      <c r="F191" s="522">
        <f>IF(K153=0,0,J124)</f>
        <v>200</v>
      </c>
      <c r="G191" s="802">
        <f>K153</f>
        <v>135</v>
      </c>
      <c r="H191" s="803"/>
      <c r="I191" s="767">
        <f>IF(G191=0,0,F191/G191)</f>
        <v>1.4814814814814814</v>
      </c>
      <c r="J191" s="767"/>
      <c r="K191" s="523">
        <f t="shared" si="71"/>
        <v>0.25030036043251902</v>
      </c>
      <c r="L191" s="524">
        <f>IF(F191=0,0,F77/(F$88+F$90))</f>
        <v>0.25252525252525254</v>
      </c>
      <c r="M191" s="231"/>
      <c r="N191" s="239"/>
      <c r="AD191" s="205"/>
    </row>
    <row r="192" spans="3:34" ht="15" x14ac:dyDescent="0.2">
      <c r="C192" s="298"/>
      <c r="D192" s="254">
        <f t="shared" ref="D192:D200" si="72">1+D191</f>
        <v>3</v>
      </c>
      <c r="E192" s="137" t="str">
        <f>E45</f>
        <v>America First Party</v>
      </c>
      <c r="F192" s="522">
        <f>IF(K154=0,0,J125)</f>
        <v>150</v>
      </c>
      <c r="G192" s="802">
        <f>K154</f>
        <v>90</v>
      </c>
      <c r="H192" s="803"/>
      <c r="I192" s="767">
        <f>IF(G192=0,0,F192/G192)</f>
        <v>1.6666666666666667</v>
      </c>
      <c r="J192" s="767"/>
      <c r="K192" s="523">
        <f t="shared" si="71"/>
        <v>0.18772527032438927</v>
      </c>
      <c r="L192" s="524">
        <f>IF(F192=0,0,F78/(F$88+F$90))</f>
        <v>0.18939393939393939</v>
      </c>
      <c r="M192" s="231"/>
      <c r="N192" s="239"/>
      <c r="AD192" s="205"/>
    </row>
    <row r="193" spans="3:33" ht="15" x14ac:dyDescent="0.2">
      <c r="C193" s="298"/>
      <c r="D193" s="254">
        <f t="shared" si="72"/>
        <v>4</v>
      </c>
      <c r="E193" s="137" t="str">
        <f>E46</f>
        <v>Progressive Democratic Party</v>
      </c>
      <c r="F193" s="522">
        <f>IF(K155=0,0,J126)</f>
        <v>124.99999999999999</v>
      </c>
      <c r="G193" s="802">
        <f>K155</f>
        <v>65</v>
      </c>
      <c r="H193" s="803"/>
      <c r="I193" s="767">
        <f t="shared" ref="I193:I201" si="73">IF(G193=0,0,F193/G193)</f>
        <v>1.9230769230769229</v>
      </c>
      <c r="J193" s="767"/>
      <c r="K193" s="523">
        <f t="shared" si="71"/>
        <v>0.15643772527032437</v>
      </c>
      <c r="L193" s="524">
        <f>IF(F193=0,0,F79/(F$88+F$90))</f>
        <v>0.15782828282828282</v>
      </c>
      <c r="M193" s="231"/>
      <c r="N193" s="239"/>
      <c r="AD193" s="205"/>
    </row>
    <row r="194" spans="3:33" ht="15" customHeight="1" x14ac:dyDescent="0.2">
      <c r="C194" s="298"/>
      <c r="D194" s="254">
        <f t="shared" si="72"/>
        <v>5</v>
      </c>
      <c r="E194" s="137" t="str">
        <f>E47</f>
        <v>Green Party</v>
      </c>
      <c r="F194" s="522">
        <f>IF(K156=0,0,J127)</f>
        <v>75</v>
      </c>
      <c r="G194" s="802">
        <f>K156</f>
        <v>15</v>
      </c>
      <c r="H194" s="803"/>
      <c r="I194" s="767">
        <f t="shared" si="73"/>
        <v>5</v>
      </c>
      <c r="J194" s="767"/>
      <c r="K194" s="523">
        <f t="shared" si="71"/>
        <v>9.3862635162194633E-2</v>
      </c>
      <c r="L194" s="524">
        <f>IF(F194=0,0,F80/(F$88+F$90))</f>
        <v>9.4696969696969696E-2</v>
      </c>
      <c r="M194" s="231"/>
      <c r="N194" s="239"/>
      <c r="AD194" s="205"/>
    </row>
    <row r="195" spans="3:33" ht="16.5" customHeight="1" x14ac:dyDescent="0.2">
      <c r="C195" s="298"/>
      <c r="D195" s="254">
        <f t="shared" si="72"/>
        <v>6</v>
      </c>
      <c r="E195" s="137" t="str">
        <f>E48</f>
        <v>Libertarian Party</v>
      </c>
      <c r="F195" s="522">
        <f>IF(K157=0,0,J128)</f>
        <v>100</v>
      </c>
      <c r="G195" s="802">
        <f>K157</f>
        <v>16</v>
      </c>
      <c r="H195" s="803"/>
      <c r="I195" s="767">
        <f t="shared" si="73"/>
        <v>6.25</v>
      </c>
      <c r="J195" s="767"/>
      <c r="K195" s="523">
        <f t="shared" si="71"/>
        <v>0.12515018021625951</v>
      </c>
      <c r="L195" s="524">
        <f>IF(F195=0,0,F81/(F$88+F$90))</f>
        <v>0.12626262626262627</v>
      </c>
      <c r="M195" s="231"/>
      <c r="N195" s="239"/>
      <c r="AD195" s="205"/>
    </row>
    <row r="196" spans="3:33" ht="16.5" customHeight="1" x14ac:dyDescent="0.2">
      <c r="C196" s="298"/>
      <c r="D196" s="254">
        <f t="shared" si="72"/>
        <v>7</v>
      </c>
      <c r="E196" s="137" t="str">
        <f>E49</f>
        <v>New West Party</v>
      </c>
      <c r="F196" s="522">
        <f>IF(K158=0,0,J129)</f>
        <v>2</v>
      </c>
      <c r="G196" s="802">
        <f>K158</f>
        <v>1</v>
      </c>
      <c r="H196" s="803"/>
      <c r="I196" s="767">
        <f t="shared" si="73"/>
        <v>2</v>
      </c>
      <c r="J196" s="767"/>
      <c r="K196" s="523">
        <f t="shared" si="71"/>
        <v>2.5030036043251903E-3</v>
      </c>
      <c r="L196" s="524">
        <f>IF(F196=0,0,F82/(F$88+F$90))</f>
        <v>2.5252525252525255E-3</v>
      </c>
      <c r="M196" s="231"/>
      <c r="N196" s="239"/>
      <c r="AD196" s="205"/>
    </row>
    <row r="197" spans="3:33" ht="16.5" customHeight="1" x14ac:dyDescent="0.2">
      <c r="C197" s="298"/>
      <c r="D197" s="254">
        <f t="shared" si="72"/>
        <v>8</v>
      </c>
      <c r="E197" s="137" t="str">
        <f>E50</f>
        <v>First Americans Party</v>
      </c>
      <c r="F197" s="522">
        <f>IF(K159=0,0,J130)</f>
        <v>15</v>
      </c>
      <c r="G197" s="802">
        <f>K159</f>
        <v>3</v>
      </c>
      <c r="H197" s="803"/>
      <c r="I197" s="767">
        <f t="shared" si="73"/>
        <v>5</v>
      </c>
      <c r="J197" s="767"/>
      <c r="K197" s="523">
        <f t="shared" si="71"/>
        <v>1.8772527032438927E-2</v>
      </c>
      <c r="L197" s="524">
        <f>IF(F197=0,0,F83/(F$88+F$90))</f>
        <v>1.893939393939394E-2</v>
      </c>
      <c r="M197" s="231"/>
      <c r="N197" s="239"/>
      <c r="AD197" s="205"/>
    </row>
    <row r="198" spans="3:33" ht="16.5" customHeight="1" x14ac:dyDescent="0.2">
      <c r="C198" s="298"/>
      <c r="D198" s="254">
        <f t="shared" si="72"/>
        <v>9</v>
      </c>
      <c r="E198" s="137" t="str">
        <f>E51</f>
        <v>New Morality Party</v>
      </c>
      <c r="F198" s="522">
        <f>IF(K160=0,0,J131)</f>
        <v>0</v>
      </c>
      <c r="G198" s="802">
        <f>K160</f>
        <v>0</v>
      </c>
      <c r="H198" s="803"/>
      <c r="I198" s="767">
        <f t="shared" si="73"/>
        <v>0</v>
      </c>
      <c r="J198" s="767"/>
      <c r="K198" s="523">
        <f t="shared" si="71"/>
        <v>0</v>
      </c>
      <c r="L198" s="524">
        <f>IF(F198=0,0,F84/(F$88+F$90))</f>
        <v>0</v>
      </c>
      <c r="M198" s="231"/>
      <c r="N198" s="239"/>
      <c r="AD198" s="205"/>
    </row>
    <row r="199" spans="3:33" ht="16.5" customHeight="1" x14ac:dyDescent="0.2">
      <c r="C199" s="298"/>
      <c r="D199" s="254">
        <f t="shared" si="72"/>
        <v>10</v>
      </c>
      <c r="E199" s="137" t="str">
        <f>E52</f>
        <v>Communist Party of America</v>
      </c>
      <c r="F199" s="522">
        <f>IF(K161=0,0,J132)</f>
        <v>0</v>
      </c>
      <c r="G199" s="802">
        <f>K161</f>
        <v>0</v>
      </c>
      <c r="H199" s="803"/>
      <c r="I199" s="767">
        <f t="shared" si="73"/>
        <v>0</v>
      </c>
      <c r="J199" s="767"/>
      <c r="K199" s="523">
        <f t="shared" si="71"/>
        <v>0</v>
      </c>
      <c r="L199" s="524">
        <f>IF(F199=0,0,F85/(F$88+F$90))</f>
        <v>0</v>
      </c>
      <c r="M199" s="231"/>
      <c r="N199" s="239"/>
      <c r="AD199" s="205"/>
    </row>
    <row r="200" spans="3:33" ht="16.5" customHeight="1" x14ac:dyDescent="0.2">
      <c r="C200" s="298"/>
      <c r="D200" s="254">
        <f t="shared" si="72"/>
        <v>11</v>
      </c>
      <c r="E200" s="137" t="str">
        <f>E53</f>
        <v>Other Party</v>
      </c>
      <c r="F200" s="522">
        <f>IF(K162=0,0,J133)</f>
        <v>0</v>
      </c>
      <c r="G200" s="802">
        <f>K162</f>
        <v>0</v>
      </c>
      <c r="H200" s="803"/>
      <c r="I200" s="767">
        <f t="shared" si="73"/>
        <v>0</v>
      </c>
      <c r="J200" s="767"/>
      <c r="K200" s="523">
        <f t="shared" si="71"/>
        <v>0</v>
      </c>
      <c r="L200" s="524">
        <f>IF(F200=0,0,F86/(F$88+F$90))</f>
        <v>0</v>
      </c>
      <c r="M200" s="231"/>
      <c r="N200" s="239"/>
      <c r="AD200" s="205"/>
    </row>
    <row r="201" spans="3:33" ht="16.5" customHeight="1" thickBot="1" x14ac:dyDescent="0.25">
      <c r="C201" s="298"/>
      <c r="D201" s="254">
        <v>12</v>
      </c>
      <c r="E201" s="139" t="s">
        <v>26</v>
      </c>
      <c r="F201" s="522">
        <f>IF(K163=0,0,J134)</f>
        <v>0</v>
      </c>
      <c r="G201" s="802">
        <f>K163</f>
        <v>0</v>
      </c>
      <c r="H201" s="803"/>
      <c r="I201" s="767">
        <f t="shared" si="73"/>
        <v>0</v>
      </c>
      <c r="J201" s="767"/>
      <c r="K201" s="523">
        <f t="shared" si="71"/>
        <v>0</v>
      </c>
      <c r="L201" s="524">
        <f>IF(F201=0,0,F87/(F$88+F$90))</f>
        <v>0</v>
      </c>
      <c r="M201" s="231"/>
      <c r="N201" s="239"/>
      <c r="AD201" s="205"/>
    </row>
    <row r="202" spans="3:33" ht="18" customHeight="1" thickTop="1" thickBot="1" x14ac:dyDescent="0.25">
      <c r="C202" s="298"/>
      <c r="D202" s="231"/>
      <c r="E202" s="26" t="s">
        <v>23</v>
      </c>
      <c r="F202" s="80">
        <f>SUM(F190:F201)</f>
        <v>792</v>
      </c>
      <c r="G202" s="881">
        <f>SUM(G190:G201)</f>
        <v>450</v>
      </c>
      <c r="H202" s="882"/>
      <c r="I202" s="879">
        <f>F202/G202</f>
        <v>1.76</v>
      </c>
      <c r="J202" s="880"/>
      <c r="K202" s="506">
        <f>SUM(K190:K201)</f>
        <v>0.99118942731277537</v>
      </c>
      <c r="L202" s="507">
        <f>SUM(L190:L201)</f>
        <v>1</v>
      </c>
      <c r="M202" s="231"/>
      <c r="N202" s="239"/>
      <c r="AD202" s="205"/>
    </row>
    <row r="203" spans="3:33" ht="18" customHeight="1" thickTop="1" x14ac:dyDescent="0.2">
      <c r="C203" s="298"/>
      <c r="D203" s="231"/>
      <c r="E203" s="165" t="s">
        <v>144</v>
      </c>
      <c r="F203" s="525"/>
      <c r="G203" s="877"/>
      <c r="H203" s="878"/>
      <c r="I203" s="526"/>
      <c r="J203" s="527" t="s">
        <v>29</v>
      </c>
      <c r="K203" s="527"/>
      <c r="L203" s="528"/>
      <c r="M203" s="231"/>
      <c r="N203" s="239"/>
      <c r="AD203" s="205"/>
    </row>
    <row r="204" spans="3:33" ht="18" customHeight="1" x14ac:dyDescent="0.2">
      <c r="C204" s="298"/>
      <c r="D204" s="231"/>
      <c r="E204" s="529" t="str">
        <f>E57</f>
        <v>Independents elected</v>
      </c>
      <c r="F204" s="530">
        <f>I202*G57</f>
        <v>7.04</v>
      </c>
      <c r="G204" s="810">
        <f>G57</f>
        <v>4</v>
      </c>
      <c r="H204" s="811"/>
      <c r="I204" s="812">
        <f>IF(G204&gt;0,I$202,0)</f>
        <v>1.76</v>
      </c>
      <c r="J204" s="813"/>
      <c r="K204" s="523">
        <f>IF(G204=0,0,F204/F$206)</f>
        <v>8.8105726872246704E-3</v>
      </c>
      <c r="L204" s="524">
        <f>IF(F204=0,0,J57)</f>
        <v>3.6864094372081593E-3</v>
      </c>
      <c r="M204" s="231"/>
      <c r="N204" s="239"/>
      <c r="AD204" s="205"/>
    </row>
    <row r="205" spans="3:33" ht="18" customHeight="1" thickBot="1" x14ac:dyDescent="0.25">
      <c r="C205" s="298"/>
      <c r="D205" s="231"/>
      <c r="E205" s="531" t="str">
        <f>E58</f>
        <v>Votes cast for non-winners</v>
      </c>
      <c r="F205" s="530">
        <f t="shared" ref="F205" si="74">IF(G205&gt;0,I205/G205,0)</f>
        <v>0</v>
      </c>
      <c r="G205" s="875">
        <f>G58</f>
        <v>0</v>
      </c>
      <c r="H205" s="876"/>
      <c r="I205" s="812">
        <f t="shared" ref="I205" si="75">IF(G205&gt;0,I$202,0)</f>
        <v>0</v>
      </c>
      <c r="J205" s="813"/>
      <c r="K205" s="523">
        <f>IF(G205=0,0,F205/F$206)</f>
        <v>0</v>
      </c>
      <c r="L205" s="524">
        <f>IF(F205=0,0,J58)</f>
        <v>0</v>
      </c>
      <c r="M205" s="231"/>
      <c r="N205" s="239"/>
    </row>
    <row r="206" spans="3:33" ht="21" customHeight="1" thickTop="1" thickBot="1" x14ac:dyDescent="0.3">
      <c r="C206" s="298"/>
      <c r="D206" s="231"/>
      <c r="E206" s="483" t="s">
        <v>12</v>
      </c>
      <c r="F206" s="484">
        <f>SUM(F190:F205)-F202</f>
        <v>799.04</v>
      </c>
      <c r="G206" s="808">
        <f>SUM(G190:H205)-G202</f>
        <v>454</v>
      </c>
      <c r="H206" s="809"/>
      <c r="I206" s="822">
        <f>F206/G206</f>
        <v>1.76</v>
      </c>
      <c r="J206" s="823"/>
      <c r="K206" s="488">
        <f>SUM(K190:K201)+K204</f>
        <v>1</v>
      </c>
      <c r="L206" s="508">
        <f>SUM(L202:L205)</f>
        <v>1.0036864094372082</v>
      </c>
      <c r="M206" s="231"/>
      <c r="N206" s="239"/>
      <c r="AG206" s="124"/>
    </row>
    <row r="207" spans="3:33" ht="18" customHeight="1" thickTop="1" x14ac:dyDescent="0.2">
      <c r="C207" s="298"/>
      <c r="D207" s="849" t="s">
        <v>119</v>
      </c>
      <c r="E207" s="849"/>
      <c r="F207" s="849"/>
      <c r="G207" s="849"/>
      <c r="H207" s="849"/>
      <c r="I207" s="849"/>
      <c r="J207" s="849"/>
      <c r="K207" s="849"/>
      <c r="L207" s="849"/>
      <c r="M207" s="231"/>
      <c r="N207" s="239"/>
      <c r="AG207" s="124"/>
    </row>
    <row r="208" spans="3:33" ht="18" customHeight="1" x14ac:dyDescent="0.2">
      <c r="C208" s="298"/>
      <c r="D208" s="849"/>
      <c r="E208" s="849"/>
      <c r="F208" s="849"/>
      <c r="G208" s="849"/>
      <c r="H208" s="849"/>
      <c r="I208" s="849"/>
      <c r="J208" s="849"/>
      <c r="K208" s="849"/>
      <c r="L208" s="849"/>
      <c r="M208" s="231"/>
      <c r="N208" s="239"/>
      <c r="AD208" s="124"/>
      <c r="AE208" s="124"/>
      <c r="AF208" s="124"/>
      <c r="AG208" s="124"/>
    </row>
    <row r="209" spans="3:33" ht="18" customHeight="1" thickBot="1" x14ac:dyDescent="0.25">
      <c r="C209" s="310"/>
      <c r="D209" s="850"/>
      <c r="E209" s="850"/>
      <c r="F209" s="850"/>
      <c r="G209" s="850"/>
      <c r="H209" s="850"/>
      <c r="I209" s="850"/>
      <c r="J209" s="850"/>
      <c r="K209" s="850"/>
      <c r="L209" s="850"/>
      <c r="M209" s="284"/>
      <c r="N209" s="302"/>
      <c r="AG209" s="125"/>
    </row>
    <row r="210" spans="3:33" ht="18" customHeight="1" thickTop="1" x14ac:dyDescent="0.25">
      <c r="C210" s="5"/>
      <c r="D210" s="4"/>
      <c r="F210" s="81">
        <f>F206/2+0.1</f>
        <v>399.62</v>
      </c>
      <c r="G210" s="62" t="s">
        <v>28</v>
      </c>
      <c r="L210" s="17"/>
      <c r="M210" s="17"/>
      <c r="N210" s="17"/>
      <c r="O210" s="17"/>
      <c r="P210" s="17"/>
      <c r="Q210" s="126" t="s">
        <v>79</v>
      </c>
      <c r="V210" s="534"/>
    </row>
    <row r="211" spans="3:33" ht="18" customHeight="1" x14ac:dyDescent="0.2">
      <c r="C211" s="5"/>
      <c r="D211" s="4"/>
      <c r="F211" s="42">
        <f>(J164)/G206</f>
        <v>4.185022026431718E-2</v>
      </c>
      <c r="G211" s="425" t="s">
        <v>120</v>
      </c>
      <c r="L211" s="17"/>
      <c r="M211" s="17"/>
      <c r="N211" s="17"/>
      <c r="O211" s="17"/>
      <c r="P211" s="17"/>
      <c r="Q211" s="694" t="s">
        <v>184</v>
      </c>
      <c r="R211" s="695"/>
      <c r="S211" s="695"/>
      <c r="T211" s="695"/>
      <c r="U211" s="695"/>
      <c r="V211" s="534"/>
    </row>
    <row r="212" spans="3:33" ht="18" customHeight="1" x14ac:dyDescent="0.2">
      <c r="C212" s="5"/>
      <c r="D212" s="4"/>
      <c r="L212" s="17"/>
      <c r="M212" s="17"/>
      <c r="N212" s="17"/>
      <c r="O212" s="17"/>
      <c r="P212" s="17"/>
      <c r="Q212" s="695"/>
      <c r="R212" s="695"/>
      <c r="S212" s="695"/>
      <c r="T212" s="695"/>
      <c r="U212" s="695"/>
      <c r="V212" s="534"/>
    </row>
    <row r="213" spans="3:33" ht="15" x14ac:dyDescent="0.2">
      <c r="C213" s="311"/>
      <c r="D213" s="312"/>
      <c r="E213" s="312"/>
      <c r="F213" s="312"/>
      <c r="G213" s="313"/>
      <c r="H213" s="313"/>
      <c r="I213" s="313"/>
      <c r="J213" s="313"/>
      <c r="K213" s="312"/>
      <c r="L213" s="314"/>
      <c r="Q213" s="695"/>
      <c r="R213" s="695"/>
      <c r="S213" s="695"/>
      <c r="T213" s="695"/>
      <c r="U213" s="695"/>
      <c r="V213" s="534"/>
    </row>
    <row r="214" spans="3:33" ht="18" x14ac:dyDescent="0.25">
      <c r="C214" s="315"/>
      <c r="D214" s="704" t="s">
        <v>145</v>
      </c>
      <c r="E214" s="700"/>
      <c r="F214" s="700"/>
      <c r="G214" s="317"/>
      <c r="H214" s="317"/>
      <c r="I214" s="317"/>
      <c r="J214" s="317"/>
      <c r="K214" s="271"/>
      <c r="L214" s="318"/>
      <c r="Q214" s="695"/>
      <c r="R214" s="695"/>
      <c r="S214" s="695"/>
      <c r="T214" s="695"/>
      <c r="U214" s="695"/>
      <c r="V214" s="534"/>
    </row>
    <row r="215" spans="3:33" ht="15" x14ac:dyDescent="0.2">
      <c r="C215" s="319"/>
      <c r="D215" s="798" t="s">
        <v>284</v>
      </c>
      <c r="E215" s="799"/>
      <c r="F215" s="799"/>
      <c r="G215" s="799"/>
      <c r="H215" s="799"/>
      <c r="I215" s="799"/>
      <c r="J215" s="799"/>
      <c r="K215" s="799"/>
      <c r="L215" s="320"/>
      <c r="Q215" s="695"/>
      <c r="R215" s="695"/>
      <c r="S215" s="695"/>
      <c r="T215" s="695"/>
      <c r="U215" s="695"/>
      <c r="V215" s="534"/>
      <c r="Y215" s="214"/>
    </row>
    <row r="216" spans="3:33" ht="15" customHeight="1" x14ac:dyDescent="0.2">
      <c r="C216" s="319"/>
      <c r="D216" s="798"/>
      <c r="E216" s="799"/>
      <c r="F216" s="799"/>
      <c r="G216" s="799"/>
      <c r="H216" s="799"/>
      <c r="I216" s="799"/>
      <c r="J216" s="799"/>
      <c r="K216" s="799"/>
      <c r="L216" s="320"/>
      <c r="Q216" s="695"/>
      <c r="R216" s="695"/>
      <c r="S216" s="695"/>
      <c r="T216" s="695"/>
      <c r="U216" s="695"/>
      <c r="V216" s="534"/>
    </row>
    <row r="217" spans="3:33" ht="15" customHeight="1" x14ac:dyDescent="0.2">
      <c r="C217" s="319"/>
      <c r="D217" s="799"/>
      <c r="E217" s="799"/>
      <c r="F217" s="799"/>
      <c r="G217" s="799"/>
      <c r="H217" s="799"/>
      <c r="I217" s="799"/>
      <c r="J217" s="799"/>
      <c r="K217" s="799"/>
      <c r="L217" s="320"/>
      <c r="Q217" s="696"/>
      <c r="R217" s="696"/>
      <c r="S217" s="696"/>
      <c r="T217" s="696"/>
      <c r="U217" s="696"/>
    </row>
    <row r="218" spans="3:33" ht="23.25" customHeight="1" x14ac:dyDescent="0.2">
      <c r="C218" s="319"/>
      <c r="D218" s="799"/>
      <c r="E218" s="799"/>
      <c r="F218" s="799"/>
      <c r="G218" s="799"/>
      <c r="H218" s="799"/>
      <c r="I218" s="799"/>
      <c r="J218" s="799"/>
      <c r="K218" s="799"/>
      <c r="L218" s="320"/>
      <c r="S218" s="806" t="s">
        <v>121</v>
      </c>
      <c r="T218" s="807"/>
    </row>
    <row r="219" spans="3:33" ht="12.75" customHeight="1" x14ac:dyDescent="0.2">
      <c r="C219" s="321"/>
      <c r="D219" s="799"/>
      <c r="E219" s="799"/>
      <c r="F219" s="799"/>
      <c r="G219" s="799"/>
      <c r="H219" s="799"/>
      <c r="I219" s="799"/>
      <c r="J219" s="799"/>
      <c r="K219" s="799"/>
      <c r="L219" s="320"/>
      <c r="R219" s="814" t="s">
        <v>185</v>
      </c>
      <c r="S219" s="814" t="s">
        <v>186</v>
      </c>
      <c r="T219" s="818" t="s">
        <v>59</v>
      </c>
    </row>
    <row r="220" spans="3:33" ht="12.75" customHeight="1" x14ac:dyDescent="0.2">
      <c r="C220" s="321"/>
      <c r="D220" s="799"/>
      <c r="E220" s="799"/>
      <c r="F220" s="799"/>
      <c r="G220" s="799"/>
      <c r="H220" s="799"/>
      <c r="I220" s="799"/>
      <c r="J220" s="799"/>
      <c r="K220" s="799"/>
      <c r="L220" s="320"/>
      <c r="R220" s="815"/>
      <c r="S220" s="815"/>
      <c r="T220" s="819"/>
    </row>
    <row r="221" spans="3:33" ht="12.75" customHeight="1" x14ac:dyDescent="0.2">
      <c r="C221" s="321"/>
      <c r="D221" s="799"/>
      <c r="E221" s="799"/>
      <c r="F221" s="799"/>
      <c r="G221" s="799"/>
      <c r="H221" s="799"/>
      <c r="I221" s="799"/>
      <c r="J221" s="799"/>
      <c r="K221" s="799"/>
      <c r="L221" s="320"/>
      <c r="R221" s="817"/>
      <c r="S221" s="816"/>
      <c r="T221" s="817"/>
      <c r="AA221" s="535" t="s">
        <v>63</v>
      </c>
      <c r="AB221" s="533"/>
    </row>
    <row r="222" spans="3:33" ht="18" customHeight="1" x14ac:dyDescent="0.2">
      <c r="C222" s="321"/>
      <c r="D222" s="799"/>
      <c r="E222" s="799"/>
      <c r="F222" s="799"/>
      <c r="G222" s="799"/>
      <c r="H222" s="799"/>
      <c r="I222" s="799"/>
      <c r="J222" s="799"/>
      <c r="K222" s="799"/>
      <c r="L222" s="320"/>
      <c r="Q222">
        <v>1</v>
      </c>
      <c r="R222" s="411" t="s">
        <v>152</v>
      </c>
      <c r="S222" s="375">
        <v>2</v>
      </c>
      <c r="T222" s="98" t="str">
        <f>IF(AB222&gt;0,AB222,"")</f>
        <v/>
      </c>
      <c r="Z222" s="539" t="str">
        <f>IF(R222="","X","Y")</f>
        <v>Y</v>
      </c>
      <c r="AA222" s="206">
        <f>IF(Z222="Y",IF(S222&gt;0,S222,0))</f>
        <v>2</v>
      </c>
      <c r="AB222" s="97">
        <f>IF(AA222&gt;0,0,$AE$271)</f>
        <v>0</v>
      </c>
      <c r="AC222">
        <f>IF(S222&gt;0,1,0)</f>
        <v>1</v>
      </c>
      <c r="AD222">
        <f>IF(R222="",0,1)</f>
        <v>1</v>
      </c>
      <c r="AE222">
        <f>AC222-AD222</f>
        <v>0</v>
      </c>
      <c r="AF222">
        <f>IF(Z222="y",IF(AB222&gt;0,1,0),0)</f>
        <v>0</v>
      </c>
    </row>
    <row r="223" spans="3:33" ht="13.5" customHeight="1" thickBot="1" x14ac:dyDescent="0.25">
      <c r="C223" s="321"/>
      <c r="D223" s="322"/>
      <c r="E223" s="322"/>
      <c r="F223" s="322"/>
      <c r="G223" s="322"/>
      <c r="H223" s="322"/>
      <c r="I223" s="322"/>
      <c r="J223" s="322"/>
      <c r="K223" s="322"/>
      <c r="L223" s="320"/>
      <c r="Q223">
        <f t="shared" ref="Q223:Q269" si="76">1+Q222</f>
        <v>2</v>
      </c>
      <c r="R223" s="411" t="s">
        <v>253</v>
      </c>
      <c r="S223" s="375"/>
      <c r="T223" s="98">
        <f>IF(AB223&gt;0,AB223,"")</f>
        <v>1</v>
      </c>
      <c r="Z223" s="539" t="str">
        <f>IF(R223="","X","Y")</f>
        <v>Y</v>
      </c>
      <c r="AA223" s="206">
        <f>IF(Z223="Y",IF(S223&gt;0,S223,0))</f>
        <v>0</v>
      </c>
      <c r="AB223" s="97">
        <f>IF(AA223&gt;0,0,$AE$271)</f>
        <v>1</v>
      </c>
      <c r="AC223">
        <f>IF(S223&gt;0,1,0)</f>
        <v>0</v>
      </c>
      <c r="AD223">
        <f>IF(R223="",0,1)</f>
        <v>1</v>
      </c>
      <c r="AE223">
        <f t="shared" ref="AE223:AE249" si="77">AC223-AD223</f>
        <v>-1</v>
      </c>
      <c r="AF223">
        <f>IF(Z223="y",IF(AB223&gt;0,1,0),0)</f>
        <v>1</v>
      </c>
    </row>
    <row r="224" spans="3:33" ht="12.75" customHeight="1" thickTop="1" x14ac:dyDescent="0.2">
      <c r="C224" s="323"/>
      <c r="D224" s="231"/>
      <c r="E224" s="231"/>
      <c r="F224" s="755" t="str">
        <f>F187</f>
        <v>House Vote Entitlement</v>
      </c>
      <c r="G224" s="851" t="s">
        <v>103</v>
      </c>
      <c r="H224" s="729"/>
      <c r="I224" s="852"/>
      <c r="J224" s="758" t="s">
        <v>98</v>
      </c>
      <c r="K224" s="322"/>
      <c r="L224" s="330"/>
      <c r="Q224">
        <f t="shared" si="76"/>
        <v>3</v>
      </c>
      <c r="R224" s="411" t="s">
        <v>50</v>
      </c>
      <c r="S224" s="375"/>
      <c r="T224" s="98">
        <f>IF(AB224&gt;0,AB224,"")</f>
        <v>1</v>
      </c>
      <c r="Z224" s="539" t="str">
        <f>IF(R224="","X","Y")</f>
        <v>Y</v>
      </c>
      <c r="AA224" s="206">
        <f>IF(Z224="Y",IF(S224&gt;0,S224,0))</f>
        <v>0</v>
      </c>
      <c r="AB224" s="97">
        <f>IF(AA224&gt;0,0,$AE$271)</f>
        <v>1</v>
      </c>
      <c r="AC224">
        <f>IF(S224&gt;0,1,0)</f>
        <v>0</v>
      </c>
      <c r="AD224">
        <f>IF(R224="",0,1)</f>
        <v>1</v>
      </c>
      <c r="AE224">
        <f t="shared" si="77"/>
        <v>-1</v>
      </c>
      <c r="AF224">
        <f>IF(Z224="y",IF(AB224&gt;0,1,0),0)</f>
        <v>1</v>
      </c>
    </row>
    <row r="225" spans="3:32" ht="17.25" customHeight="1" x14ac:dyDescent="0.2">
      <c r="C225" s="323"/>
      <c r="D225" s="231"/>
      <c r="E225" s="231"/>
      <c r="F225" s="756"/>
      <c r="G225" s="853"/>
      <c r="H225" s="854"/>
      <c r="I225" s="855"/>
      <c r="J225" s="759"/>
      <c r="K225" s="322"/>
      <c r="L225" s="330"/>
      <c r="Q225">
        <f t="shared" si="76"/>
        <v>4</v>
      </c>
      <c r="R225" s="411" t="s">
        <v>51</v>
      </c>
      <c r="S225" s="375"/>
      <c r="T225" s="98">
        <f>IF(AB225&gt;0,AB225,"")</f>
        <v>1</v>
      </c>
      <c r="Z225" s="539" t="str">
        <f>IF(R225="","X","Y")</f>
        <v>Y</v>
      </c>
      <c r="AA225" s="206">
        <f>IF(Z225="Y",IF(S225&gt;0,S225,0))</f>
        <v>0</v>
      </c>
      <c r="AB225" s="97">
        <f>IF(AA225&gt;0,0,$AE$271)</f>
        <v>1</v>
      </c>
      <c r="AC225">
        <f>IF(S225&gt;0,1,0)</f>
        <v>0</v>
      </c>
      <c r="AD225">
        <f>IF(R225="",0,1)</f>
        <v>1</v>
      </c>
      <c r="AE225">
        <f t="shared" si="77"/>
        <v>-1</v>
      </c>
      <c r="AF225">
        <f>IF(Z225="y",IF(AB225&gt;0,1,0),0)</f>
        <v>1</v>
      </c>
    </row>
    <row r="226" spans="3:32" ht="15.75" customHeight="1" thickBot="1" x14ac:dyDescent="0.25">
      <c r="C226" s="315"/>
      <c r="D226" s="271"/>
      <c r="E226" s="271"/>
      <c r="F226" s="757"/>
      <c r="G226" s="764" t="s">
        <v>77</v>
      </c>
      <c r="H226" s="765"/>
      <c r="I226" s="766"/>
      <c r="J226" s="760"/>
      <c r="K226" s="322"/>
      <c r="L226" s="318"/>
      <c r="Q226">
        <f t="shared" si="76"/>
        <v>5</v>
      </c>
      <c r="R226" s="411" t="s">
        <v>52</v>
      </c>
      <c r="S226" s="375">
        <v>2</v>
      </c>
      <c r="T226" s="98" t="str">
        <f>IF(AB226&gt;0,AB226,"")</f>
        <v/>
      </c>
      <c r="Z226" s="539" t="str">
        <f>IF(R226="","X","Y")</f>
        <v>Y</v>
      </c>
      <c r="AA226" s="206">
        <f>IF(Z226="Y",IF(S226&gt;0,S226,0))</f>
        <v>2</v>
      </c>
      <c r="AB226" s="97">
        <f>IF(AA226&gt;0,0,$AE$271)</f>
        <v>0</v>
      </c>
      <c r="AC226">
        <f>IF(S226&gt;0,1,0)</f>
        <v>1</v>
      </c>
      <c r="AD226">
        <f>IF(R226="",0,1)</f>
        <v>1</v>
      </c>
      <c r="AE226">
        <f t="shared" si="77"/>
        <v>0</v>
      </c>
      <c r="AF226">
        <f>IF(Z226="y",IF(AB226&gt;0,1,0),0)</f>
        <v>0</v>
      </c>
    </row>
    <row r="227" spans="3:32" ht="19.5" customHeight="1" thickTop="1" x14ac:dyDescent="0.2">
      <c r="C227" s="315"/>
      <c r="D227" s="324">
        <v>1</v>
      </c>
      <c r="E227" s="165" t="str">
        <f>E43</f>
        <v>Lincoln Republicans</v>
      </c>
      <c r="F227" s="166">
        <f>J123</f>
        <v>124.99999999999999</v>
      </c>
      <c r="G227" s="167"/>
      <c r="H227" s="376">
        <v>5</v>
      </c>
      <c r="I227" s="168"/>
      <c r="J227" s="169">
        <f t="shared" ref="J227:J231" si="78">IF(F227="Excluded"," ",IF(H227=0," ",F227/H227))</f>
        <v>24.999999999999996</v>
      </c>
      <c r="K227" s="322"/>
      <c r="L227" s="330"/>
      <c r="Q227">
        <f t="shared" si="76"/>
        <v>6</v>
      </c>
      <c r="R227" s="411" t="s">
        <v>53</v>
      </c>
      <c r="S227" s="375"/>
      <c r="T227" s="98">
        <f>IF(AB227&gt;0,AB227,"")</f>
        <v>1</v>
      </c>
      <c r="Z227" s="539" t="str">
        <f>IF(R227="","X","Y")</f>
        <v>Y</v>
      </c>
      <c r="AA227" s="206">
        <f>IF(Z227="Y",IF(S227&gt;0,S227,0))</f>
        <v>0</v>
      </c>
      <c r="AB227" s="97">
        <f>IF(AA227&gt;0,0,$AE$271)</f>
        <v>1</v>
      </c>
      <c r="AC227">
        <f>IF(S227&gt;0,1,0)</f>
        <v>0</v>
      </c>
      <c r="AD227">
        <f>IF(R227="",0,1)</f>
        <v>1</v>
      </c>
      <c r="AE227">
        <f t="shared" si="77"/>
        <v>-1</v>
      </c>
      <c r="AF227">
        <f>IF(Z227="y",IF(AB227&gt;0,1,0),0)</f>
        <v>1</v>
      </c>
    </row>
    <row r="228" spans="3:32" ht="15" customHeight="1" x14ac:dyDescent="0.2">
      <c r="C228" s="315"/>
      <c r="D228" s="324">
        <v>2</v>
      </c>
      <c r="E228" s="170" t="str">
        <f>E44</f>
        <v>Democratic Party</v>
      </c>
      <c r="F228" s="171">
        <f>J124</f>
        <v>200</v>
      </c>
      <c r="G228" s="172"/>
      <c r="H228" s="377">
        <v>5</v>
      </c>
      <c r="I228" s="173"/>
      <c r="J228" s="174">
        <f t="shared" si="78"/>
        <v>40</v>
      </c>
      <c r="K228" s="322"/>
      <c r="L228" s="330"/>
      <c r="Q228">
        <f t="shared" si="76"/>
        <v>7</v>
      </c>
      <c r="R228" s="411" t="s">
        <v>92</v>
      </c>
      <c r="S228" s="375"/>
      <c r="T228" s="98">
        <f>IF(AB228&gt;0,AB228,"")</f>
        <v>1</v>
      </c>
      <c r="U228" s="928" t="s">
        <v>188</v>
      </c>
      <c r="V228" s="899"/>
      <c r="Z228" s="539" t="str">
        <f>IF(R228="","X","Y")</f>
        <v>Y</v>
      </c>
      <c r="AA228" s="206">
        <f>IF(Z228="Y",IF(S228&gt;0,S228,0))</f>
        <v>0</v>
      </c>
      <c r="AB228" s="97">
        <f>IF(AA228&gt;0,0,$AE$271)</f>
        <v>1</v>
      </c>
      <c r="AC228">
        <f>IF(S228&gt;0,1,0)</f>
        <v>0</v>
      </c>
      <c r="AD228">
        <f>IF(R228="",0,1)</f>
        <v>1</v>
      </c>
      <c r="AE228">
        <f t="shared" si="77"/>
        <v>-1</v>
      </c>
      <c r="AF228">
        <f>IF(Z228="y",IF(AB228&gt;0,1,0),0)</f>
        <v>1</v>
      </c>
    </row>
    <row r="229" spans="3:32" ht="15" customHeight="1" x14ac:dyDescent="0.2">
      <c r="C229" s="315"/>
      <c r="D229" s="324">
        <v>3</v>
      </c>
      <c r="E229" s="170" t="str">
        <f>E45</f>
        <v>America First Party</v>
      </c>
      <c r="F229" s="171">
        <f>J125</f>
        <v>150</v>
      </c>
      <c r="G229" s="172"/>
      <c r="H229" s="377">
        <v>2</v>
      </c>
      <c r="I229" s="173"/>
      <c r="J229" s="174">
        <f t="shared" si="78"/>
        <v>75</v>
      </c>
      <c r="K229" s="322"/>
      <c r="L229" s="330"/>
      <c r="Q229">
        <f t="shared" si="76"/>
        <v>8</v>
      </c>
      <c r="R229" s="411" t="s">
        <v>54</v>
      </c>
      <c r="S229" s="375"/>
      <c r="T229" s="98">
        <f>IF(AB229&gt;0,AB229,"")</f>
        <v>1</v>
      </c>
      <c r="U229" s="928"/>
      <c r="V229" s="899"/>
      <c r="Z229" s="539" t="str">
        <f>IF(R229="","X","Y")</f>
        <v>Y</v>
      </c>
      <c r="AA229" s="206">
        <f>IF(Z229="Y",IF(S229&gt;0,S229,0))</f>
        <v>0</v>
      </c>
      <c r="AB229" s="97">
        <f>IF(AA229&gt;0,0,$AE$271)</f>
        <v>1</v>
      </c>
      <c r="AC229">
        <f>IF(S229&gt;0,1,0)</f>
        <v>0</v>
      </c>
      <c r="AD229">
        <f>IF(R229="",0,1)</f>
        <v>1</v>
      </c>
      <c r="AE229">
        <f t="shared" si="77"/>
        <v>-1</v>
      </c>
      <c r="AF229">
        <f>IF(Z229="y",IF(AB229&gt;0,1,0),0)</f>
        <v>1</v>
      </c>
    </row>
    <row r="230" spans="3:32" ht="15" customHeight="1" x14ac:dyDescent="0.2">
      <c r="C230" s="315"/>
      <c r="D230" s="324">
        <v>4</v>
      </c>
      <c r="E230" s="170" t="str">
        <f>E46</f>
        <v>Progressive Democratic Party</v>
      </c>
      <c r="F230" s="171">
        <f>J126</f>
        <v>124.99999999999999</v>
      </c>
      <c r="G230" s="172"/>
      <c r="H230" s="377">
        <v>2</v>
      </c>
      <c r="I230" s="173"/>
      <c r="J230" s="174">
        <f t="shared" si="78"/>
        <v>62.499999999999993</v>
      </c>
      <c r="K230" s="322"/>
      <c r="L230" s="330"/>
      <c r="Q230">
        <f t="shared" si="76"/>
        <v>9</v>
      </c>
      <c r="R230" s="411" t="s">
        <v>55</v>
      </c>
      <c r="S230" s="375"/>
      <c r="T230" s="98">
        <f>IF(AB230&gt;0,AB230,"")</f>
        <v>1</v>
      </c>
      <c r="U230" s="929"/>
      <c r="V230" s="696"/>
      <c r="Z230" s="539" t="str">
        <f>IF(R230="","X","Y")</f>
        <v>Y</v>
      </c>
      <c r="AA230" s="206">
        <f>IF(Z230="Y",IF(S230&gt;0,S230,0))</f>
        <v>0</v>
      </c>
      <c r="AB230" s="97">
        <f>IF(AA230&gt;0,0,$AE$271)</f>
        <v>1</v>
      </c>
      <c r="AC230">
        <f>IF(S230&gt;0,1,0)</f>
        <v>0</v>
      </c>
      <c r="AD230">
        <f>IF(R230="",0,1)</f>
        <v>1</v>
      </c>
      <c r="AE230">
        <f t="shared" si="77"/>
        <v>-1</v>
      </c>
      <c r="AF230">
        <f>IF(Z230="y",IF(AB230&gt;0,1,0),0)</f>
        <v>1</v>
      </c>
    </row>
    <row r="231" spans="3:32" ht="15" customHeight="1" x14ac:dyDescent="0.2">
      <c r="C231" s="315"/>
      <c r="D231" s="324">
        <v>5</v>
      </c>
      <c r="E231" s="170" t="str">
        <f>E47</f>
        <v>Green Party</v>
      </c>
      <c r="F231" s="171">
        <f>J127</f>
        <v>75</v>
      </c>
      <c r="G231" s="172"/>
      <c r="H231" s="377">
        <v>1</v>
      </c>
      <c r="I231" s="173"/>
      <c r="J231" s="174">
        <f t="shared" si="78"/>
        <v>75</v>
      </c>
      <c r="K231" s="322"/>
      <c r="L231" s="330"/>
      <c r="Q231">
        <f t="shared" si="76"/>
        <v>10</v>
      </c>
      <c r="R231" s="411" t="s">
        <v>56</v>
      </c>
      <c r="S231" s="375">
        <v>3</v>
      </c>
      <c r="T231" s="98" t="str">
        <f>IF(AB231&gt;0,AB231,"")</f>
        <v/>
      </c>
      <c r="Z231" s="539" t="str">
        <f>IF(R231="","X","Y")</f>
        <v>Y</v>
      </c>
      <c r="AA231" s="206">
        <f>IF(Z231="Y",IF(S231&gt;0,S231,0))</f>
        <v>3</v>
      </c>
      <c r="AB231" s="97">
        <f>IF(AA231&gt;0,0,$AE$271)</f>
        <v>0</v>
      </c>
      <c r="AC231">
        <f>IF(S231&gt;0,1,0)</f>
        <v>1</v>
      </c>
      <c r="AD231">
        <f>IF(R231="",0,1)</f>
        <v>1</v>
      </c>
      <c r="AE231">
        <f t="shared" si="77"/>
        <v>0</v>
      </c>
      <c r="AF231">
        <f>IF(Z231="y",IF(AB231&gt;0,1,0),0)</f>
        <v>0</v>
      </c>
    </row>
    <row r="232" spans="3:32" ht="15" customHeight="1" x14ac:dyDescent="0.2">
      <c r="C232" s="315"/>
      <c r="D232" s="324">
        <v>6</v>
      </c>
      <c r="E232" s="170" t="str">
        <f>E48</f>
        <v>Libertarian Party</v>
      </c>
      <c r="F232" s="171">
        <f>J128</f>
        <v>100</v>
      </c>
      <c r="G232" s="172"/>
      <c r="H232" s="377">
        <v>2</v>
      </c>
      <c r="I232" s="173"/>
      <c r="J232" s="174">
        <f>IF(F232="Excluded"," ",IF(H232=0," ",F232/H232))</f>
        <v>50</v>
      </c>
      <c r="K232" s="322"/>
      <c r="L232" s="330"/>
      <c r="Q232">
        <f t="shared" si="76"/>
        <v>11</v>
      </c>
      <c r="R232" s="411" t="s">
        <v>91</v>
      </c>
      <c r="S232" s="375"/>
      <c r="T232" s="98">
        <f>IF(AB232&gt;0,AB232,"")</f>
        <v>1</v>
      </c>
      <c r="Z232" s="539" t="str">
        <f>IF(R232="","X","Y")</f>
        <v>Y</v>
      </c>
      <c r="AA232" s="206">
        <f>IF(Z232="Y",IF(S232&gt;0,S232,0))</f>
        <v>0</v>
      </c>
      <c r="AB232" s="97">
        <f>IF(AA232&gt;0,0,$AE$271)</f>
        <v>1</v>
      </c>
      <c r="AC232">
        <f>IF(S232&gt;0,1,0)</f>
        <v>0</v>
      </c>
      <c r="AD232">
        <f>IF(R232="",0,1)</f>
        <v>1</v>
      </c>
      <c r="AE232">
        <f t="shared" si="77"/>
        <v>-1</v>
      </c>
      <c r="AF232">
        <f>IF(Z232="y",IF(AB232&gt;0,1,0),0)</f>
        <v>1</v>
      </c>
    </row>
    <row r="233" spans="3:32" ht="15" customHeight="1" x14ac:dyDescent="0.2">
      <c r="C233" s="315"/>
      <c r="D233" s="324">
        <v>7</v>
      </c>
      <c r="E233" s="170" t="str">
        <f>E49</f>
        <v>New West Party</v>
      </c>
      <c r="F233" s="171">
        <f>J129</f>
        <v>2</v>
      </c>
      <c r="G233" s="172"/>
      <c r="H233" s="377">
        <v>1</v>
      </c>
      <c r="I233" s="173"/>
      <c r="J233" s="174">
        <f t="shared" ref="J233:J238" si="79">IF(F233="Excluded"," ",IF(H233=0," ",F233/H233))</f>
        <v>2</v>
      </c>
      <c r="K233" s="322"/>
      <c r="L233" s="330"/>
      <c r="Q233">
        <f t="shared" si="76"/>
        <v>12</v>
      </c>
      <c r="R233" s="411" t="s">
        <v>57</v>
      </c>
      <c r="S233" s="375"/>
      <c r="T233" s="98">
        <f>IF(AB233&gt;0,AB233,"")</f>
        <v>1</v>
      </c>
      <c r="Z233" s="539" t="str">
        <f>IF(R233="","X","Y")</f>
        <v>Y</v>
      </c>
      <c r="AA233" s="206">
        <f>IF(Z233="Y",IF(S233&gt;0,S233,0))</f>
        <v>0</v>
      </c>
      <c r="AB233" s="97">
        <f>IF(AA233&gt;0,0,$AE$271)</f>
        <v>1</v>
      </c>
      <c r="AC233">
        <f>IF(S233&gt;0,1,0)</f>
        <v>0</v>
      </c>
      <c r="AD233">
        <f>IF(R233="",0,1)</f>
        <v>1</v>
      </c>
      <c r="AE233">
        <f t="shared" si="77"/>
        <v>-1</v>
      </c>
      <c r="AF233">
        <f>IF(Z233="y",IF(AB233&gt;0,1,0),0)</f>
        <v>1</v>
      </c>
    </row>
    <row r="234" spans="3:32" ht="15" customHeight="1" x14ac:dyDescent="0.2">
      <c r="C234" s="315"/>
      <c r="D234" s="324">
        <v>8</v>
      </c>
      <c r="E234" s="170" t="str">
        <f>E50</f>
        <v>First Americans Party</v>
      </c>
      <c r="F234" s="171">
        <f>J130</f>
        <v>15</v>
      </c>
      <c r="G234" s="172"/>
      <c r="H234" s="377"/>
      <c r="I234" s="173"/>
      <c r="J234" s="174" t="str">
        <f t="shared" si="79"/>
        <v xml:space="preserve"> </v>
      </c>
      <c r="K234" s="322"/>
      <c r="L234" s="330"/>
      <c r="Q234">
        <f t="shared" si="76"/>
        <v>13</v>
      </c>
      <c r="R234" s="411" t="s">
        <v>58</v>
      </c>
      <c r="S234" s="375"/>
      <c r="T234" s="98">
        <f>IF(AB234&gt;0,AB234,"")</f>
        <v>1</v>
      </c>
      <c r="Z234" s="539" t="str">
        <f>IF(R234="","X","Y")</f>
        <v>Y</v>
      </c>
      <c r="AA234" s="206">
        <f>IF(Z234="Y",IF(S234&gt;0,S234,0))</f>
        <v>0</v>
      </c>
      <c r="AB234" s="97">
        <f>IF(AA234&gt;0,0,$AE$271)</f>
        <v>1</v>
      </c>
      <c r="AC234">
        <f>IF(S234&gt;0,1,0)</f>
        <v>0</v>
      </c>
      <c r="AD234">
        <f>IF(R234="",0,1)</f>
        <v>1</v>
      </c>
      <c r="AE234">
        <f t="shared" si="77"/>
        <v>-1</v>
      </c>
      <c r="AF234">
        <f>IF(Z234="y",IF(AB234&gt;0,1,0),0)</f>
        <v>1</v>
      </c>
    </row>
    <row r="235" spans="3:32" ht="15" customHeight="1" x14ac:dyDescent="0.2">
      <c r="C235" s="315"/>
      <c r="D235" s="324">
        <v>9</v>
      </c>
      <c r="E235" s="170" t="str">
        <f>E51</f>
        <v>New Morality Party</v>
      </c>
      <c r="F235" s="171" t="str">
        <f>J131</f>
        <v>Excluded</v>
      </c>
      <c r="G235" s="172"/>
      <c r="H235" s="377">
        <v>0</v>
      </c>
      <c r="I235" s="173"/>
      <c r="J235" s="174" t="str">
        <f t="shared" si="79"/>
        <v xml:space="preserve"> </v>
      </c>
      <c r="K235" s="322"/>
      <c r="L235" s="330"/>
      <c r="Q235">
        <f t="shared" si="76"/>
        <v>14</v>
      </c>
      <c r="R235" s="411" t="s">
        <v>167</v>
      </c>
      <c r="S235" s="375">
        <v>2.5</v>
      </c>
      <c r="T235" s="98" t="str">
        <f>IF(AB235&gt;0,AB235,"")</f>
        <v/>
      </c>
      <c r="Z235" s="539" t="str">
        <f>IF(R235="","X","Y")</f>
        <v>Y</v>
      </c>
      <c r="AA235" s="206">
        <f>IF(Z235="Y",IF(S235&gt;0,S235,0))</f>
        <v>2.5</v>
      </c>
      <c r="AB235" s="97">
        <f>IF(AA235&gt;0,0,$AE$271)</f>
        <v>0</v>
      </c>
      <c r="AC235">
        <f>IF(S235&gt;0,1,0)</f>
        <v>1</v>
      </c>
      <c r="AD235">
        <f>IF(R235="",0,1)</f>
        <v>1</v>
      </c>
      <c r="AE235">
        <f t="shared" si="77"/>
        <v>0</v>
      </c>
      <c r="AF235">
        <f>IF(Z235="y",IF(AB235&gt;0,1,0),0)</f>
        <v>0</v>
      </c>
    </row>
    <row r="236" spans="3:32" ht="15" customHeight="1" x14ac:dyDescent="0.2">
      <c r="C236" s="315"/>
      <c r="D236" s="324">
        <v>10</v>
      </c>
      <c r="E236" s="170" t="str">
        <f>E52</f>
        <v>Communist Party of America</v>
      </c>
      <c r="F236" s="171" t="str">
        <f>J132</f>
        <v>Excluded</v>
      </c>
      <c r="G236" s="172"/>
      <c r="H236" s="377">
        <v>5</v>
      </c>
      <c r="I236" s="173"/>
      <c r="J236" s="174" t="str">
        <f t="shared" si="79"/>
        <v xml:space="preserve"> </v>
      </c>
      <c r="K236" s="322"/>
      <c r="L236" s="330"/>
      <c r="Q236">
        <f t="shared" si="76"/>
        <v>15</v>
      </c>
      <c r="R236" s="411" t="s">
        <v>61</v>
      </c>
      <c r="S236" s="375">
        <v>2</v>
      </c>
      <c r="T236" s="98" t="str">
        <f>IF(AB236&gt;0,AB236,"")</f>
        <v/>
      </c>
      <c r="Z236" s="539" t="str">
        <f>IF(R236="","X","Y")</f>
        <v>Y</v>
      </c>
      <c r="AA236" s="206">
        <f>IF(Z236="Y",IF(S236&gt;0,S236,0))</f>
        <v>2</v>
      </c>
      <c r="AB236" s="97">
        <f>IF(AA236&gt;0,0,$AE$271)</f>
        <v>0</v>
      </c>
      <c r="AC236">
        <f>IF(S236&gt;0,1,0)</f>
        <v>1</v>
      </c>
      <c r="AD236">
        <f>IF(R236="",0,1)</f>
        <v>1</v>
      </c>
      <c r="AE236">
        <f t="shared" si="77"/>
        <v>0</v>
      </c>
      <c r="AF236">
        <f>IF(Z236="y",IF(AB236&gt;0,1,0),0)</f>
        <v>0</v>
      </c>
    </row>
    <row r="237" spans="3:32" ht="15" customHeight="1" x14ac:dyDescent="0.2">
      <c r="C237" s="315"/>
      <c r="D237" s="324">
        <v>11</v>
      </c>
      <c r="E237" s="170" t="str">
        <f>E53</f>
        <v>Other Party</v>
      </c>
      <c r="F237" s="171" t="str">
        <f>J133</f>
        <v>Excluded</v>
      </c>
      <c r="G237" s="172"/>
      <c r="H237" s="377"/>
      <c r="I237" s="173"/>
      <c r="J237" s="174" t="str">
        <f t="shared" si="79"/>
        <v xml:space="preserve"> </v>
      </c>
      <c r="K237" s="322"/>
      <c r="L237" s="330"/>
      <c r="Q237">
        <f t="shared" si="76"/>
        <v>16</v>
      </c>
      <c r="R237" s="411" t="s">
        <v>60</v>
      </c>
      <c r="S237" s="375"/>
      <c r="T237" s="98">
        <f>IF(AB237&gt;0,AB237,"")</f>
        <v>1</v>
      </c>
      <c r="Z237" s="539" t="str">
        <f>IF(R237="","X","Y")</f>
        <v>Y</v>
      </c>
      <c r="AA237" s="206">
        <f>IF(Z237="Y",IF(S237&gt;0,S237,0))</f>
        <v>0</v>
      </c>
      <c r="AB237" s="97">
        <f>IF(AA237&gt;0,0,$AE$271)</f>
        <v>1</v>
      </c>
      <c r="AC237">
        <f>IF(S237&gt;0,1,0)</f>
        <v>0</v>
      </c>
      <c r="AD237">
        <f>IF(R237="",0,1)</f>
        <v>1</v>
      </c>
      <c r="AE237">
        <f t="shared" si="77"/>
        <v>-1</v>
      </c>
      <c r="AF237">
        <f>IF(Z237="y",IF(AB237&gt;0,1,0),0)</f>
        <v>1</v>
      </c>
    </row>
    <row r="238" spans="3:32" ht="14.25" x14ac:dyDescent="0.2">
      <c r="C238" s="315"/>
      <c r="D238" s="324">
        <v>12</v>
      </c>
      <c r="E238" s="170" t="str">
        <f>E54</f>
        <v>Other (non-winning) parties*</v>
      </c>
      <c r="F238" s="171" t="str">
        <f>J134</f>
        <v>Excluded</v>
      </c>
      <c r="G238" s="172"/>
      <c r="H238" s="377"/>
      <c r="I238" s="173"/>
      <c r="J238" s="174" t="str">
        <f t="shared" si="79"/>
        <v xml:space="preserve"> </v>
      </c>
      <c r="K238" s="322"/>
      <c r="L238" s="330"/>
      <c r="Q238">
        <f t="shared" si="76"/>
        <v>17</v>
      </c>
      <c r="R238" s="411" t="s">
        <v>64</v>
      </c>
      <c r="S238" s="375"/>
      <c r="T238" s="98">
        <f>IF(AB238&gt;0,AB238,"")</f>
        <v>1</v>
      </c>
      <c r="Z238" s="539" t="str">
        <f>IF(R238="","X","Y")</f>
        <v>Y</v>
      </c>
      <c r="AA238" s="206">
        <f>IF(Z238="Y",IF(S238&gt;0,S238,0))</f>
        <v>0</v>
      </c>
      <c r="AB238" s="97">
        <f>IF(AA238&gt;0,0,$AE$271)</f>
        <v>1</v>
      </c>
      <c r="AC238">
        <f>IF(S238&gt;0,1,0)</f>
        <v>0</v>
      </c>
      <c r="AD238">
        <f>IF(R238="",0,1)</f>
        <v>1</v>
      </c>
      <c r="AE238">
        <f t="shared" si="77"/>
        <v>-1</v>
      </c>
      <c r="AF238">
        <f>IF(Z238="y",IF(AB238&gt;0,1,0),0)</f>
        <v>1</v>
      </c>
    </row>
    <row r="239" spans="3:32" ht="15" thickBot="1" x14ac:dyDescent="0.25">
      <c r="C239" s="315"/>
      <c r="D239" s="324"/>
      <c r="E239" s="170" t="s">
        <v>70</v>
      </c>
      <c r="F239" s="171">
        <f>H239*I204</f>
        <v>3.52</v>
      </c>
      <c r="G239" s="172"/>
      <c r="H239" s="377">
        <v>2</v>
      </c>
      <c r="I239" s="173"/>
      <c r="J239" s="175">
        <f>H239*I204</f>
        <v>3.52</v>
      </c>
      <c r="K239" s="322"/>
      <c r="L239" s="330"/>
      <c r="Q239">
        <f t="shared" si="76"/>
        <v>18</v>
      </c>
      <c r="R239" s="411" t="s">
        <v>65</v>
      </c>
      <c r="S239" s="375"/>
      <c r="T239" s="98">
        <f>IF(AB239&gt;0,AB239,"")</f>
        <v>1</v>
      </c>
      <c r="Z239" s="539" t="str">
        <f>IF(R239="","X","Y")</f>
        <v>Y</v>
      </c>
      <c r="AA239" s="206">
        <f>IF(Z239="Y",IF(S239&gt;0,S239,0))</f>
        <v>0</v>
      </c>
      <c r="AB239" s="97">
        <f>IF(AA239&gt;0,0,$AE$271)</f>
        <v>1</v>
      </c>
      <c r="AC239">
        <f>IF(S239&gt;0,1,0)</f>
        <v>0</v>
      </c>
      <c r="AD239">
        <f>IF(R239="",0,1)</f>
        <v>1</v>
      </c>
      <c r="AE239">
        <f t="shared" si="77"/>
        <v>-1</v>
      </c>
      <c r="AF239">
        <f>IF(Z239="y",IF(AB239&gt;0,1,0),0)</f>
        <v>1</v>
      </c>
    </row>
    <row r="240" spans="3:32" ht="17.25" customHeight="1" thickTop="1" thickBot="1" x14ac:dyDescent="0.25">
      <c r="C240" s="315"/>
      <c r="D240" s="324"/>
      <c r="E240" s="176" t="s">
        <v>44</v>
      </c>
      <c r="F240" s="177">
        <f>SUM(F227:F239)</f>
        <v>795.52</v>
      </c>
      <c r="G240" s="178"/>
      <c r="H240" s="179">
        <f>SUM(H227:H239)</f>
        <v>25</v>
      </c>
      <c r="I240" s="180"/>
      <c r="J240" s="329"/>
      <c r="K240" s="322"/>
      <c r="L240" s="330"/>
      <c r="Q240">
        <f t="shared" si="76"/>
        <v>19</v>
      </c>
      <c r="R240" s="411" t="s">
        <v>66</v>
      </c>
      <c r="S240" s="375">
        <v>2</v>
      </c>
      <c r="T240" s="98" t="str">
        <f>IF(AB240&gt;0,AB240,"")</f>
        <v/>
      </c>
      <c r="Z240" s="539" t="str">
        <f>IF(R240="","X","Y")</f>
        <v>Y</v>
      </c>
      <c r="AA240" s="206">
        <f>IF(Z240="Y",IF(S240&gt;0,S240,0))</f>
        <v>2</v>
      </c>
      <c r="AB240" s="97">
        <f>IF(AA240&gt;0,0,$AE$271)</f>
        <v>0</v>
      </c>
      <c r="AC240">
        <f>IF(S240&gt;0,1,0)</f>
        <v>1</v>
      </c>
      <c r="AD240">
        <f>IF(R240="",0,1)</f>
        <v>1</v>
      </c>
      <c r="AE240">
        <f t="shared" si="77"/>
        <v>0</v>
      </c>
      <c r="AF240">
        <f>IF(Z240="y",IF(AB240&gt;0,1,0),0)</f>
        <v>0</v>
      </c>
    </row>
    <row r="241" spans="3:32" ht="13.5" thickTop="1" x14ac:dyDescent="0.2">
      <c r="C241" s="325"/>
      <c r="D241" s="326"/>
      <c r="E241" s="326"/>
      <c r="F241" s="326"/>
      <c r="G241" s="326"/>
      <c r="H241" s="326"/>
      <c r="I241" s="326"/>
      <c r="J241" s="326"/>
      <c r="K241" s="327"/>
      <c r="L241" s="328"/>
      <c r="Q241">
        <f t="shared" si="76"/>
        <v>20</v>
      </c>
      <c r="R241" s="411" t="s">
        <v>67</v>
      </c>
      <c r="S241" s="375">
        <v>1.5</v>
      </c>
      <c r="T241" s="98" t="str">
        <f>IF(AB241&gt;0,AB241,"")</f>
        <v/>
      </c>
      <c r="Z241" s="539" t="str">
        <f>IF(R241="","X","Y")</f>
        <v>Y</v>
      </c>
      <c r="AA241" s="206">
        <f>IF(Z241="Y",IF(S241&gt;0,S241,0))</f>
        <v>1.5</v>
      </c>
      <c r="AB241" s="97">
        <f>IF(AA241&gt;0,0,$AE$271)</f>
        <v>0</v>
      </c>
      <c r="AC241">
        <f>IF(S241&gt;0,1,0)</f>
        <v>1</v>
      </c>
      <c r="AD241">
        <f>IF(R241="",0,1)</f>
        <v>1</v>
      </c>
      <c r="AE241">
        <f t="shared" si="77"/>
        <v>0</v>
      </c>
      <c r="AF241">
        <f>IF(Z241="y",IF(AB241&gt;0,1,0),0)</f>
        <v>0</v>
      </c>
    </row>
    <row r="242" spans="3:32" ht="12.75" customHeight="1" x14ac:dyDescent="0.2">
      <c r="Q242">
        <f t="shared" si="76"/>
        <v>21</v>
      </c>
      <c r="R242" s="540" t="s">
        <v>187</v>
      </c>
      <c r="S242" s="375"/>
      <c r="T242" s="98">
        <f>IF(AB242&gt;0,AB242,"")</f>
        <v>1</v>
      </c>
      <c r="Z242" s="539" t="str">
        <f>IF(R242="","X","Y")</f>
        <v>Y</v>
      </c>
      <c r="AA242" s="206">
        <f>IF(Z242="Y",IF(S242&gt;0,S242,0))</f>
        <v>0</v>
      </c>
      <c r="AB242" s="97">
        <f>IF(AA242&gt;0,0,$AE$271)</f>
        <v>1</v>
      </c>
      <c r="AC242">
        <f>IF(S242&gt;0,1,0)</f>
        <v>0</v>
      </c>
      <c r="AD242">
        <f>IF(R242="",0,1)</f>
        <v>1</v>
      </c>
      <c r="AE242">
        <f t="shared" si="77"/>
        <v>-1</v>
      </c>
      <c r="AF242">
        <f>IF(Z242="y",IF(AB242&gt;0,1,0),0)</f>
        <v>1</v>
      </c>
    </row>
    <row r="243" spans="3:32" ht="12" customHeight="1" x14ac:dyDescent="0.2">
      <c r="C243" s="311"/>
      <c r="D243" s="312"/>
      <c r="E243" s="312"/>
      <c r="F243" s="312"/>
      <c r="G243" s="313"/>
      <c r="H243" s="313"/>
      <c r="I243" s="313"/>
      <c r="J243" s="313"/>
      <c r="K243" s="312"/>
      <c r="L243" s="314"/>
      <c r="Q243">
        <f t="shared" si="76"/>
        <v>22</v>
      </c>
      <c r="R243" s="540" t="s">
        <v>286</v>
      </c>
      <c r="S243" s="375"/>
      <c r="T243" s="98">
        <f>IF(AB243&gt;0,AB243,"")</f>
        <v>1</v>
      </c>
      <c r="Z243" s="539" t="str">
        <f>IF(R243="","X","Y")</f>
        <v>Y</v>
      </c>
      <c r="AA243" s="206">
        <f>IF(Z243="Y",IF(S243&gt;0,S243,0))</f>
        <v>0</v>
      </c>
      <c r="AB243" s="97">
        <f>IF(AA243&gt;0,0,$AE$271)</f>
        <v>1</v>
      </c>
      <c r="AC243">
        <f>IF(S243&gt;0,1,0)</f>
        <v>0</v>
      </c>
      <c r="AD243">
        <f>IF(R243="",0,1)</f>
        <v>1</v>
      </c>
      <c r="AE243">
        <f t="shared" si="77"/>
        <v>-1</v>
      </c>
      <c r="AF243">
        <f>IF(Z243="y",IF(AB243&gt;0,1,0),0)</f>
        <v>1</v>
      </c>
    </row>
    <row r="244" spans="3:32" ht="14.1" customHeight="1" x14ac:dyDescent="0.25">
      <c r="C244" s="331"/>
      <c r="D244" s="316" t="s">
        <v>80</v>
      </c>
      <c r="E244" s="271"/>
      <c r="F244" s="271"/>
      <c r="G244" s="317"/>
      <c r="H244" s="317"/>
      <c r="I244" s="317"/>
      <c r="J244" s="317"/>
      <c r="K244" s="271"/>
      <c r="L244" s="318"/>
      <c r="Q244">
        <f t="shared" si="76"/>
        <v>23</v>
      </c>
      <c r="R244" s="540" t="s">
        <v>287</v>
      </c>
      <c r="S244" s="375"/>
      <c r="T244" s="98">
        <f>IF(AB244&gt;0,AB244,"")</f>
        <v>1</v>
      </c>
      <c r="Z244" s="539" t="str">
        <f>IF(R244="","X","Y")</f>
        <v>Y</v>
      </c>
      <c r="AA244" s="206">
        <f>IF(Z244="Y",IF(S244&gt;0,S244,0))</f>
        <v>0</v>
      </c>
      <c r="AB244" s="97">
        <f>IF(AA244&gt;0,0,$AE$271)</f>
        <v>1</v>
      </c>
      <c r="AC244">
        <f>IF(S244&gt;0,1,0)</f>
        <v>0</v>
      </c>
      <c r="AD244">
        <f>IF(R244="",0,1)</f>
        <v>1</v>
      </c>
      <c r="AE244">
        <f t="shared" si="77"/>
        <v>-1</v>
      </c>
      <c r="AF244">
        <f>IF(Z244="y",IF(AB244&gt;0,1,0),0)</f>
        <v>1</v>
      </c>
    </row>
    <row r="245" spans="3:32" ht="14.1" customHeight="1" x14ac:dyDescent="0.2">
      <c r="C245" s="832" t="s">
        <v>285</v>
      </c>
      <c r="D245" s="833"/>
      <c r="E245" s="833"/>
      <c r="F245" s="833"/>
      <c r="G245" s="833"/>
      <c r="H245" s="833"/>
      <c r="I245" s="833"/>
      <c r="J245" s="833"/>
      <c r="K245" s="833"/>
      <c r="L245" s="834"/>
      <c r="Q245">
        <f t="shared" si="76"/>
        <v>24</v>
      </c>
      <c r="R245" s="540" t="s">
        <v>50</v>
      </c>
      <c r="S245" s="375">
        <v>4</v>
      </c>
      <c r="T245" s="98" t="str">
        <f>IF(AB245&gt;0,AB245,"")</f>
        <v/>
      </c>
      <c r="Z245" s="539" t="str">
        <f>IF(R245="","X","Y")</f>
        <v>Y</v>
      </c>
      <c r="AA245" s="206">
        <f>IF(Z245="Y",IF(S245&gt;0,S245,0))</f>
        <v>4</v>
      </c>
      <c r="AB245" s="97">
        <f>IF(AA245&gt;0,0,$AE$271)</f>
        <v>0</v>
      </c>
      <c r="AC245">
        <f>IF(S245&gt;0,1,0)</f>
        <v>1</v>
      </c>
      <c r="AD245">
        <f>IF(R245="",0,1)</f>
        <v>1</v>
      </c>
      <c r="AE245">
        <f t="shared" si="77"/>
        <v>0</v>
      </c>
      <c r="AF245">
        <f>IF(Z245="y",IF(AB245&gt;0,1,0),0)</f>
        <v>0</v>
      </c>
    </row>
    <row r="246" spans="3:32" ht="14.1" customHeight="1" x14ac:dyDescent="0.2">
      <c r="C246" s="835"/>
      <c r="D246" s="833"/>
      <c r="E246" s="833"/>
      <c r="F246" s="833"/>
      <c r="G246" s="833"/>
      <c r="H246" s="833"/>
      <c r="I246" s="833"/>
      <c r="J246" s="833"/>
      <c r="K246" s="833"/>
      <c r="L246" s="834"/>
      <c r="Q246">
        <f t="shared" si="76"/>
        <v>25</v>
      </c>
      <c r="R246" s="940" t="s">
        <v>296</v>
      </c>
      <c r="S246" s="375"/>
      <c r="T246" s="98">
        <f>IF(AB246&gt;0,AB246,"")</f>
        <v>1</v>
      </c>
      <c r="Z246" s="539" t="str">
        <f>IF(R246="","X","Y")</f>
        <v>Y</v>
      </c>
      <c r="AA246" s="206">
        <f>IF(Z246="Y",IF(S246&gt;0,S246,0))</f>
        <v>0</v>
      </c>
      <c r="AB246" s="97">
        <f>IF(AA246&gt;0,0,$AE$271)</f>
        <v>1</v>
      </c>
      <c r="AC246">
        <f>IF(S246&gt;0,1,0)</f>
        <v>0</v>
      </c>
      <c r="AD246">
        <f>IF(R246="",0,1)</f>
        <v>1</v>
      </c>
      <c r="AE246">
        <f t="shared" si="77"/>
        <v>-1</v>
      </c>
      <c r="AF246">
        <f>IF(Z246="y",IF(AB246&gt;0,1,0),0)</f>
        <v>1</v>
      </c>
    </row>
    <row r="247" spans="3:32" ht="14.1" customHeight="1" x14ac:dyDescent="0.2">
      <c r="C247" s="835"/>
      <c r="D247" s="833"/>
      <c r="E247" s="833"/>
      <c r="F247" s="833"/>
      <c r="G247" s="833"/>
      <c r="H247" s="833"/>
      <c r="I247" s="833"/>
      <c r="J247" s="833"/>
      <c r="K247" s="833"/>
      <c r="L247" s="834"/>
      <c r="Q247">
        <f t="shared" si="76"/>
        <v>26</v>
      </c>
      <c r="R247" s="940" t="s">
        <v>298</v>
      </c>
      <c r="S247" s="375"/>
      <c r="T247" s="98">
        <f>IF(AB247&gt;0,AB247,"")</f>
        <v>1</v>
      </c>
      <c r="Z247" s="539" t="str">
        <f>IF(R247="","X","Y")</f>
        <v>Y</v>
      </c>
      <c r="AA247" s="206">
        <f>IF(Z247="Y",IF(S247&gt;0,S247,0))</f>
        <v>0</v>
      </c>
      <c r="AB247" s="97">
        <f>IF(AA247&gt;0,0,$AE$271)</f>
        <v>1</v>
      </c>
      <c r="AC247">
        <f>IF(S247&gt;0,1,0)</f>
        <v>0</v>
      </c>
      <c r="AD247">
        <f>IF(R247="",0,1)</f>
        <v>1</v>
      </c>
      <c r="AE247">
        <f t="shared" si="77"/>
        <v>-1</v>
      </c>
      <c r="AF247">
        <f>IF(Z247="y",IF(AB247&gt;0,1,0),0)</f>
        <v>1</v>
      </c>
    </row>
    <row r="248" spans="3:32" ht="14.1" customHeight="1" x14ac:dyDescent="0.2">
      <c r="C248" s="835"/>
      <c r="D248" s="833"/>
      <c r="E248" s="833"/>
      <c r="F248" s="833"/>
      <c r="G248" s="833"/>
      <c r="H248" s="833"/>
      <c r="I248" s="833"/>
      <c r="J248" s="833"/>
      <c r="K248" s="833"/>
      <c r="L248" s="834"/>
      <c r="Q248">
        <f t="shared" si="76"/>
        <v>27</v>
      </c>
      <c r="R248" s="940" t="s">
        <v>297</v>
      </c>
      <c r="S248" s="375"/>
      <c r="T248" s="98">
        <f>IF(AB248&gt;0,AB248,"")</f>
        <v>1</v>
      </c>
      <c r="Z248" s="539" t="str">
        <f>IF(R248="","X","Y")</f>
        <v>Y</v>
      </c>
      <c r="AA248" s="206">
        <f>IF(Z248="Y",IF(S248&gt;0,S248,0))</f>
        <v>0</v>
      </c>
      <c r="AB248" s="97">
        <f>IF(AA248&gt;0,0,$AE$271)</f>
        <v>1</v>
      </c>
      <c r="AC248">
        <f>IF(S248&gt;0,1,0)</f>
        <v>0</v>
      </c>
      <c r="AD248">
        <f>IF(R248="",0,1)</f>
        <v>1</v>
      </c>
      <c r="AE248">
        <f t="shared" si="77"/>
        <v>-1</v>
      </c>
      <c r="AF248">
        <f>IF(Z248="y",IF(AB248&gt;0,1,0),0)</f>
        <v>1</v>
      </c>
    </row>
    <row r="249" spans="3:32" x14ac:dyDescent="0.2">
      <c r="C249" s="835"/>
      <c r="D249" s="833"/>
      <c r="E249" s="833"/>
      <c r="F249" s="833"/>
      <c r="G249" s="833"/>
      <c r="H249" s="833"/>
      <c r="I249" s="833"/>
      <c r="J249" s="833"/>
      <c r="K249" s="833"/>
      <c r="L249" s="834"/>
      <c r="Q249">
        <f t="shared" si="76"/>
        <v>28</v>
      </c>
      <c r="R249" s="941"/>
      <c r="S249" s="375"/>
      <c r="T249" s="98" t="str">
        <f>IF(AB249&gt;0,AB249,"")</f>
        <v/>
      </c>
      <c r="Z249" s="539" t="str">
        <f>IF(R249="","X","Y")</f>
        <v>X</v>
      </c>
      <c r="AA249" s="206" t="b">
        <f>IF(Z249="Y",IF(S249&gt;0,S249,0))</f>
        <v>0</v>
      </c>
      <c r="AB249" s="97">
        <f>IF(AA249&gt;0,0,$AE$271)</f>
        <v>0</v>
      </c>
      <c r="AC249">
        <f>IF(S249&gt;0,1,0)</f>
        <v>0</v>
      </c>
      <c r="AD249">
        <f>IF(R249="",0,1)</f>
        <v>0</v>
      </c>
      <c r="AE249">
        <f t="shared" si="77"/>
        <v>0</v>
      </c>
      <c r="AF249">
        <f>IF(Z249="y",IF(AB249&gt;0,1,0),0)</f>
        <v>0</v>
      </c>
    </row>
    <row r="250" spans="3:32" x14ac:dyDescent="0.2">
      <c r="C250" s="835"/>
      <c r="D250" s="833"/>
      <c r="E250" s="833"/>
      <c r="F250" s="833"/>
      <c r="G250" s="833"/>
      <c r="H250" s="833"/>
      <c r="I250" s="833"/>
      <c r="J250" s="833"/>
      <c r="K250" s="833"/>
      <c r="L250" s="834"/>
      <c r="Q250">
        <f t="shared" si="76"/>
        <v>29</v>
      </c>
      <c r="R250" s="941"/>
      <c r="S250" s="375"/>
      <c r="T250" s="98" t="str">
        <f>IF(AB250&gt;0,AB250,"")</f>
        <v/>
      </c>
      <c r="Z250" s="539" t="str">
        <f>IF(R250="","X","Y")</f>
        <v>X</v>
      </c>
      <c r="AA250" s="206" t="b">
        <f>IF(Z250="Y",IF(S250&gt;0,S250,0))</f>
        <v>0</v>
      </c>
      <c r="AB250" s="97">
        <f>IF(AA250&gt;0,0,$AE$271)</f>
        <v>0</v>
      </c>
      <c r="AC250">
        <f>IF(S250&gt;0,1,0)</f>
        <v>0</v>
      </c>
      <c r="AD250">
        <f>IF(R250="",0,1)</f>
        <v>0</v>
      </c>
      <c r="AE250">
        <f>AC250-AD250</f>
        <v>0</v>
      </c>
      <c r="AF250">
        <f>IF(Z250="y",IF(AB250&gt;0,1,0),0)</f>
        <v>0</v>
      </c>
    </row>
    <row r="251" spans="3:32" x14ac:dyDescent="0.2">
      <c r="C251" s="835"/>
      <c r="D251" s="833"/>
      <c r="E251" s="833"/>
      <c r="F251" s="833"/>
      <c r="G251" s="833"/>
      <c r="H251" s="833"/>
      <c r="I251" s="833"/>
      <c r="J251" s="833"/>
      <c r="K251" s="833"/>
      <c r="L251" s="834"/>
      <c r="Q251">
        <f t="shared" si="76"/>
        <v>30</v>
      </c>
      <c r="R251" s="941"/>
      <c r="S251" s="375"/>
      <c r="T251" s="98" t="str">
        <f>IF(AB251&gt;0,AB251,"")</f>
        <v/>
      </c>
      <c r="Z251" s="539" t="str">
        <f>IF(R251="","X","Y")</f>
        <v>X</v>
      </c>
      <c r="AA251" s="206" t="b">
        <f>IF(Z251="Y",IF(S251&gt;0,S251,0))</f>
        <v>0</v>
      </c>
      <c r="AB251" s="97">
        <f>IF(AA251&gt;0,0,$AE$271)</f>
        <v>0</v>
      </c>
      <c r="AC251">
        <f>IF(S251&gt;0,1,0)</f>
        <v>0</v>
      </c>
      <c r="AD251">
        <f>IF(R251="",0,1)</f>
        <v>0</v>
      </c>
      <c r="AE251">
        <f>AC251-AD251</f>
        <v>0</v>
      </c>
      <c r="AF251">
        <f>IF(Z251="y",IF(AB251&gt;0,1,0),0)</f>
        <v>0</v>
      </c>
    </row>
    <row r="252" spans="3:32" x14ac:dyDescent="0.2">
      <c r="C252" s="835"/>
      <c r="D252" s="833"/>
      <c r="E252" s="833"/>
      <c r="F252" s="833"/>
      <c r="G252" s="833"/>
      <c r="H252" s="833"/>
      <c r="I252" s="833"/>
      <c r="J252" s="833"/>
      <c r="K252" s="833"/>
      <c r="L252" s="834"/>
      <c r="Q252">
        <f t="shared" si="76"/>
        <v>31</v>
      </c>
      <c r="R252" s="941"/>
      <c r="S252" s="375"/>
      <c r="T252" s="98" t="str">
        <f>IF(AB252&gt;0,AB252,"")</f>
        <v/>
      </c>
      <c r="Z252" s="539" t="str">
        <f>IF(R252="","X","Y")</f>
        <v>X</v>
      </c>
      <c r="AA252" s="206" t="b">
        <f>IF(Z252="Y",IF(S252&gt;0,S252,0))</f>
        <v>0</v>
      </c>
      <c r="AB252" s="97">
        <f>IF(AA252&gt;0,0,$AE$271)</f>
        <v>0</v>
      </c>
      <c r="AC252">
        <f>IF(S252&gt;0,1,0)</f>
        <v>0</v>
      </c>
      <c r="AD252">
        <f>IF(R252="",0,1)</f>
        <v>0</v>
      </c>
      <c r="AE252">
        <f>AC252-AD252</f>
        <v>0</v>
      </c>
      <c r="AF252">
        <f>IF(Z252="y",IF(AB252&gt;0,1,0),0)</f>
        <v>0</v>
      </c>
    </row>
    <row r="253" spans="3:32" x14ac:dyDescent="0.2">
      <c r="C253" s="835"/>
      <c r="D253" s="833"/>
      <c r="E253" s="833"/>
      <c r="F253" s="833"/>
      <c r="G253" s="833"/>
      <c r="H253" s="833"/>
      <c r="I253" s="833"/>
      <c r="J253" s="833"/>
      <c r="K253" s="833"/>
      <c r="L253" s="834"/>
      <c r="Q253">
        <f t="shared" si="76"/>
        <v>32</v>
      </c>
      <c r="R253" s="941"/>
      <c r="S253" s="375"/>
      <c r="T253" s="98" t="str">
        <f>IF(AB253&gt;0,AB253,"")</f>
        <v/>
      </c>
      <c r="Z253" s="539" t="str">
        <f>IF(R253="","X","Y")</f>
        <v>X</v>
      </c>
      <c r="AA253" s="206" t="b">
        <f>IF(Z253="Y",IF(S253&gt;0,S253,0))</f>
        <v>0</v>
      </c>
      <c r="AB253" s="97">
        <f>IF(AA253&gt;0,0,$AE$271)</f>
        <v>0</v>
      </c>
      <c r="AC253">
        <f>IF(S253&gt;0,1,0)</f>
        <v>0</v>
      </c>
      <c r="AD253">
        <f>IF(R253="",0,1)</f>
        <v>0</v>
      </c>
      <c r="AE253">
        <f>AC253-AD253</f>
        <v>0</v>
      </c>
      <c r="AF253">
        <f>IF(Z253="y",IF(AB253&gt;0,1,0),0)</f>
        <v>0</v>
      </c>
    </row>
    <row r="254" spans="3:32" x14ac:dyDescent="0.2">
      <c r="C254" s="836"/>
      <c r="D254" s="837"/>
      <c r="E254" s="837"/>
      <c r="F254" s="837"/>
      <c r="G254" s="837"/>
      <c r="H254" s="837"/>
      <c r="I254" s="837"/>
      <c r="J254" s="837"/>
      <c r="K254" s="837"/>
      <c r="L254" s="838"/>
      <c r="Q254">
        <f t="shared" si="76"/>
        <v>33</v>
      </c>
      <c r="R254" s="941"/>
      <c r="S254" s="375"/>
      <c r="T254" s="98" t="str">
        <f>IF(AB254&gt;0,AB254,"")</f>
        <v/>
      </c>
      <c r="Z254" s="539" t="str">
        <f>IF(R254="","X","Y")</f>
        <v>X</v>
      </c>
      <c r="AA254" s="206" t="b">
        <f>IF(Z254="Y",IF(S254&gt;0,S254,0))</f>
        <v>0</v>
      </c>
      <c r="AB254" s="97">
        <f>IF(AA254&gt;0,0,$AE$271)</f>
        <v>0</v>
      </c>
      <c r="AC254">
        <f>IF(S254&gt;0,1,0)</f>
        <v>0</v>
      </c>
      <c r="AD254">
        <f>IF(R254="",0,1)</f>
        <v>0</v>
      </c>
      <c r="AE254">
        <f>AC254-AD254</f>
        <v>0</v>
      </c>
      <c r="AF254">
        <f>IF(Z254="y",IF(AB254&gt;0,1,0),0)</f>
        <v>0</v>
      </c>
    </row>
    <row r="255" spans="3:32" x14ac:dyDescent="0.2">
      <c r="Q255">
        <f t="shared" si="76"/>
        <v>34</v>
      </c>
      <c r="R255" s="941"/>
      <c r="S255" s="375"/>
      <c r="T255" s="98" t="str">
        <f>IF(AB255&gt;0,AB255,"")</f>
        <v/>
      </c>
      <c r="Z255" s="539" t="str">
        <f>IF(R255="","X","Y")</f>
        <v>X</v>
      </c>
      <c r="AA255" s="206" t="b">
        <f>IF(Z255="Y",IF(S255&gt;0,S255,0))</f>
        <v>0</v>
      </c>
      <c r="AB255" s="97">
        <f>IF(AA255&gt;0,0,$AE$271)</f>
        <v>0</v>
      </c>
      <c r="AC255">
        <f>IF(S255&gt;0,1,0)</f>
        <v>0</v>
      </c>
      <c r="AD255">
        <f>IF(R255="",0,1)</f>
        <v>0</v>
      </c>
      <c r="AE255">
        <f>AC255-AD255</f>
        <v>0</v>
      </c>
      <c r="AF255">
        <f>IF(Z255="y",IF(AB255&gt;0,1,0),0)</f>
        <v>0</v>
      </c>
    </row>
    <row r="256" spans="3:32" ht="21.75" customHeight="1" x14ac:dyDescent="0.2">
      <c r="C256"/>
      <c r="Q256">
        <f t="shared" si="76"/>
        <v>35</v>
      </c>
      <c r="R256" s="941"/>
      <c r="S256" s="375"/>
      <c r="T256" s="98" t="str">
        <f>IF(AB256&gt;0,AB256,"")</f>
        <v/>
      </c>
      <c r="Z256" s="539" t="str">
        <f>IF(R256="","X","Y")</f>
        <v>X</v>
      </c>
      <c r="AA256" s="206" t="b">
        <f>IF(Z256="Y",IF(S256&gt;0,S256,0))</f>
        <v>0</v>
      </c>
      <c r="AB256" s="97">
        <f>IF(AA256&gt;0,0,$AE$271)</f>
        <v>0</v>
      </c>
      <c r="AC256">
        <f>IF(S256&gt;0,1,0)</f>
        <v>0</v>
      </c>
      <c r="AD256">
        <f>IF(R256="",0,1)</f>
        <v>0</v>
      </c>
      <c r="AE256">
        <f>AC256-AD256</f>
        <v>0</v>
      </c>
      <c r="AF256">
        <f>IF(Z256="y",IF(AB256&gt;0,1,0),0)</f>
        <v>0</v>
      </c>
    </row>
    <row r="257" spans="3:32" x14ac:dyDescent="0.2">
      <c r="C257"/>
      <c r="Q257">
        <f t="shared" si="76"/>
        <v>36</v>
      </c>
      <c r="R257" s="941"/>
      <c r="S257" s="375"/>
      <c r="T257" s="98" t="str">
        <f>IF(AB257&gt;0,AB257,"")</f>
        <v/>
      </c>
      <c r="Z257" s="539" t="str">
        <f>IF(R257="","X","Y")</f>
        <v>X</v>
      </c>
      <c r="AA257" s="206" t="b">
        <f>IF(Z257="Y",IF(S257&gt;0,S257,0))</f>
        <v>0</v>
      </c>
      <c r="AB257" s="97">
        <f>IF(AA257&gt;0,0,$AE$271)</f>
        <v>0</v>
      </c>
      <c r="AC257">
        <f>IF(S257&gt;0,1,0)</f>
        <v>0</v>
      </c>
      <c r="AD257">
        <f>IF(R257="",0,1)</f>
        <v>0</v>
      </c>
      <c r="AE257">
        <f>AC257-AD257</f>
        <v>0</v>
      </c>
      <c r="AF257">
        <f>IF(Z257="y",IF(AB257&gt;0,1,0),0)</f>
        <v>0</v>
      </c>
    </row>
    <row r="258" spans="3:32" x14ac:dyDescent="0.2">
      <c r="C258"/>
      <c r="Q258">
        <f t="shared" si="76"/>
        <v>37</v>
      </c>
      <c r="R258" s="941"/>
      <c r="S258" s="375"/>
      <c r="T258" s="98" t="str">
        <f>IF(AB258&gt;0,AB258,"")</f>
        <v/>
      </c>
      <c r="Z258" s="539" t="str">
        <f>IF(R258="","X","Y")</f>
        <v>X</v>
      </c>
      <c r="AA258" s="206" t="b">
        <f>IF(Z258="Y",IF(S258&gt;0,S258,0))</f>
        <v>0</v>
      </c>
      <c r="AB258" s="97">
        <f>IF(AA258&gt;0,0,$AE$271)</f>
        <v>0</v>
      </c>
      <c r="AC258">
        <f>IF(S258&gt;0,1,0)</f>
        <v>0</v>
      </c>
      <c r="AD258">
        <f>IF(R258="",0,1)</f>
        <v>0</v>
      </c>
      <c r="AE258">
        <f>AC258-AD258</f>
        <v>0</v>
      </c>
      <c r="AF258">
        <f>IF(Z258="y",IF(AB258&gt;0,1,0),0)</f>
        <v>0</v>
      </c>
    </row>
    <row r="259" spans="3:32" x14ac:dyDescent="0.2">
      <c r="C259"/>
      <c r="Q259">
        <f t="shared" si="76"/>
        <v>38</v>
      </c>
      <c r="R259" s="941"/>
      <c r="S259" s="375"/>
      <c r="T259" s="98" t="str">
        <f>IF(AB259&gt;0,AB259,"")</f>
        <v/>
      </c>
      <c r="Z259" s="539" t="str">
        <f>IF(R259="","X","Y")</f>
        <v>X</v>
      </c>
      <c r="AA259" s="206" t="b">
        <f>IF(Z259="Y",IF(S259&gt;0,S259,0))</f>
        <v>0</v>
      </c>
      <c r="AB259" s="97">
        <f>IF(AA259&gt;0,0,$AE$271)</f>
        <v>0</v>
      </c>
      <c r="AC259">
        <f>IF(S259&gt;0,1,0)</f>
        <v>0</v>
      </c>
      <c r="AD259">
        <f>IF(R259="",0,1)</f>
        <v>0</v>
      </c>
      <c r="AE259">
        <f>AC259-AD259</f>
        <v>0</v>
      </c>
      <c r="AF259">
        <f>IF(Z259="y",IF(AB259&gt;0,1,0),0)</f>
        <v>0</v>
      </c>
    </row>
    <row r="260" spans="3:32" x14ac:dyDescent="0.2">
      <c r="C260"/>
      <c r="Q260">
        <f t="shared" si="76"/>
        <v>39</v>
      </c>
      <c r="R260" s="941"/>
      <c r="S260" s="375"/>
      <c r="T260" s="98" t="str">
        <f>IF(AB260&gt;0,AB260,"")</f>
        <v/>
      </c>
      <c r="Z260" s="539" t="str">
        <f>IF(R260="","X","Y")</f>
        <v>X</v>
      </c>
      <c r="AA260" s="206" t="b">
        <f>IF(Z260="Y",IF(S260&gt;0,S260,0))</f>
        <v>0</v>
      </c>
      <c r="AB260" s="97">
        <f>IF(AA260&gt;0,0,$AE$271)</f>
        <v>0</v>
      </c>
      <c r="AC260">
        <f>IF(S260&gt;0,1,0)</f>
        <v>0</v>
      </c>
      <c r="AD260">
        <f>IF(R260="",0,1)</f>
        <v>0</v>
      </c>
      <c r="AE260">
        <f>AC260-AD260</f>
        <v>0</v>
      </c>
      <c r="AF260">
        <f>IF(Z260="y",IF(AB260&gt;0,1,0),0)</f>
        <v>0</v>
      </c>
    </row>
    <row r="261" spans="3:32" x14ac:dyDescent="0.2">
      <c r="C261"/>
      <c r="Q261">
        <f t="shared" si="76"/>
        <v>40</v>
      </c>
      <c r="R261" s="941"/>
      <c r="S261" s="375"/>
      <c r="T261" s="98" t="str">
        <f>IF(AB261&gt;0,AB261,"")</f>
        <v/>
      </c>
      <c r="Z261" s="539" t="str">
        <f>IF(R261="","X","Y")</f>
        <v>X</v>
      </c>
      <c r="AA261" s="206" t="b">
        <f>IF(Z261="Y",IF(S261&gt;0,S261,0))</f>
        <v>0</v>
      </c>
      <c r="AB261" s="97">
        <f>IF(AA261&gt;0,0,$AE$271)</f>
        <v>0</v>
      </c>
      <c r="AC261">
        <f>IF(S261&gt;0,1,0)</f>
        <v>0</v>
      </c>
      <c r="AD261">
        <f>IF(R261="",0,1)</f>
        <v>0</v>
      </c>
      <c r="AE261">
        <f>AC261-AD261</f>
        <v>0</v>
      </c>
      <c r="AF261">
        <f>IF(Z261="y",IF(AB261&gt;0,1,0),0)</f>
        <v>0</v>
      </c>
    </row>
    <row r="262" spans="3:32" x14ac:dyDescent="0.2">
      <c r="C262"/>
      <c r="Q262">
        <f t="shared" si="76"/>
        <v>41</v>
      </c>
      <c r="R262" s="941"/>
      <c r="S262" s="375"/>
      <c r="T262" s="98" t="str">
        <f>IF(AB262&gt;0,AB262,"")</f>
        <v/>
      </c>
      <c r="Z262" s="539" t="str">
        <f>IF(R262="","X","Y")</f>
        <v>X</v>
      </c>
      <c r="AA262" s="206" t="b">
        <f>IF(Z262="Y",IF(S262&gt;0,S262,0))</f>
        <v>0</v>
      </c>
      <c r="AB262" s="97">
        <f>IF(AA262&gt;0,0,$AE$271)</f>
        <v>0</v>
      </c>
      <c r="AC262">
        <f>IF(S262&gt;0,1,0)</f>
        <v>0</v>
      </c>
      <c r="AD262">
        <f>IF(R262="",0,1)</f>
        <v>0</v>
      </c>
      <c r="AE262">
        <f>AC262-AD262</f>
        <v>0</v>
      </c>
      <c r="AF262">
        <f>IF(Z262="y",IF(AB262&gt;0,1,0),0)</f>
        <v>0</v>
      </c>
    </row>
    <row r="263" spans="3:32" x14ac:dyDescent="0.2">
      <c r="C263"/>
      <c r="Q263">
        <f t="shared" si="76"/>
        <v>42</v>
      </c>
      <c r="R263" s="941"/>
      <c r="S263" s="375"/>
      <c r="T263" s="98" t="str">
        <f>IF(AB263&gt;0,AB263,"")</f>
        <v/>
      </c>
      <c r="Z263" s="539" t="str">
        <f>IF(R263="","X","Y")</f>
        <v>X</v>
      </c>
      <c r="AA263" s="206" t="b">
        <f>IF(Z263="Y",IF(S263&gt;0,S263,0))</f>
        <v>0</v>
      </c>
      <c r="AB263" s="97">
        <f>IF(AA263&gt;0,0,$AE$271)</f>
        <v>0</v>
      </c>
      <c r="AC263">
        <f>IF(S263&gt;0,1,0)</f>
        <v>0</v>
      </c>
      <c r="AD263">
        <f>IF(R263="",0,1)</f>
        <v>0</v>
      </c>
      <c r="AE263">
        <f>AC263-AD263</f>
        <v>0</v>
      </c>
      <c r="AF263">
        <f>IF(Z263="y",IF(AB263&gt;0,1,0),0)</f>
        <v>0</v>
      </c>
    </row>
    <row r="264" spans="3:32" x14ac:dyDescent="0.2">
      <c r="C264"/>
      <c r="Q264">
        <f t="shared" si="76"/>
        <v>43</v>
      </c>
      <c r="R264" s="941"/>
      <c r="S264" s="375"/>
      <c r="T264" s="98" t="str">
        <f>IF(AB264&gt;0,AB264,"")</f>
        <v/>
      </c>
      <c r="Z264" s="539" t="str">
        <f>IF(R264="","X","Y")</f>
        <v>X</v>
      </c>
      <c r="AA264" s="206" t="b">
        <f>IF(Z264="Y",IF(S264&gt;0,S264,0))</f>
        <v>0</v>
      </c>
      <c r="AB264" s="97">
        <f>IF(AA264&gt;0,0,$AE$271)</f>
        <v>0</v>
      </c>
      <c r="AC264">
        <f>IF(S264&gt;0,1,0)</f>
        <v>0</v>
      </c>
      <c r="AD264">
        <f>IF(R264="",0,1)</f>
        <v>0</v>
      </c>
      <c r="AE264">
        <f>AC264-AD264</f>
        <v>0</v>
      </c>
      <c r="AF264">
        <f>IF(Z264="y",IF(AB264&gt;0,1,0),0)</f>
        <v>0</v>
      </c>
    </row>
    <row r="265" spans="3:32" x14ac:dyDescent="0.2">
      <c r="C265"/>
      <c r="Q265">
        <f t="shared" si="76"/>
        <v>44</v>
      </c>
      <c r="R265" s="941"/>
      <c r="S265" s="375"/>
      <c r="T265" s="98" t="str">
        <f>IF(AB265&gt;0,AB265,"")</f>
        <v/>
      </c>
      <c r="Z265" s="539" t="str">
        <f>IF(R265="","X","Y")</f>
        <v>X</v>
      </c>
      <c r="AA265" s="206" t="b">
        <f>IF(Z265="Y",IF(S265&gt;0,S265,0))</f>
        <v>0</v>
      </c>
      <c r="AB265" s="97">
        <f>IF(AA265&gt;0,0,$AE$271)</f>
        <v>0</v>
      </c>
      <c r="AC265">
        <f>IF(S265&gt;0,1,0)</f>
        <v>0</v>
      </c>
      <c r="AD265">
        <f>IF(R265="",0,1)</f>
        <v>0</v>
      </c>
      <c r="AE265">
        <f>AC265-AD265</f>
        <v>0</v>
      </c>
      <c r="AF265">
        <f>IF(Z265="y",IF(AB265&gt;0,1,0),0)</f>
        <v>0</v>
      </c>
    </row>
    <row r="266" spans="3:32" x14ac:dyDescent="0.2">
      <c r="C266"/>
      <c r="Q266">
        <f t="shared" si="76"/>
        <v>45</v>
      </c>
      <c r="R266" s="941"/>
      <c r="S266" s="375"/>
      <c r="T266" s="98" t="str">
        <f>IF(AB266&gt;0,AB266,"")</f>
        <v/>
      </c>
      <c r="Z266" s="539" t="str">
        <f>IF(R266="","X","Y")</f>
        <v>X</v>
      </c>
      <c r="AA266" s="206" t="b">
        <f>IF(Z266="Y",IF(S266&gt;0,S266,0))</f>
        <v>0</v>
      </c>
      <c r="AB266" s="97">
        <f>IF(AA266&gt;0,0,$AE$271)</f>
        <v>0</v>
      </c>
      <c r="AC266">
        <f>IF(S266&gt;0,1,0)</f>
        <v>0</v>
      </c>
      <c r="AD266">
        <f>IF(R266="",0,1)</f>
        <v>0</v>
      </c>
      <c r="AE266">
        <f>AC266-AD266</f>
        <v>0</v>
      </c>
      <c r="AF266">
        <f>IF(Z266="y",IF(AB266&gt;0,1,0),0)</f>
        <v>0</v>
      </c>
    </row>
    <row r="267" spans="3:32" ht="12.75" customHeight="1" x14ac:dyDescent="0.2">
      <c r="C267"/>
      <c r="Q267">
        <f t="shared" si="76"/>
        <v>46</v>
      </c>
      <c r="R267" s="941"/>
      <c r="S267" s="375"/>
      <c r="T267" s="98" t="str">
        <f>IF(AB267&gt;0,AB267,"")</f>
        <v/>
      </c>
      <c r="Z267" s="539" t="str">
        <f>IF(R267="","X","Y")</f>
        <v>X</v>
      </c>
      <c r="AA267" s="206" t="b">
        <f>IF(Z267="Y",IF(S267&gt;0,S267,0))</f>
        <v>0</v>
      </c>
      <c r="AB267" s="97">
        <f>IF(AA267&gt;0,0,$AE$271)</f>
        <v>0</v>
      </c>
      <c r="AC267">
        <f>IF(S267&gt;0,1,0)</f>
        <v>0</v>
      </c>
      <c r="AD267">
        <f>IF(R267="",0,1)</f>
        <v>0</v>
      </c>
      <c r="AE267">
        <f>AC267-AD267</f>
        <v>0</v>
      </c>
      <c r="AF267">
        <f>IF(Z267="y",IF(AB267&gt;0,1,0),0)</f>
        <v>0</v>
      </c>
    </row>
    <row r="268" spans="3:32" x14ac:dyDescent="0.2">
      <c r="C268"/>
      <c r="Q268">
        <f t="shared" si="76"/>
        <v>47</v>
      </c>
      <c r="R268" s="940"/>
      <c r="S268" s="375"/>
      <c r="T268" s="98" t="str">
        <f>IF(AB268&gt;0,AB268,"")</f>
        <v/>
      </c>
      <c r="Z268" s="539" t="str">
        <f>IF(R268="","X","Y")</f>
        <v>X</v>
      </c>
      <c r="AA268" s="206" t="b">
        <f>IF(Z268="Y",IF(S268&gt;0,S268,0))</f>
        <v>0</v>
      </c>
      <c r="AB268" s="97">
        <f>IF(AA268&gt;0,0,$AE$271)</f>
        <v>0</v>
      </c>
      <c r="AC268">
        <f>IF(S268&gt;0,1,0)</f>
        <v>0</v>
      </c>
      <c r="AD268">
        <f>IF(R268="",0,1)</f>
        <v>0</v>
      </c>
      <c r="AE268">
        <f>AC268-AD268</f>
        <v>0</v>
      </c>
      <c r="AF268">
        <f>IF(Z268="y",IF(AB268&gt;0,1,0),0)</f>
        <v>0</v>
      </c>
    </row>
    <row r="269" spans="3:32" x14ac:dyDescent="0.2">
      <c r="Q269">
        <f t="shared" si="76"/>
        <v>48</v>
      </c>
      <c r="R269" s="942"/>
      <c r="S269" s="538"/>
      <c r="T269" s="98" t="str">
        <f>IF(AB269&gt;0,AB269,"")</f>
        <v/>
      </c>
      <c r="Z269" s="539" t="str">
        <f>IF(R269="","X","Y")</f>
        <v>X</v>
      </c>
      <c r="AA269" s="206" t="b">
        <f>IF(Z269="Y",IF(S269&gt;0,S269,0))</f>
        <v>0</v>
      </c>
      <c r="AB269" s="97">
        <f>IF(AA269&gt;0,0,$AE$271)</f>
        <v>0</v>
      </c>
      <c r="AC269">
        <f>IF(S269&gt;0,1,0)</f>
        <v>0</v>
      </c>
      <c r="AD269">
        <f>IF(R269="",0,1)</f>
        <v>0</v>
      </c>
      <c r="AE269">
        <f>AC269-AD269</f>
        <v>0</v>
      </c>
      <c r="AF269">
        <f>IF(Z269="y",IF(AB269&gt;0,1,0),0)</f>
        <v>0</v>
      </c>
    </row>
    <row r="270" spans="3:32" x14ac:dyDescent="0.2">
      <c r="R270" s="932" t="s">
        <v>3</v>
      </c>
      <c r="S270" s="537">
        <f>SUM(S222:S249)</f>
        <v>19</v>
      </c>
      <c r="T270" s="96">
        <f>S272-S270</f>
        <v>19</v>
      </c>
      <c r="Z270" s="539"/>
      <c r="AA270" s="206"/>
      <c r="AB270" s="97">
        <f>SUM(AB222:AB269)</f>
        <v>19</v>
      </c>
      <c r="AC270">
        <f>SUM(AC222:AC269)</f>
        <v>8</v>
      </c>
      <c r="AD270">
        <f>SUM(AD222:AD269)</f>
        <v>27</v>
      </c>
      <c r="AE270">
        <f>SUM(AE222:AE269)</f>
        <v>-19</v>
      </c>
      <c r="AF270" s="693">
        <f>SUM(AF222:AF269)</f>
        <v>19</v>
      </c>
    </row>
    <row r="271" spans="3:32" x14ac:dyDescent="0.2">
      <c r="S271" s="930" t="str">
        <f>IF(T271&lt;1,"Ooops!","")</f>
        <v/>
      </c>
      <c r="T271" s="931">
        <f>T270/AF270</f>
        <v>1</v>
      </c>
      <c r="U271" s="63"/>
      <c r="AE271" s="532">
        <f>T270/-AE270</f>
        <v>1</v>
      </c>
    </row>
    <row r="272" spans="3:32" ht="15.75" x14ac:dyDescent="0.2">
      <c r="R272" s="536" t="s">
        <v>62</v>
      </c>
      <c r="S272" s="840">
        <v>38</v>
      </c>
      <c r="T272" s="841"/>
    </row>
    <row r="274" spans="18:20" x14ac:dyDescent="0.2">
      <c r="R274" s="933" t="str">
        <f>IF(S271="Ooops!","Some Members have less than one full vote. Your total of Special Allocation is too high. Please reduce it."," ")</f>
        <v xml:space="preserve"> </v>
      </c>
      <c r="S274" s="933"/>
      <c r="T274" s="933"/>
    </row>
    <row r="275" spans="18:20" ht="18" customHeight="1" x14ac:dyDescent="0.2">
      <c r="R275" s="933"/>
      <c r="S275" s="933"/>
      <c r="T275" s="933"/>
    </row>
    <row r="276" spans="18:20" x14ac:dyDescent="0.2">
      <c r="R276" s="934"/>
      <c r="S276" s="934"/>
      <c r="T276" s="934"/>
    </row>
    <row r="277" spans="18:20" x14ac:dyDescent="0.2">
      <c r="R277" s="934"/>
      <c r="S277" s="934"/>
      <c r="T277" s="934"/>
    </row>
  </sheetData>
  <sheetProtection algorithmName="SHA-512" hashValue="aJJGzKFPC4uKxDSh1x2vwMplkNIHUgWO5PYqZHvIm68a5Ny7sbVcFowvhXvX3bxteSTip0wqS5UWZ2O2Z+9fOg==" saltValue="u4wHXU+JOiD0n7zmO02hYQ==" spinCount="100000" sheet="1" formatCells="0" formatColumns="0" formatRows="0" insertColumns="0" insertRows="0" insertHyperlinks="0"/>
  <protectedRanges>
    <protectedRange sqref="H34:H35" name="Range31"/>
    <protectedRange sqref="H32 F34:F36" name="Range29"/>
    <protectedRange sqref="Q43:Q56" name="Range1_3_1_1"/>
    <protectedRange sqref="H227:H239" name="Range28"/>
    <protectedRange sqref="H227:H239" name="Range26"/>
    <protectedRange sqref="G28 H27" name="Range24"/>
    <protectedRange sqref="V191:V203 AG191:AG203" name="Range20"/>
    <protectedRange sqref="S272:T272" name="Range18"/>
    <protectedRange sqref="J147" name="Range11"/>
    <protectedRange sqref="E76:E87" name="Range3"/>
    <protectedRange sqref="E91 E56:I56" name="Range2"/>
    <protectedRange sqref="E76:E87" name="Range1"/>
    <protectedRange sqref="G62 I63:I66 E62:E66 H62:H66 F63:G66" name="Range1_1"/>
    <protectedRange sqref="G62 I63:I66 E62:E66 H62:H66 F63:G66" name="Range3_1"/>
    <protectedRange sqref="E57:E58" name="Range2_2_1"/>
    <protectedRange sqref="R222:S269" name="Range17"/>
    <protectedRange sqref="H28:H29" name="Range23"/>
    <protectedRange sqref="E53" name="Range1_1_1_2_1_2"/>
    <protectedRange sqref="E53" name="Range3_1_1_2_1_2"/>
    <protectedRange sqref="F57:I57" name="Range2_3_1_2"/>
    <protectedRange sqref="F57:I57" name="Range7_2_1_2"/>
    <protectedRange sqref="E39:G39" name="Range6"/>
    <protectedRange sqref="E43:I43 F44:I48 E45:E48 F50:I54 E49:I49 E50:E52" name="Range3_3_1"/>
    <protectedRange sqref="I43:I44 E43:H43 F44:H44 E45:I49 F50:I54 E50:E52" name="Range1_3_1"/>
    <protectedRange sqref="G58:I58" name="Range2_1_2_1"/>
    <protectedRange sqref="F58" name="Range2_1_3_1"/>
    <protectedRange sqref="E44" name="Range3_3"/>
    <protectedRange sqref="E44" name="Range1_3"/>
    <protectedRange sqref="H29" name="Range30"/>
    <protectedRange sqref="H32:H33" name="Range32"/>
    <protectedRange sqref="Y263" name="Range61_1"/>
    <protectedRange sqref="Y222:Y261 AF222:AF269" name="Range60_1"/>
  </protectedRanges>
  <customSheetViews>
    <customSheetView guid="{828C1003-5BBC-4D2D-BF7A-3218457CB106}" scale="75" showPageBreaks="1" showGridLines="0" fitToPage="1" printArea="1" topLeftCell="F45">
      <selection activeCell="J191" sqref="J191"/>
      <rowBreaks count="1" manualBreakCount="1">
        <brk id="29" min="1" max="12" man="1"/>
      </rowBreaks>
      <pageMargins left="0.49" right="0.3" top="0.21" bottom="0.27" header="0" footer="0"/>
      <printOptions horizontalCentered="1" verticalCentered="1"/>
      <pageSetup scale="81" fitToHeight="2" orientation="portrait" horizontalDpi="300" verticalDpi="300" r:id="rId1"/>
      <headerFooter alignWithMargins="0"/>
    </customSheetView>
  </customSheetViews>
  <mergeCells count="164">
    <mergeCell ref="U228:V230"/>
    <mergeCell ref="R274:T277"/>
    <mergeCell ref="D14:M14"/>
    <mergeCell ref="D28:G28"/>
    <mergeCell ref="D30:K31"/>
    <mergeCell ref="D121:L121"/>
    <mergeCell ref="G78:I78"/>
    <mergeCell ref="G79:I79"/>
    <mergeCell ref="G80:I80"/>
    <mergeCell ref="E139:K140"/>
    <mergeCell ref="G81:I81"/>
    <mergeCell ref="F187:F189"/>
    <mergeCell ref="G187:H189"/>
    <mergeCell ref="I187:J189"/>
    <mergeCell ref="K188:K189"/>
    <mergeCell ref="G164:I164"/>
    <mergeCell ref="G111:I111"/>
    <mergeCell ref="G88:I88"/>
    <mergeCell ref="G205:H205"/>
    <mergeCell ref="G198:H198"/>
    <mergeCell ref="G201:H201"/>
    <mergeCell ref="G203:H203"/>
    <mergeCell ref="I202:J202"/>
    <mergeCell ref="G202:H202"/>
    <mergeCell ref="G200:H200"/>
    <mergeCell ref="G163:I163"/>
    <mergeCell ref="G82:I82"/>
    <mergeCell ref="G108:I108"/>
    <mergeCell ref="G83:I83"/>
    <mergeCell ref="C245:L254"/>
    <mergeCell ref="Q64:R66"/>
    <mergeCell ref="G193:H193"/>
    <mergeCell ref="D182:M183"/>
    <mergeCell ref="S272:T272"/>
    <mergeCell ref="G47:I47"/>
    <mergeCell ref="G52:I52"/>
    <mergeCell ref="K187:L187"/>
    <mergeCell ref="L188:L189"/>
    <mergeCell ref="K186:L186"/>
    <mergeCell ref="D95:L95"/>
    <mergeCell ref="D167:L173"/>
    <mergeCell ref="D144:L145"/>
    <mergeCell ref="G161:I161"/>
    <mergeCell ref="G156:I156"/>
    <mergeCell ref="D180:M181"/>
    <mergeCell ref="D207:L209"/>
    <mergeCell ref="G199:H199"/>
    <mergeCell ref="G224:I225"/>
    <mergeCell ref="I200:J200"/>
    <mergeCell ref="I205:J205"/>
    <mergeCell ref="G53:I53"/>
    <mergeCell ref="G57:I57"/>
    <mergeCell ref="G48:I48"/>
    <mergeCell ref="W41:W42"/>
    <mergeCell ref="G46:I46"/>
    <mergeCell ref="I206:J206"/>
    <mergeCell ref="I191:J191"/>
    <mergeCell ref="I199:J199"/>
    <mergeCell ref="G151:I151"/>
    <mergeCell ref="G157:I157"/>
    <mergeCell ref="G158:I158"/>
    <mergeCell ref="G153:I153"/>
    <mergeCell ref="G51:I51"/>
    <mergeCell ref="G109:I109"/>
    <mergeCell ref="I198:J198"/>
    <mergeCell ref="G103:I103"/>
    <mergeCell ref="G50:I50"/>
    <mergeCell ref="E39:H39"/>
    <mergeCell ref="L164:M164"/>
    <mergeCell ref="G101:I101"/>
    <mergeCell ref="I193:J193"/>
    <mergeCell ref="I190:J190"/>
    <mergeCell ref="G191:H191"/>
    <mergeCell ref="G194:H194"/>
    <mergeCell ref="I194:J194"/>
    <mergeCell ref="AC125:AC127"/>
    <mergeCell ref="D215:K222"/>
    <mergeCell ref="G155:I155"/>
    <mergeCell ref="G110:I110"/>
    <mergeCell ref="G100:I100"/>
    <mergeCell ref="AA125:AA127"/>
    <mergeCell ref="AB125:AB127"/>
    <mergeCell ref="G192:H192"/>
    <mergeCell ref="G190:H190"/>
    <mergeCell ref="I192:J192"/>
    <mergeCell ref="S218:T218"/>
    <mergeCell ref="G206:H206"/>
    <mergeCell ref="I195:J195"/>
    <mergeCell ref="G195:H195"/>
    <mergeCell ref="I201:J201"/>
    <mergeCell ref="G197:H197"/>
    <mergeCell ref="I197:J197"/>
    <mergeCell ref="G196:H196"/>
    <mergeCell ref="G204:H204"/>
    <mergeCell ref="I204:J204"/>
    <mergeCell ref="S219:S221"/>
    <mergeCell ref="R219:R221"/>
    <mergeCell ref="T219:T221"/>
    <mergeCell ref="G154:I154"/>
    <mergeCell ref="D22:M22"/>
    <mergeCell ref="R41:T41"/>
    <mergeCell ref="U41:U42"/>
    <mergeCell ref="V41:V42"/>
    <mergeCell ref="AL125:AL127"/>
    <mergeCell ref="G55:I55"/>
    <mergeCell ref="G76:I76"/>
    <mergeCell ref="G106:I106"/>
    <mergeCell ref="AK125:AK127"/>
    <mergeCell ref="AD125:AD127"/>
    <mergeCell ref="AE125:AE127"/>
    <mergeCell ref="AF125:AF127"/>
    <mergeCell ref="AG125:AG127"/>
    <mergeCell ref="AH125:AH127"/>
    <mergeCell ref="AI125:AI127"/>
    <mergeCell ref="G112:I112"/>
    <mergeCell ref="G102:I102"/>
    <mergeCell ref="AC74:AC75"/>
    <mergeCell ref="G85:I85"/>
    <mergeCell ref="G86:I86"/>
    <mergeCell ref="G49:I49"/>
    <mergeCell ref="C38:D40"/>
    <mergeCell ref="F224:F226"/>
    <mergeCell ref="J224:J226"/>
    <mergeCell ref="G162:I162"/>
    <mergeCell ref="G105:I105"/>
    <mergeCell ref="G159:I159"/>
    <mergeCell ref="G160:I160"/>
    <mergeCell ref="G226:I226"/>
    <mergeCell ref="I196:J196"/>
    <mergeCell ref="D136:K136"/>
    <mergeCell ref="D174:L175"/>
    <mergeCell ref="G77:I77"/>
    <mergeCell ref="P76:Q85"/>
    <mergeCell ref="D117:K117"/>
    <mergeCell ref="D67:L67"/>
    <mergeCell ref="G99:I99"/>
    <mergeCell ref="G104:I104"/>
    <mergeCell ref="G152:I152"/>
    <mergeCell ref="G107:I107"/>
    <mergeCell ref="G87:I87"/>
    <mergeCell ref="G84:I84"/>
    <mergeCell ref="Q211:U217"/>
    <mergeCell ref="C4:N4"/>
    <mergeCell ref="D6:M6"/>
    <mergeCell ref="D214:F214"/>
    <mergeCell ref="D7:M7"/>
    <mergeCell ref="D5:M5"/>
    <mergeCell ref="D9:L9"/>
    <mergeCell ref="G54:I54"/>
    <mergeCell ref="G58:I58"/>
    <mergeCell ref="G59:I59"/>
    <mergeCell ref="D10:M10"/>
    <mergeCell ref="E42:I42"/>
    <mergeCell ref="G45:I45"/>
    <mergeCell ref="G44:I44"/>
    <mergeCell ref="G41:I41"/>
    <mergeCell ref="D13:M13"/>
    <mergeCell ref="D18:M19"/>
    <mergeCell ref="G43:I43"/>
    <mergeCell ref="T59:U61"/>
    <mergeCell ref="G56:I56"/>
    <mergeCell ref="J41:J42"/>
    <mergeCell ref="K41:K42"/>
    <mergeCell ref="G75:I75"/>
  </mergeCells>
  <phoneticPr fontId="2" type="noConversion"/>
  <printOptions horizontalCentered="1" verticalCentered="1"/>
  <pageMargins left="0.49" right="0.3" top="0.21" bottom="0.27" header="0" footer="0"/>
  <pageSetup fitToHeight="2" orientation="landscape" horizontalDpi="300" verticalDpi="300" r:id="rId2"/>
  <headerFooter alignWithMargins="0"/>
  <rowBreaks count="1" manualBreakCount="1">
    <brk id="20" min="2" max="13" man="1"/>
  </rowBreaks>
  <ignoredErrors>
    <ignoredError sqref="T55" formula="1"/>
  </ignoredErrors>
  <drawing r:id="rId3"/>
  <legacy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N147"/>
  <sheetViews>
    <sheetView showGridLines="0" tabSelected="1" zoomScale="130" zoomScaleNormal="130" workbookViewId="0">
      <selection activeCell="A5" sqref="A5"/>
    </sheetView>
  </sheetViews>
  <sheetFormatPr defaultRowHeight="12.75" x14ac:dyDescent="0.2"/>
  <cols>
    <col min="1" max="1" width="14.28515625" customWidth="1"/>
    <col min="2" max="2" width="3.28515625" customWidth="1"/>
    <col min="3" max="3" width="4.28515625" customWidth="1"/>
    <col min="4" max="4" width="33.7109375" customWidth="1"/>
    <col min="5" max="5" width="16.140625" customWidth="1"/>
    <col min="6" max="6" width="10.85546875" customWidth="1"/>
    <col min="7" max="7" width="11.5703125" customWidth="1"/>
    <col min="8" max="8" width="10.42578125" customWidth="1"/>
    <col min="9" max="9" width="8.140625" customWidth="1"/>
    <col min="10" max="10" width="10.28515625" customWidth="1"/>
    <col min="11" max="11" width="9.7109375" customWidth="1"/>
    <col min="12" max="12" width="11" customWidth="1"/>
    <col min="13" max="13" width="14.85546875" customWidth="1"/>
    <col min="14" max="14" width="9.5703125" customWidth="1"/>
    <col min="15" max="15" width="8.7109375" customWidth="1"/>
    <col min="16" max="16" width="11.5703125" customWidth="1"/>
  </cols>
  <sheetData>
    <row r="2" spans="1:14" ht="13.5" thickBot="1" x14ac:dyDescent="0.25"/>
    <row r="3" spans="1:14" ht="30.75" customHeight="1" thickBot="1" x14ac:dyDescent="0.25">
      <c r="A3" t="s">
        <v>1</v>
      </c>
      <c r="B3" s="937" t="s">
        <v>177</v>
      </c>
      <c r="C3" s="938"/>
      <c r="D3" s="938"/>
      <c r="E3" s="938"/>
      <c r="F3" s="938"/>
      <c r="G3" s="938"/>
      <c r="H3" s="938"/>
      <c r="I3" s="938"/>
      <c r="J3" s="938"/>
      <c r="K3" s="938"/>
      <c r="L3" s="938"/>
      <c r="M3" s="939"/>
      <c r="N3" s="89"/>
    </row>
    <row r="4" spans="1:14" ht="30.75" customHeight="1" x14ac:dyDescent="0.4">
      <c r="D4" s="936" t="s">
        <v>69</v>
      </c>
      <c r="E4" s="936"/>
      <c r="F4" s="936"/>
      <c r="G4" s="936"/>
      <c r="H4" s="936"/>
      <c r="I4" s="936"/>
      <c r="J4" s="936"/>
      <c r="K4" s="936"/>
      <c r="L4" s="936"/>
      <c r="M4" s="936"/>
      <c r="N4" s="202"/>
    </row>
    <row r="5" spans="1:14" ht="27" customHeight="1" thickBot="1" x14ac:dyDescent="0.25">
      <c r="D5" s="388" t="s">
        <v>97</v>
      </c>
      <c r="L5" s="886" t="s">
        <v>166</v>
      </c>
      <c r="M5" s="887"/>
      <c r="N5" s="888"/>
    </row>
    <row r="6" spans="1:14" ht="12.75" customHeight="1" x14ac:dyDescent="0.2">
      <c r="B6" s="336"/>
      <c r="C6" s="232"/>
      <c r="D6" s="232"/>
      <c r="E6" s="232"/>
      <c r="F6" s="232"/>
      <c r="G6" s="232"/>
      <c r="H6" s="232"/>
      <c r="I6" s="232"/>
      <c r="J6" s="232"/>
      <c r="K6" s="232"/>
      <c r="L6" s="232"/>
      <c r="M6" s="233"/>
      <c r="N6" s="688"/>
    </row>
    <row r="7" spans="1:14" ht="30" customHeight="1" x14ac:dyDescent="0.55000000000000004">
      <c r="B7" s="337"/>
      <c r="C7" s="333"/>
      <c r="D7" s="687" t="s">
        <v>174</v>
      </c>
      <c r="E7" s="335"/>
      <c r="F7" s="334"/>
      <c r="G7" s="334"/>
      <c r="H7" s="334"/>
      <c r="I7" s="334"/>
      <c r="J7" s="334"/>
      <c r="K7" s="334"/>
      <c r="L7" s="231"/>
      <c r="M7" s="338"/>
      <c r="N7" s="688"/>
    </row>
    <row r="8" spans="1:14" x14ac:dyDescent="0.2">
      <c r="B8" s="337"/>
      <c r="C8" s="231"/>
      <c r="D8" s="231"/>
      <c r="E8" s="231"/>
      <c r="F8" s="231"/>
      <c r="G8" s="231"/>
      <c r="H8" s="231"/>
      <c r="I8" s="231"/>
      <c r="J8" s="231"/>
      <c r="K8" s="231"/>
      <c r="L8" s="231"/>
      <c r="M8" s="338"/>
      <c r="N8" s="688"/>
    </row>
    <row r="9" spans="1:14" ht="17.25" customHeight="1" x14ac:dyDescent="0.2">
      <c r="B9" s="337"/>
      <c r="C9" s="231"/>
      <c r="D9" s="890" t="s">
        <v>288</v>
      </c>
      <c r="E9" s="891"/>
      <c r="F9" s="891"/>
      <c r="G9" s="891"/>
      <c r="H9" s="891"/>
      <c r="I9" s="891"/>
      <c r="J9" s="891"/>
      <c r="K9" s="891"/>
      <c r="L9" s="891"/>
      <c r="M9" s="338"/>
      <c r="N9" s="688"/>
    </row>
    <row r="10" spans="1:14" ht="36" customHeight="1" x14ac:dyDescent="0.2">
      <c r="B10" s="337"/>
      <c r="C10" s="231"/>
      <c r="D10" s="935"/>
      <c r="E10" s="935"/>
      <c r="F10" s="935"/>
      <c r="G10" s="935"/>
      <c r="H10" s="935"/>
      <c r="I10" s="935"/>
      <c r="J10" s="935"/>
      <c r="K10" s="935"/>
      <c r="L10" s="935"/>
      <c r="M10" s="338"/>
      <c r="N10" s="688"/>
    </row>
    <row r="11" spans="1:14" ht="51" customHeight="1" x14ac:dyDescent="0.2">
      <c r="B11" s="337"/>
      <c r="C11" s="231"/>
      <c r="D11" s="771" t="s">
        <v>239</v>
      </c>
      <c r="E11" s="891"/>
      <c r="F11" s="891"/>
      <c r="G11" s="891"/>
      <c r="H11" s="891"/>
      <c r="I11" s="891"/>
      <c r="J11" s="891"/>
      <c r="K11" s="891"/>
      <c r="L11" s="891"/>
      <c r="M11" s="338"/>
      <c r="N11" s="688"/>
    </row>
    <row r="12" spans="1:14" ht="49.5" customHeight="1" x14ac:dyDescent="0.2">
      <c r="B12" s="337"/>
      <c r="C12" s="231"/>
      <c r="D12" s="771" t="s">
        <v>240</v>
      </c>
      <c r="E12" s="891"/>
      <c r="F12" s="891"/>
      <c r="G12" s="891"/>
      <c r="H12" s="891"/>
      <c r="I12" s="891"/>
      <c r="J12" s="891"/>
      <c r="K12" s="891"/>
      <c r="L12" s="891"/>
      <c r="M12" s="338"/>
      <c r="N12" s="688"/>
    </row>
    <row r="13" spans="1:14" ht="51" customHeight="1" x14ac:dyDescent="0.2">
      <c r="B13" s="337"/>
      <c r="C13" s="231"/>
      <c r="D13" s="771" t="s">
        <v>180</v>
      </c>
      <c r="E13" s="891"/>
      <c r="F13" s="891"/>
      <c r="G13" s="891"/>
      <c r="H13" s="891"/>
      <c r="I13" s="891"/>
      <c r="J13" s="891"/>
      <c r="K13" s="891"/>
      <c r="L13" s="891"/>
      <c r="M13" s="338"/>
      <c r="N13" s="688"/>
    </row>
    <row r="14" spans="1:14" ht="13.5" thickBot="1" x14ac:dyDescent="0.25">
      <c r="B14" s="339"/>
      <c r="C14" s="340"/>
      <c r="D14" s="340"/>
      <c r="E14" s="340"/>
      <c r="F14" s="340"/>
      <c r="G14" s="340"/>
      <c r="H14" s="340"/>
      <c r="I14" s="340"/>
      <c r="J14" s="340"/>
      <c r="K14" s="340"/>
      <c r="L14" s="340"/>
      <c r="M14" s="341"/>
      <c r="N14" s="688"/>
    </row>
    <row r="15" spans="1:14" ht="13.5" thickBot="1" x14ac:dyDescent="0.25">
      <c r="B15" s="60"/>
      <c r="C15" s="343"/>
      <c r="D15" s="343"/>
      <c r="E15" s="343"/>
      <c r="F15" s="343"/>
      <c r="G15" s="343"/>
      <c r="H15" s="343"/>
      <c r="I15" s="343"/>
      <c r="J15" s="343"/>
      <c r="K15" s="343"/>
      <c r="L15" s="343"/>
      <c r="M15" s="60"/>
    </row>
    <row r="16" spans="1:14" ht="33.75" x14ac:dyDescent="0.5">
      <c r="B16" s="336"/>
      <c r="C16" s="345"/>
      <c r="D16" s="686" t="s">
        <v>175</v>
      </c>
      <c r="E16" s="232"/>
      <c r="F16" s="232"/>
      <c r="G16" s="232"/>
      <c r="H16" s="232"/>
      <c r="I16" s="232"/>
      <c r="J16" s="232"/>
      <c r="K16" s="232"/>
      <c r="L16" s="232"/>
      <c r="M16" s="233"/>
    </row>
    <row r="17" spans="2:14" x14ac:dyDescent="0.2">
      <c r="B17" s="337"/>
      <c r="C17" s="231"/>
      <c r="D17" s="231"/>
      <c r="E17" s="231"/>
      <c r="F17" s="231"/>
      <c r="G17" s="231"/>
      <c r="H17" s="231"/>
      <c r="I17" s="231"/>
      <c r="J17" s="231"/>
      <c r="K17" s="231"/>
      <c r="L17" s="231"/>
      <c r="M17" s="338"/>
    </row>
    <row r="18" spans="2:14" ht="32.25" customHeight="1" x14ac:dyDescent="0.2">
      <c r="B18" s="337"/>
      <c r="C18" s="262">
        <v>1</v>
      </c>
      <c r="D18" s="745" t="s">
        <v>132</v>
      </c>
      <c r="E18" s="746"/>
      <c r="F18" s="746"/>
      <c r="G18" s="746"/>
      <c r="H18" s="746"/>
      <c r="I18" s="746"/>
      <c r="J18" s="746"/>
      <c r="K18" s="746"/>
      <c r="L18" s="746"/>
      <c r="M18" s="346"/>
    </row>
    <row r="19" spans="2:14" ht="7.5" customHeight="1" x14ac:dyDescent="0.2">
      <c r="B19" s="337"/>
      <c r="C19" s="243"/>
      <c r="D19" s="347"/>
      <c r="E19" s="347"/>
      <c r="F19" s="347"/>
      <c r="G19" s="347"/>
      <c r="H19" s="347"/>
      <c r="I19" s="347"/>
      <c r="J19" s="347"/>
      <c r="K19" s="347"/>
      <c r="L19" s="347"/>
      <c r="M19" s="348"/>
    </row>
    <row r="20" spans="2:14" ht="30" customHeight="1" x14ac:dyDescent="0.2">
      <c r="B20" s="337"/>
      <c r="C20" s="262">
        <v>2</v>
      </c>
      <c r="D20" s="721" t="s">
        <v>122</v>
      </c>
      <c r="E20" s="695"/>
      <c r="F20" s="695"/>
      <c r="G20" s="695"/>
      <c r="H20" s="695"/>
      <c r="I20" s="695"/>
      <c r="J20" s="695"/>
      <c r="K20" s="695"/>
      <c r="L20" s="695"/>
      <c r="M20" s="348"/>
    </row>
    <row r="21" spans="2:14" ht="7.5" customHeight="1" x14ac:dyDescent="0.2">
      <c r="B21" s="337"/>
      <c r="C21" s="243"/>
      <c r="D21" s="347"/>
      <c r="E21" s="347"/>
      <c r="F21" s="347"/>
      <c r="G21" s="347"/>
      <c r="H21" s="347"/>
      <c r="I21" s="347"/>
      <c r="J21" s="347"/>
      <c r="K21" s="347"/>
      <c r="L21" s="347"/>
      <c r="M21" s="348"/>
    </row>
    <row r="22" spans="2:14" ht="60.75" customHeight="1" x14ac:dyDescent="0.2">
      <c r="B22" s="337"/>
      <c r="C22" s="262">
        <v>3</v>
      </c>
      <c r="D22" s="721" t="s">
        <v>170</v>
      </c>
      <c r="E22" s="695"/>
      <c r="F22" s="695"/>
      <c r="G22" s="695"/>
      <c r="H22" s="695"/>
      <c r="I22" s="695"/>
      <c r="J22" s="695"/>
      <c r="K22" s="695"/>
      <c r="L22" s="695"/>
      <c r="M22" s="348"/>
    </row>
    <row r="23" spans="2:14" ht="9" customHeight="1" x14ac:dyDescent="0.2">
      <c r="B23" s="337"/>
      <c r="C23" s="262"/>
      <c r="D23" s="347"/>
      <c r="E23" s="347"/>
      <c r="F23" s="347"/>
      <c r="G23" s="347"/>
      <c r="H23" s="347"/>
      <c r="I23" s="347"/>
      <c r="J23" s="347"/>
      <c r="K23" s="347"/>
      <c r="L23" s="347"/>
      <c r="M23" s="349"/>
    </row>
    <row r="24" spans="2:14" ht="45" customHeight="1" x14ac:dyDescent="0.2">
      <c r="B24" s="337"/>
      <c r="C24" s="262">
        <v>4</v>
      </c>
      <c r="D24" s="721" t="s">
        <v>241</v>
      </c>
      <c r="E24" s="695"/>
      <c r="F24" s="695"/>
      <c r="G24" s="695"/>
      <c r="H24" s="695"/>
      <c r="I24" s="695"/>
      <c r="J24" s="695"/>
      <c r="K24" s="695"/>
      <c r="L24" s="695"/>
      <c r="M24" s="350"/>
    </row>
    <row r="25" spans="2:14" ht="7.5" customHeight="1" x14ac:dyDescent="0.2">
      <c r="B25" s="337"/>
      <c r="C25" s="243"/>
      <c r="D25" s="347"/>
      <c r="E25" s="347"/>
      <c r="F25" s="347"/>
      <c r="G25" s="347"/>
      <c r="H25" s="347"/>
      <c r="I25" s="347"/>
      <c r="J25" s="347"/>
      <c r="K25" s="347"/>
      <c r="L25" s="347"/>
      <c r="M25" s="349"/>
    </row>
    <row r="26" spans="2:14" ht="78.75" customHeight="1" x14ac:dyDescent="0.2">
      <c r="B26" s="337"/>
      <c r="C26" s="262">
        <v>5</v>
      </c>
      <c r="D26" s="745" t="s">
        <v>289</v>
      </c>
      <c r="E26" s="695"/>
      <c r="F26" s="695"/>
      <c r="G26" s="695"/>
      <c r="H26" s="695"/>
      <c r="I26" s="695"/>
      <c r="J26" s="695"/>
      <c r="K26" s="695"/>
      <c r="L26" s="695"/>
      <c r="M26" s="338"/>
    </row>
    <row r="27" spans="2:14" ht="7.5" customHeight="1" x14ac:dyDescent="0.2">
      <c r="B27" s="337"/>
      <c r="C27" s="262"/>
      <c r="D27" s="347"/>
      <c r="E27" s="347"/>
      <c r="F27" s="347"/>
      <c r="G27" s="347"/>
      <c r="H27" s="347"/>
      <c r="I27" s="347"/>
      <c r="J27" s="347"/>
      <c r="K27" s="347"/>
      <c r="L27" s="347"/>
      <c r="M27" s="348"/>
    </row>
    <row r="28" spans="2:14" ht="63" customHeight="1" x14ac:dyDescent="0.2">
      <c r="B28" s="337"/>
      <c r="C28" s="262">
        <v>6</v>
      </c>
      <c r="D28" s="721" t="s">
        <v>242</v>
      </c>
      <c r="E28" s="695"/>
      <c r="F28" s="695"/>
      <c r="G28" s="695"/>
      <c r="H28" s="695"/>
      <c r="I28" s="695"/>
      <c r="J28" s="695"/>
      <c r="K28" s="695"/>
      <c r="L28" s="695"/>
      <c r="M28" s="348"/>
    </row>
    <row r="29" spans="2:14" ht="10.5" customHeight="1" x14ac:dyDescent="0.2">
      <c r="B29" s="337"/>
      <c r="C29" s="262"/>
      <c r="D29" s="347"/>
      <c r="E29" s="347"/>
      <c r="F29" s="347"/>
      <c r="G29" s="347"/>
      <c r="H29" s="347"/>
      <c r="I29" s="347"/>
      <c r="J29" s="347"/>
      <c r="K29" s="347"/>
      <c r="L29" s="347"/>
      <c r="M29" s="349"/>
    </row>
    <row r="30" spans="2:14" ht="33.75" customHeight="1" thickBot="1" x14ac:dyDescent="0.25">
      <c r="B30" s="339"/>
      <c r="C30" s="246">
        <v>7</v>
      </c>
      <c r="D30" s="915" t="s">
        <v>123</v>
      </c>
      <c r="E30" s="916"/>
      <c r="F30" s="916"/>
      <c r="G30" s="916"/>
      <c r="H30" s="916"/>
      <c r="I30" s="916"/>
      <c r="J30" s="916"/>
      <c r="K30" s="916"/>
      <c r="L30" s="916"/>
      <c r="M30" s="341"/>
      <c r="N30" s="688"/>
    </row>
    <row r="31" spans="2:14" ht="15.75" thickBot="1" x14ac:dyDescent="0.25">
      <c r="B31" s="342"/>
      <c r="C31" s="342"/>
      <c r="D31" s="344"/>
      <c r="E31" s="344"/>
      <c r="F31" s="344"/>
      <c r="G31" s="344"/>
      <c r="H31" s="344"/>
      <c r="I31" s="344"/>
      <c r="J31" s="344"/>
      <c r="K31" s="344"/>
      <c r="L31" s="344"/>
      <c r="M31" s="344"/>
    </row>
    <row r="32" spans="2:14" ht="39" customHeight="1" thickTop="1" x14ac:dyDescent="0.55000000000000004">
      <c r="B32" s="332"/>
      <c r="C32" s="351"/>
      <c r="D32" s="433" t="s">
        <v>233</v>
      </c>
      <c r="E32" s="347"/>
      <c r="F32" s="347"/>
      <c r="G32" s="347"/>
      <c r="H32" s="347"/>
      <c r="I32" s="347"/>
      <c r="J32" s="347"/>
      <c r="K32" s="347"/>
      <c r="L32" s="347"/>
      <c r="M32" s="239"/>
      <c r="N32" s="36"/>
    </row>
    <row r="33" spans="2:13" ht="15" x14ac:dyDescent="0.2">
      <c r="B33" s="332"/>
      <c r="C33" s="231"/>
      <c r="D33" s="347"/>
      <c r="E33" s="347"/>
      <c r="F33" s="347"/>
      <c r="G33" s="347"/>
      <c r="H33" s="347"/>
      <c r="I33" s="347"/>
      <c r="J33" s="347"/>
      <c r="K33" s="347"/>
      <c r="L33" s="347"/>
      <c r="M33" s="239"/>
    </row>
    <row r="34" spans="2:13" ht="15" x14ac:dyDescent="0.2">
      <c r="B34" s="332"/>
      <c r="C34" s="262">
        <v>1</v>
      </c>
      <c r="D34" s="745" t="s">
        <v>291</v>
      </c>
      <c r="E34" s="746"/>
      <c r="F34" s="746"/>
      <c r="G34" s="746"/>
      <c r="H34" s="746"/>
      <c r="I34" s="746"/>
      <c r="J34" s="746"/>
      <c r="K34" s="746"/>
      <c r="L34" s="746"/>
      <c r="M34" s="239"/>
    </row>
    <row r="35" spans="2:13" ht="15" x14ac:dyDescent="0.2">
      <c r="B35" s="332"/>
      <c r="C35" s="262"/>
      <c r="D35" s="746"/>
      <c r="E35" s="746"/>
      <c r="F35" s="746"/>
      <c r="G35" s="746"/>
      <c r="H35" s="746"/>
      <c r="I35" s="746"/>
      <c r="J35" s="746"/>
      <c r="K35" s="746"/>
      <c r="L35" s="746"/>
      <c r="M35" s="239"/>
    </row>
    <row r="36" spans="2:13" ht="15" x14ac:dyDescent="0.2">
      <c r="B36" s="332"/>
      <c r="C36" s="262"/>
      <c r="D36" s="746"/>
      <c r="E36" s="746"/>
      <c r="F36" s="746"/>
      <c r="G36" s="746"/>
      <c r="H36" s="746"/>
      <c r="I36" s="746"/>
      <c r="J36" s="746"/>
      <c r="K36" s="746"/>
      <c r="L36" s="746"/>
      <c r="M36" s="239"/>
    </row>
    <row r="37" spans="2:13" ht="7.5" customHeight="1" x14ac:dyDescent="0.2">
      <c r="B37" s="332"/>
      <c r="C37" s="231"/>
      <c r="D37" s="347"/>
      <c r="E37" s="347"/>
      <c r="F37" s="347"/>
      <c r="G37" s="347"/>
      <c r="H37" s="347"/>
      <c r="I37" s="347"/>
      <c r="J37" s="347"/>
      <c r="K37" s="347"/>
      <c r="L37" s="347"/>
      <c r="M37" s="239"/>
    </row>
    <row r="38" spans="2:13" ht="16.5" customHeight="1" x14ac:dyDescent="0.2">
      <c r="B38" s="332"/>
      <c r="C38" s="262">
        <v>2</v>
      </c>
      <c r="D38" s="745" t="s">
        <v>243</v>
      </c>
      <c r="E38" s="695"/>
      <c r="F38" s="695"/>
      <c r="G38" s="695"/>
      <c r="H38" s="695"/>
      <c r="I38" s="695"/>
      <c r="J38" s="695"/>
      <c r="K38" s="695"/>
      <c r="L38" s="695"/>
      <c r="M38" s="352"/>
    </row>
    <row r="39" spans="2:13" ht="32.25" customHeight="1" x14ac:dyDescent="0.2">
      <c r="B39" s="332"/>
      <c r="C39" s="262"/>
      <c r="D39" s="695"/>
      <c r="E39" s="695"/>
      <c r="F39" s="695"/>
      <c r="G39" s="695"/>
      <c r="H39" s="695"/>
      <c r="I39" s="695"/>
      <c r="J39" s="695"/>
      <c r="K39" s="695"/>
      <c r="L39" s="695"/>
      <c r="M39" s="352"/>
    </row>
    <row r="40" spans="2:13" ht="13.5" customHeight="1" x14ac:dyDescent="0.2">
      <c r="B40" s="332"/>
      <c r="C40" s="262"/>
      <c r="D40" s="695"/>
      <c r="E40" s="695"/>
      <c r="F40" s="695"/>
      <c r="G40" s="695"/>
      <c r="H40" s="695"/>
      <c r="I40" s="695"/>
      <c r="J40" s="695"/>
      <c r="K40" s="695"/>
      <c r="L40" s="695"/>
      <c r="M40" s="352"/>
    </row>
    <row r="41" spans="2:13" ht="6" customHeight="1" x14ac:dyDescent="0.2">
      <c r="B41" s="332"/>
      <c r="C41" s="262" t="s">
        <v>1</v>
      </c>
      <c r="D41" s="347"/>
      <c r="E41" s="353"/>
      <c r="F41" s="353"/>
      <c r="G41" s="353"/>
      <c r="H41" s="353"/>
      <c r="I41" s="353"/>
      <c r="J41" s="353"/>
      <c r="K41" s="353"/>
      <c r="L41" s="353"/>
      <c r="M41" s="354"/>
    </row>
    <row r="42" spans="2:13" ht="51.75" customHeight="1" x14ac:dyDescent="0.2">
      <c r="B42" s="332"/>
      <c r="C42" s="262">
        <v>3</v>
      </c>
      <c r="D42" s="745" t="s">
        <v>147</v>
      </c>
      <c r="E42" s="695"/>
      <c r="F42" s="695"/>
      <c r="G42" s="695"/>
      <c r="H42" s="695"/>
      <c r="I42" s="695"/>
      <c r="J42" s="695"/>
      <c r="K42" s="695"/>
      <c r="L42" s="695"/>
      <c r="M42" s="354"/>
    </row>
    <row r="43" spans="2:13" ht="51.75" customHeight="1" x14ac:dyDescent="0.2">
      <c r="B43" s="332"/>
      <c r="C43" s="262">
        <v>4</v>
      </c>
      <c r="D43" s="745" t="s">
        <v>290</v>
      </c>
      <c r="E43" s="695"/>
      <c r="F43" s="695"/>
      <c r="G43" s="695"/>
      <c r="H43" s="695"/>
      <c r="I43" s="695"/>
      <c r="J43" s="695"/>
      <c r="K43" s="695"/>
      <c r="L43" s="695"/>
      <c r="M43" s="354"/>
    </row>
    <row r="44" spans="2:13" ht="6.75" customHeight="1" x14ac:dyDescent="0.2">
      <c r="B44" s="332"/>
      <c r="C44" s="262"/>
      <c r="D44" s="355"/>
      <c r="E44" s="356"/>
      <c r="F44" s="356"/>
      <c r="G44" s="356"/>
      <c r="H44" s="356"/>
      <c r="I44" s="356"/>
      <c r="J44" s="356"/>
      <c r="K44" s="356"/>
      <c r="L44" s="356"/>
      <c r="M44" s="354"/>
    </row>
    <row r="45" spans="2:13" ht="67.5" customHeight="1" x14ac:dyDescent="0.2">
      <c r="B45" s="332"/>
      <c r="C45" s="262">
        <v>5</v>
      </c>
      <c r="D45" s="745" t="s">
        <v>171</v>
      </c>
      <c r="E45" s="695"/>
      <c r="F45" s="695"/>
      <c r="G45" s="695"/>
      <c r="H45" s="695"/>
      <c r="I45" s="695"/>
      <c r="J45" s="695"/>
      <c r="K45" s="695"/>
      <c r="L45" s="695"/>
      <c r="M45" s="354"/>
    </row>
    <row r="46" spans="2:13" ht="59.25" customHeight="1" x14ac:dyDescent="0.2">
      <c r="B46" s="332"/>
      <c r="C46" s="262">
        <v>6</v>
      </c>
      <c r="D46" s="745" t="s">
        <v>292</v>
      </c>
      <c r="E46" s="695"/>
      <c r="F46" s="695"/>
      <c r="G46" s="695"/>
      <c r="H46" s="695"/>
      <c r="I46" s="695"/>
      <c r="J46" s="695"/>
      <c r="K46" s="695"/>
      <c r="L46" s="695"/>
      <c r="M46" s="354"/>
    </row>
    <row r="47" spans="2:13" ht="8.25" customHeight="1" x14ac:dyDescent="0.2">
      <c r="B47" s="332"/>
      <c r="C47" s="262"/>
      <c r="D47" s="347"/>
      <c r="E47" s="356"/>
      <c r="F47" s="356"/>
      <c r="G47" s="356"/>
      <c r="H47" s="356"/>
      <c r="I47" s="356"/>
      <c r="J47" s="356"/>
      <c r="K47" s="356"/>
      <c r="L47" s="356"/>
      <c r="M47" s="354"/>
    </row>
    <row r="48" spans="2:13" ht="15" customHeight="1" x14ac:dyDescent="0.2">
      <c r="B48" s="332"/>
      <c r="C48" s="262">
        <v>7</v>
      </c>
      <c r="D48" s="720" t="s">
        <v>85</v>
      </c>
      <c r="E48" s="917"/>
      <c r="F48" s="917"/>
      <c r="G48" s="917"/>
      <c r="H48" s="917"/>
      <c r="I48" s="917"/>
      <c r="J48" s="917"/>
      <c r="K48" s="917"/>
      <c r="L48" s="917"/>
      <c r="M48" s="352"/>
    </row>
    <row r="49" spans="2:14" ht="7.5" customHeight="1" x14ac:dyDescent="0.2">
      <c r="B49" s="332"/>
      <c r="C49" s="262"/>
      <c r="D49" s="347"/>
      <c r="E49" s="353"/>
      <c r="F49" s="353"/>
      <c r="G49" s="353"/>
      <c r="H49" s="353"/>
      <c r="I49" s="353"/>
      <c r="J49" s="353"/>
      <c r="K49" s="353"/>
      <c r="L49" s="353"/>
      <c r="M49" s="354"/>
    </row>
    <row r="50" spans="2:14" ht="31.5" customHeight="1" x14ac:dyDescent="0.2">
      <c r="B50" s="332"/>
      <c r="C50" s="262">
        <v>8</v>
      </c>
      <c r="D50" s="745" t="s">
        <v>244</v>
      </c>
      <c r="E50" s="695"/>
      <c r="F50" s="695"/>
      <c r="G50" s="695"/>
      <c r="H50" s="695"/>
      <c r="I50" s="695"/>
      <c r="J50" s="695"/>
      <c r="K50" s="695"/>
      <c r="L50" s="695"/>
      <c r="M50" s="352"/>
    </row>
    <row r="51" spans="2:14" ht="7.5" customHeight="1" x14ac:dyDescent="0.2">
      <c r="B51" s="332"/>
      <c r="C51" s="262"/>
      <c r="D51" s="347"/>
      <c r="E51" s="353"/>
      <c r="F51" s="353"/>
      <c r="G51" s="353"/>
      <c r="H51" s="353"/>
      <c r="I51" s="353"/>
      <c r="J51" s="353"/>
      <c r="K51" s="353"/>
      <c r="L51" s="353"/>
      <c r="M51" s="354"/>
    </row>
    <row r="52" spans="2:14" ht="53.25" customHeight="1" x14ac:dyDescent="0.2">
      <c r="B52" s="332"/>
      <c r="C52" s="262">
        <v>9</v>
      </c>
      <c r="D52" s="745" t="s">
        <v>124</v>
      </c>
      <c r="E52" s="746"/>
      <c r="F52" s="746"/>
      <c r="G52" s="746"/>
      <c r="H52" s="746"/>
      <c r="I52" s="746"/>
      <c r="J52" s="746"/>
      <c r="K52" s="746"/>
      <c r="L52" s="746"/>
      <c r="M52" s="354"/>
    </row>
    <row r="53" spans="2:14" ht="51" customHeight="1" x14ac:dyDescent="0.2">
      <c r="B53" s="332"/>
      <c r="C53" s="262">
        <v>10</v>
      </c>
      <c r="D53" s="745" t="s">
        <v>245</v>
      </c>
      <c r="E53" s="695"/>
      <c r="F53" s="695"/>
      <c r="G53" s="695"/>
      <c r="H53" s="695"/>
      <c r="I53" s="695"/>
      <c r="J53" s="695"/>
      <c r="K53" s="695"/>
      <c r="L53" s="695"/>
      <c r="M53" s="354"/>
    </row>
    <row r="54" spans="2:14" ht="85.5" customHeight="1" x14ac:dyDescent="0.2">
      <c r="B54" s="332"/>
      <c r="C54" s="262">
        <v>11</v>
      </c>
      <c r="D54" s="745" t="s">
        <v>246</v>
      </c>
      <c r="E54" s="695"/>
      <c r="F54" s="695"/>
      <c r="G54" s="695"/>
      <c r="H54" s="695"/>
      <c r="I54" s="695"/>
      <c r="J54" s="695"/>
      <c r="K54" s="695"/>
      <c r="L54" s="695"/>
      <c r="M54" s="352"/>
    </row>
    <row r="55" spans="2:14" ht="53.25" customHeight="1" x14ac:dyDescent="0.2">
      <c r="B55" s="332"/>
      <c r="C55" s="262">
        <v>12</v>
      </c>
      <c r="D55" s="745" t="s">
        <v>133</v>
      </c>
      <c r="E55" s="746"/>
      <c r="F55" s="746"/>
      <c r="G55" s="746"/>
      <c r="H55" s="746"/>
      <c r="I55" s="746"/>
      <c r="J55" s="746"/>
      <c r="K55" s="746"/>
      <c r="L55" s="746"/>
      <c r="M55" s="357"/>
    </row>
    <row r="56" spans="2:14" ht="51.75" customHeight="1" x14ac:dyDescent="0.2">
      <c r="B56" s="332"/>
      <c r="C56" s="262">
        <v>13</v>
      </c>
      <c r="D56" s="745" t="s">
        <v>293</v>
      </c>
      <c r="E56" s="746"/>
      <c r="F56" s="746"/>
      <c r="G56" s="746"/>
      <c r="H56" s="746"/>
      <c r="I56" s="746"/>
      <c r="J56" s="746"/>
      <c r="K56" s="746"/>
      <c r="L56" s="746"/>
      <c r="M56" s="357"/>
    </row>
    <row r="57" spans="2:14" ht="66" customHeight="1" x14ac:dyDescent="0.2">
      <c r="B57" s="332"/>
      <c r="C57" s="262">
        <v>14</v>
      </c>
      <c r="D57" s="745" t="s">
        <v>294</v>
      </c>
      <c r="E57" s="746"/>
      <c r="F57" s="746"/>
      <c r="G57" s="746"/>
      <c r="H57" s="746"/>
      <c r="I57" s="746"/>
      <c r="J57" s="746"/>
      <c r="K57" s="746"/>
      <c r="L57" s="746"/>
      <c r="M57" s="357"/>
    </row>
    <row r="58" spans="2:14" ht="30.75" customHeight="1" x14ac:dyDescent="0.2">
      <c r="B58" s="332"/>
      <c r="C58" s="262">
        <v>15</v>
      </c>
      <c r="D58" s="745" t="s">
        <v>299</v>
      </c>
      <c r="E58" s="746"/>
      <c r="F58" s="746"/>
      <c r="G58" s="746"/>
      <c r="H58" s="746"/>
      <c r="I58" s="746"/>
      <c r="J58" s="746"/>
      <c r="K58" s="746"/>
      <c r="L58" s="746"/>
      <c r="M58" s="357"/>
    </row>
    <row r="59" spans="2:14" ht="10.5" customHeight="1" thickBot="1" x14ac:dyDescent="0.35">
      <c r="B59" s="310"/>
      <c r="C59" s="358"/>
      <c r="D59" s="359"/>
      <c r="E59" s="359"/>
      <c r="F59" s="359"/>
      <c r="G59" s="359"/>
      <c r="H59" s="359"/>
      <c r="I59" s="359"/>
      <c r="J59" s="359"/>
      <c r="K59" s="359"/>
      <c r="L59" s="359"/>
      <c r="M59" s="360"/>
    </row>
    <row r="60" spans="2:14" ht="13.5" thickTop="1" x14ac:dyDescent="0.2"/>
    <row r="62" spans="2:14" ht="54.75" customHeight="1" x14ac:dyDescent="0.25">
      <c r="C62" s="889" t="s">
        <v>197</v>
      </c>
      <c r="D62" s="889"/>
      <c r="E62" s="889"/>
      <c r="F62" s="889"/>
      <c r="G62" s="889"/>
      <c r="H62" s="889"/>
      <c r="I62" s="889"/>
      <c r="J62" s="889"/>
      <c r="K62" s="889"/>
      <c r="L62" s="889"/>
      <c r="M62" s="889"/>
      <c r="N62" s="889"/>
    </row>
    <row r="64" spans="2:14" ht="22.5" customHeight="1" x14ac:dyDescent="0.3">
      <c r="C64" s="186"/>
      <c r="D64" s="187"/>
      <c r="E64" s="188"/>
      <c r="F64" s="188"/>
      <c r="G64" s="188"/>
      <c r="H64" s="188"/>
      <c r="I64" s="188"/>
      <c r="J64" s="188"/>
      <c r="K64" s="612" t="s">
        <v>176</v>
      </c>
      <c r="L64" s="188"/>
      <c r="M64" s="188"/>
      <c r="N64" s="189"/>
    </row>
    <row r="65" spans="3:14" ht="20.25" x14ac:dyDescent="0.3">
      <c r="C65" s="190"/>
      <c r="D65" s="183"/>
      <c r="E65" s="183"/>
      <c r="F65" s="183"/>
      <c r="G65" s="183"/>
      <c r="H65" s="183"/>
      <c r="I65" s="183"/>
      <c r="J65" s="183"/>
      <c r="K65" s="494" t="str">
        <f>D72</f>
        <v xml:space="preserve"> A National Election for the House of Representatives</v>
      </c>
      <c r="L65" s="183"/>
      <c r="M65" s="183"/>
      <c r="N65" s="191"/>
    </row>
    <row r="66" spans="3:14" ht="6.75" customHeight="1" x14ac:dyDescent="0.3">
      <c r="C66" s="190"/>
      <c r="D66" s="183"/>
      <c r="E66" s="183"/>
      <c r="F66" s="183"/>
      <c r="G66" s="183"/>
      <c r="H66" s="183"/>
      <c r="I66" s="183"/>
      <c r="J66" s="183"/>
      <c r="K66" s="494"/>
      <c r="L66" s="183"/>
      <c r="M66" s="183"/>
      <c r="N66" s="191"/>
    </row>
    <row r="67" spans="3:14" ht="15.75" x14ac:dyDescent="0.25">
      <c r="C67" s="190"/>
      <c r="D67" s="496" t="s">
        <v>68</v>
      </c>
      <c r="E67" s="184"/>
      <c r="F67" s="184"/>
      <c r="G67" s="184"/>
      <c r="H67" s="184"/>
      <c r="I67" s="184"/>
      <c r="J67" s="184"/>
      <c r="K67" s="184"/>
      <c r="L67" s="184"/>
      <c r="M67" s="184"/>
      <c r="N67" s="191"/>
    </row>
    <row r="68" spans="3:14" ht="15.75" x14ac:dyDescent="0.25">
      <c r="C68" s="190"/>
      <c r="D68" s="218"/>
      <c r="E68" s="215" t="s">
        <v>49</v>
      </c>
      <c r="F68" s="216">
        <f>HowItWorks!H28</f>
        <v>0.02</v>
      </c>
      <c r="G68" s="217" t="s">
        <v>81</v>
      </c>
      <c r="H68" s="218"/>
      <c r="I68" s="218"/>
      <c r="J68" s="181"/>
      <c r="K68" s="181"/>
      <c r="L68" s="181"/>
      <c r="M68" s="181"/>
      <c r="N68" s="191"/>
    </row>
    <row r="69" spans="3:14" ht="15.75" x14ac:dyDescent="0.25">
      <c r="C69" s="190"/>
      <c r="D69" s="218"/>
      <c r="E69" s="215" t="s">
        <v>153</v>
      </c>
      <c r="F69" s="495">
        <f>HowItWorks!H149</f>
        <v>20</v>
      </c>
      <c r="G69" s="217" t="s">
        <v>236</v>
      </c>
      <c r="H69" s="218"/>
      <c r="I69" s="218"/>
      <c r="J69" s="181"/>
      <c r="K69" s="218"/>
      <c r="L69" s="219">
        <f>HowItWorks!J147</f>
        <v>0.1</v>
      </c>
      <c r="M69" s="217" t="s">
        <v>48</v>
      </c>
      <c r="N69" s="191"/>
    </row>
    <row r="70" spans="3:14" x14ac:dyDescent="0.2">
      <c r="C70" s="190"/>
      <c r="D70" s="183"/>
      <c r="E70" s="183"/>
      <c r="F70" s="183"/>
      <c r="G70" s="183"/>
      <c r="H70" s="183"/>
      <c r="I70" s="183"/>
      <c r="J70" s="183"/>
      <c r="K70" s="182"/>
      <c r="L70" s="182"/>
      <c r="M70" s="182"/>
      <c r="N70" s="191"/>
    </row>
    <row r="71" spans="3:14" ht="15.75" thickBot="1" x14ac:dyDescent="0.25">
      <c r="C71" s="190"/>
      <c r="D71" s="900" t="s">
        <v>150</v>
      </c>
      <c r="E71" s="854"/>
      <c r="F71" s="854"/>
      <c r="G71" s="854"/>
      <c r="H71" s="854"/>
      <c r="I71" s="183"/>
      <c r="J71" s="901" t="s">
        <v>235</v>
      </c>
      <c r="K71" s="902"/>
      <c r="L71" s="902"/>
      <c r="M71" s="902"/>
      <c r="N71" s="191"/>
    </row>
    <row r="72" spans="3:14" ht="13.5" thickTop="1" x14ac:dyDescent="0.2">
      <c r="C72" s="190"/>
      <c r="D72" s="892" t="str">
        <f>HowItWorks!E39</f>
        <v xml:space="preserve"> A National Election for the House of Representatives</v>
      </c>
      <c r="E72" s="894" t="str">
        <f>HowItWorks!F41</f>
        <v>Total Popular Vote</v>
      </c>
      <c r="F72" s="894" t="s">
        <v>105</v>
      </c>
      <c r="G72" s="894" t="s">
        <v>106</v>
      </c>
      <c r="H72" s="894" t="str">
        <f>HowItWorks!J41</f>
        <v>% of Popular Vote</v>
      </c>
      <c r="I72" s="183"/>
      <c r="J72" s="896" t="str">
        <f>HowItWorks!J122</f>
        <v>House Vote Entitlement</v>
      </c>
      <c r="K72" s="863"/>
      <c r="L72" s="896" t="s">
        <v>104</v>
      </c>
      <c r="M72" s="894" t="s">
        <v>156</v>
      </c>
      <c r="N72" s="191"/>
    </row>
    <row r="73" spans="3:14" ht="33" customHeight="1" thickBot="1" x14ac:dyDescent="0.25">
      <c r="C73" s="190"/>
      <c r="D73" s="893"/>
      <c r="E73" s="895"/>
      <c r="F73" s="895"/>
      <c r="G73" s="895"/>
      <c r="H73" s="895"/>
      <c r="I73" s="183"/>
      <c r="J73" s="897"/>
      <c r="K73" s="898"/>
      <c r="L73" s="861"/>
      <c r="M73" s="895"/>
      <c r="N73" s="191"/>
    </row>
    <row r="74" spans="3:14" ht="16.5" thickTop="1" x14ac:dyDescent="0.2">
      <c r="C74" s="190"/>
      <c r="D74" s="77" t="str">
        <f>HowItWorks!E43</f>
        <v>Lincoln Republicans</v>
      </c>
      <c r="E74" s="676">
        <f>HowItWorks!F43</f>
        <v>25000000</v>
      </c>
      <c r="F74" s="49">
        <f>HowItWorks!G43</f>
        <v>125</v>
      </c>
      <c r="G74" s="69">
        <f t="shared" ref="G74:G85" si="0">F74/F$88</f>
        <v>0.28735632183908044</v>
      </c>
      <c r="H74" s="428">
        <f>HowItWorks!J43</f>
        <v>0.15360039321700664</v>
      </c>
      <c r="I74" s="203" t="str">
        <f>HowItWorks!L43</f>
        <v xml:space="preserve"> √√ </v>
      </c>
      <c r="J74" s="84">
        <f>HowItWorks!F190</f>
        <v>124.99999999999999</v>
      </c>
      <c r="K74" s="93">
        <f>IF(J74="Excluded","",J74/J$88)</f>
        <v>0.15643772527032437</v>
      </c>
      <c r="L74" s="440">
        <f>IF(HowItWorks!G190=0,0,HowItWorks!G190)</f>
        <v>125</v>
      </c>
      <c r="M74" s="131">
        <f>IF(HowItWorks!I190=0," ",HowItWorks!I190)</f>
        <v>0.99999999999999989</v>
      </c>
      <c r="N74" s="191"/>
    </row>
    <row r="75" spans="3:14" ht="15.75" x14ac:dyDescent="0.2">
      <c r="C75" s="190"/>
      <c r="D75" s="47" t="str">
        <f>HowItWorks!E44</f>
        <v>Democratic Party</v>
      </c>
      <c r="E75" s="677">
        <f>HowItWorks!F44</f>
        <v>40000000</v>
      </c>
      <c r="F75" s="49">
        <f>HowItWorks!G44</f>
        <v>135</v>
      </c>
      <c r="G75" s="87">
        <f t="shared" si="0"/>
        <v>0.31034482758620691</v>
      </c>
      <c r="H75" s="429">
        <f>HowItWorks!J44</f>
        <v>0.24576062914721061</v>
      </c>
      <c r="I75" s="203" t="str">
        <f>HowItWorks!L44</f>
        <v xml:space="preserve"> </v>
      </c>
      <c r="J75" s="85">
        <f>HowItWorks!F191</f>
        <v>200</v>
      </c>
      <c r="K75" s="93">
        <f>IF(J75="Excluded","",J75/J$88)</f>
        <v>0.25030036043251902</v>
      </c>
      <c r="L75" s="440">
        <f>IF(HowItWorks!G191=0,0,HowItWorks!G191)</f>
        <v>135</v>
      </c>
      <c r="M75" s="131">
        <f>IF(HowItWorks!I191=0," ",HowItWorks!I191)</f>
        <v>1.4814814814814814</v>
      </c>
      <c r="N75" s="191"/>
    </row>
    <row r="76" spans="3:14" ht="15.75" x14ac:dyDescent="0.2">
      <c r="C76" s="190"/>
      <c r="D76" s="47" t="str">
        <f>HowItWorks!E45</f>
        <v>America First Party</v>
      </c>
      <c r="E76" s="677">
        <f>HowItWorks!F45</f>
        <v>30000000</v>
      </c>
      <c r="F76" s="49">
        <f>HowItWorks!G45</f>
        <v>90</v>
      </c>
      <c r="G76" s="87">
        <f t="shared" si="0"/>
        <v>0.20689655172413793</v>
      </c>
      <c r="H76" s="429">
        <f>HowItWorks!J45</f>
        <v>0.18432047186040795</v>
      </c>
      <c r="I76" s="203" t="str">
        <f>HowItWorks!L45</f>
        <v xml:space="preserve"> </v>
      </c>
      <c r="J76" s="85">
        <f>HowItWorks!F192</f>
        <v>150</v>
      </c>
      <c r="K76" s="93">
        <f t="shared" ref="K76:K85" si="1">IF(J76="Excluded","",J76/J$88)</f>
        <v>0.18772527032438927</v>
      </c>
      <c r="L76" s="440">
        <f>IF(HowItWorks!G192=0,0,HowItWorks!G192)</f>
        <v>90</v>
      </c>
      <c r="M76" s="131">
        <f>IF(HowItWorks!I192=0," ",HowItWorks!I192)</f>
        <v>1.6666666666666667</v>
      </c>
      <c r="N76" s="191"/>
    </row>
    <row r="77" spans="3:14" ht="15.75" x14ac:dyDescent="0.2">
      <c r="C77" s="190"/>
      <c r="D77" s="47" t="str">
        <f>HowItWorks!E46</f>
        <v>Progressive Democratic Party</v>
      </c>
      <c r="E77" s="677">
        <f>HowItWorks!F46</f>
        <v>25000000</v>
      </c>
      <c r="F77" s="49">
        <f>HowItWorks!G46</f>
        <v>65</v>
      </c>
      <c r="G77" s="87">
        <f t="shared" si="0"/>
        <v>0.14942528735632185</v>
      </c>
      <c r="H77" s="429">
        <f>HowItWorks!J46</f>
        <v>0.15360039321700664</v>
      </c>
      <c r="I77" s="203" t="str">
        <f>HowItWorks!L46</f>
        <v xml:space="preserve"> </v>
      </c>
      <c r="J77" s="85">
        <f>HowItWorks!F193</f>
        <v>124.99999999999999</v>
      </c>
      <c r="K77" s="93">
        <f t="shared" si="1"/>
        <v>0.15643772527032437</v>
      </c>
      <c r="L77" s="440">
        <f>IF(HowItWorks!G193=0,0,HowItWorks!G193)</f>
        <v>65</v>
      </c>
      <c r="M77" s="131">
        <f>IF(HowItWorks!I193=0," ",HowItWorks!I193)</f>
        <v>1.9230769230769229</v>
      </c>
      <c r="N77" s="191"/>
    </row>
    <row r="78" spans="3:14" ht="15.75" x14ac:dyDescent="0.2">
      <c r="C78" s="190"/>
      <c r="D78" s="47" t="str">
        <f>HowItWorks!E47</f>
        <v>Green Party</v>
      </c>
      <c r="E78" s="677">
        <f>HowItWorks!F47</f>
        <v>15000000</v>
      </c>
      <c r="F78" s="49">
        <f>HowItWorks!G47</f>
        <v>8</v>
      </c>
      <c r="G78" s="87">
        <f t="shared" si="0"/>
        <v>1.8390804597701149E-2</v>
      </c>
      <c r="H78" s="429">
        <f>HowItWorks!J47</f>
        <v>9.2160235930203976E-2</v>
      </c>
      <c r="I78" s="203" t="str">
        <f>HowItWorks!L47</f>
        <v xml:space="preserve"> </v>
      </c>
      <c r="J78" s="85">
        <f>HowItWorks!F194</f>
        <v>75</v>
      </c>
      <c r="K78" s="93">
        <f t="shared" si="1"/>
        <v>9.3862635162194633E-2</v>
      </c>
      <c r="L78" s="440">
        <f>IF(HowItWorks!G194=0,0,HowItWorks!G194)</f>
        <v>15</v>
      </c>
      <c r="M78" s="131">
        <f>IF(HowItWorks!I194=0," ",HowItWorks!I194)</f>
        <v>5</v>
      </c>
      <c r="N78" s="192"/>
    </row>
    <row r="79" spans="3:14" ht="15.75" x14ac:dyDescent="0.2">
      <c r="C79" s="190"/>
      <c r="D79" s="47" t="str">
        <f>HowItWorks!E48</f>
        <v>Libertarian Party</v>
      </c>
      <c r="E79" s="677">
        <f>HowItWorks!F48</f>
        <v>20000000</v>
      </c>
      <c r="F79" s="49">
        <f>HowItWorks!G48</f>
        <v>5</v>
      </c>
      <c r="G79" s="87">
        <f t="shared" si="0"/>
        <v>1.1494252873563218E-2</v>
      </c>
      <c r="H79" s="429">
        <f>HowItWorks!J48</f>
        <v>0.12288031457360531</v>
      </c>
      <c r="I79" s="203" t="str">
        <f>HowItWorks!L48</f>
        <v xml:space="preserve"> </v>
      </c>
      <c r="J79" s="85">
        <f>HowItWorks!F195</f>
        <v>100</v>
      </c>
      <c r="K79" s="93">
        <f t="shared" si="1"/>
        <v>0.12515018021625951</v>
      </c>
      <c r="L79" s="440">
        <f>IF(HowItWorks!G195=0,0,HowItWorks!G195)</f>
        <v>16</v>
      </c>
      <c r="M79" s="131">
        <f>IF(HowItWorks!I195=0," ",HowItWorks!I195)</f>
        <v>6.25</v>
      </c>
      <c r="N79" s="191"/>
    </row>
    <row r="80" spans="3:14" ht="15.75" x14ac:dyDescent="0.2">
      <c r="C80" s="190"/>
      <c r="D80" s="47" t="str">
        <f>HowItWorks!E49</f>
        <v>New West Party</v>
      </c>
      <c r="E80" s="48">
        <f>HowItWorks!F49</f>
        <v>400000</v>
      </c>
      <c r="F80" s="49">
        <f>HowItWorks!G49</f>
        <v>1</v>
      </c>
      <c r="G80" s="87">
        <f t="shared" si="0"/>
        <v>2.2988505747126436E-3</v>
      </c>
      <c r="H80" s="429">
        <f>HowItWorks!J49</f>
        <v>2.4576062914721062E-3</v>
      </c>
      <c r="I80" s="203" t="str">
        <f>HowItWorks!L49</f>
        <v xml:space="preserve"> </v>
      </c>
      <c r="J80" s="85">
        <f>HowItWorks!F196</f>
        <v>2</v>
      </c>
      <c r="K80" s="93">
        <f t="shared" si="1"/>
        <v>2.5030036043251903E-3</v>
      </c>
      <c r="L80" s="440">
        <f>IF(HowItWorks!G196=0,0,HowItWorks!G196)</f>
        <v>1</v>
      </c>
      <c r="M80" s="131">
        <f>IF(HowItWorks!I196=0,0,HowItWorks!I196)</f>
        <v>2</v>
      </c>
      <c r="N80" s="191"/>
    </row>
    <row r="81" spans="3:14" ht="15.75" x14ac:dyDescent="0.2">
      <c r="C81" s="190"/>
      <c r="D81" s="47" t="str">
        <f>HowItWorks!E50</f>
        <v>First Americans Party</v>
      </c>
      <c r="E81" s="48">
        <f>HowItWorks!F50</f>
        <v>3000000</v>
      </c>
      <c r="F81" s="49">
        <f>HowItWorks!G50</f>
        <v>2</v>
      </c>
      <c r="G81" s="87">
        <f t="shared" si="0"/>
        <v>4.5977011494252873E-3</v>
      </c>
      <c r="H81" s="429">
        <f>HowItWorks!J50</f>
        <v>1.8432047186040797E-2</v>
      </c>
      <c r="I81" s="203" t="str">
        <f>HowItWorks!L50</f>
        <v xml:space="preserve"> </v>
      </c>
      <c r="J81" s="85">
        <f>HowItWorks!F197</f>
        <v>15</v>
      </c>
      <c r="K81" s="93">
        <f t="shared" si="1"/>
        <v>1.8772527032438927E-2</v>
      </c>
      <c r="L81" s="440">
        <f>IF(HowItWorks!G197=0,0,HowItWorks!G197)</f>
        <v>3</v>
      </c>
      <c r="M81" s="131">
        <f>IF(HowItWorks!I197=0," ",HowItWorks!I197)</f>
        <v>5</v>
      </c>
      <c r="N81" s="191"/>
    </row>
    <row r="82" spans="3:14" ht="15.75" x14ac:dyDescent="0.2">
      <c r="C82" s="190"/>
      <c r="D82" s="47" t="str">
        <f>HowItWorks!E51</f>
        <v>New Morality Party</v>
      </c>
      <c r="E82" s="48">
        <f>HowItWorks!F51</f>
        <v>2800000</v>
      </c>
      <c r="F82" s="49">
        <f>HowItWorks!G51</f>
        <v>0</v>
      </c>
      <c r="G82" s="87">
        <f t="shared" si="0"/>
        <v>0</v>
      </c>
      <c r="H82" s="429">
        <f>HowItWorks!J51</f>
        <v>1.7203244040304742E-2</v>
      </c>
      <c r="I82" s="203" t="str">
        <f>HowItWorks!L51</f>
        <v xml:space="preserve"> </v>
      </c>
      <c r="J82" s="85">
        <f>HowItWorks!F198</f>
        <v>0</v>
      </c>
      <c r="K82" s="93">
        <f t="shared" si="1"/>
        <v>0</v>
      </c>
      <c r="L82" s="440" t="str">
        <f>IF(HowItWorks!G198=0," ",HowItWorks!G198)</f>
        <v xml:space="preserve"> </v>
      </c>
      <c r="M82" s="131">
        <f>IF(HowItWorks!I198=0,0,HowItWorks!I198)</f>
        <v>0</v>
      </c>
      <c r="N82" s="191"/>
    </row>
    <row r="83" spans="3:14" ht="15" x14ac:dyDescent="0.2">
      <c r="C83" s="190"/>
      <c r="D83" s="47" t="str">
        <f>HowItWorks!E52</f>
        <v>Communist Party of America</v>
      </c>
      <c r="E83" s="48">
        <f>HowItWorks!F52</f>
        <v>400000</v>
      </c>
      <c r="F83" s="49">
        <f>HowItWorks!G52</f>
        <v>0</v>
      </c>
      <c r="G83" s="87">
        <f t="shared" si="0"/>
        <v>0</v>
      </c>
      <c r="H83" s="429">
        <f>HowItWorks!J52</f>
        <v>2.4576062914721062E-3</v>
      </c>
      <c r="I83" s="201" t="str">
        <f>HowItWorks!L52</f>
        <v xml:space="preserve"> </v>
      </c>
      <c r="J83" s="85">
        <f>HowItWorks!F199</f>
        <v>0</v>
      </c>
      <c r="K83" s="93">
        <f t="shared" si="1"/>
        <v>0</v>
      </c>
      <c r="L83" s="440" t="str">
        <f>IF(HowItWorks!G199=0," ",HowItWorks!G199)</f>
        <v xml:space="preserve"> </v>
      </c>
      <c r="M83" s="131">
        <f>IF(HowItWorks!I199=0,0,HowItWorks!I199)</f>
        <v>0</v>
      </c>
      <c r="N83" s="191"/>
    </row>
    <row r="84" spans="3:14" ht="15" x14ac:dyDescent="0.2">
      <c r="C84" s="190"/>
      <c r="D84" s="47" t="str">
        <f>HowItWorks!E53</f>
        <v>Other Party</v>
      </c>
      <c r="E84" s="48">
        <f>HowItWorks!F53</f>
        <v>400000</v>
      </c>
      <c r="F84" s="49">
        <f>HowItWorks!G53</f>
        <v>0</v>
      </c>
      <c r="G84" s="87">
        <f t="shared" si="0"/>
        <v>0</v>
      </c>
      <c r="H84" s="429">
        <f>HowItWorks!J53</f>
        <v>2.4576062914721062E-3</v>
      </c>
      <c r="I84" s="201" t="str">
        <f>HowItWorks!L53</f>
        <v xml:space="preserve"> </v>
      </c>
      <c r="J84" s="85">
        <f>HowItWorks!F200</f>
        <v>0</v>
      </c>
      <c r="K84" s="93">
        <f t="shared" si="1"/>
        <v>0</v>
      </c>
      <c r="L84" s="440" t="str">
        <f>IF(HowItWorks!G200=0," ",HowItWorks!G200)</f>
        <v xml:space="preserve"> </v>
      </c>
      <c r="M84" s="131">
        <f>IF(HowItWorks!I200=0,0,HowItWorks!I200)</f>
        <v>0</v>
      </c>
      <c r="N84" s="191"/>
    </row>
    <row r="85" spans="3:14" ht="15.75" thickBot="1" x14ac:dyDescent="0.25">
      <c r="C85" s="190"/>
      <c r="D85" s="47" t="str">
        <f>HowItWorks!E54</f>
        <v>Other (non-winning) parties*</v>
      </c>
      <c r="E85" s="48">
        <f>HowItWorks!F54</f>
        <v>100000</v>
      </c>
      <c r="F85" s="49">
        <f>HowItWorks!G54</f>
        <v>0</v>
      </c>
      <c r="G85" s="88">
        <f t="shared" si="0"/>
        <v>0</v>
      </c>
      <c r="H85" s="430">
        <f>HowItWorks!J54</f>
        <v>6.1440157286802655E-4</v>
      </c>
      <c r="I85" s="201" t="str">
        <f>HowItWorks!L54</f>
        <v xml:space="preserve"> </v>
      </c>
      <c r="J85" s="86">
        <f>HowItWorks!F201</f>
        <v>0</v>
      </c>
      <c r="K85" s="93">
        <f t="shared" si="1"/>
        <v>0</v>
      </c>
      <c r="L85" s="441" t="str">
        <f>IF(HowItWorks!G201=0," ",HowItWorks!G201)</f>
        <v xml:space="preserve"> </v>
      </c>
      <c r="M85" s="131">
        <f>IF(HowItWorks!I201=0,0,HowItWorks!I201)</f>
        <v>0</v>
      </c>
      <c r="N85" s="191"/>
    </row>
    <row r="86" spans="3:14" ht="16.5" thickTop="1" thickBot="1" x14ac:dyDescent="0.25">
      <c r="C86" s="190"/>
      <c r="D86" s="130" t="str">
        <f>HowItWorks!E55</f>
        <v>Total for Parties</v>
      </c>
      <c r="E86" s="9">
        <f>HowItWorks!F55</f>
        <v>162100000</v>
      </c>
      <c r="F86" s="8">
        <f>HowItWorks!G55</f>
        <v>431</v>
      </c>
      <c r="G86" s="70">
        <f>SUM(G74:G85)</f>
        <v>0.99080459770114937</v>
      </c>
      <c r="H86" s="431">
        <f>HowItWorks!J55</f>
        <v>0.99594494961907076</v>
      </c>
      <c r="I86" s="183"/>
      <c r="J86" s="73">
        <f>HowItWorks!F202</f>
        <v>792</v>
      </c>
      <c r="K86" s="65">
        <f>SUM(K74:K85)</f>
        <v>0.99118942731277537</v>
      </c>
      <c r="L86" s="94">
        <f>SUM(L74:L85)</f>
        <v>450</v>
      </c>
      <c r="M86" s="692">
        <f>J86/L86</f>
        <v>1.76</v>
      </c>
      <c r="N86" s="191"/>
    </row>
    <row r="87" spans="3:14" ht="16.5" thickTop="1" thickBot="1" x14ac:dyDescent="0.25">
      <c r="C87" s="190"/>
      <c r="D87" s="78" t="str">
        <f>HowItWorks!E56</f>
        <v>Independents</v>
      </c>
      <c r="E87" s="50">
        <f>HowItWorks!F57+HowItWorks!F58</f>
        <v>660000</v>
      </c>
      <c r="F87" s="51">
        <f>HowItWorks!G59-HowItWorks!G55</f>
        <v>4</v>
      </c>
      <c r="G87" s="71">
        <f>HowItWorks!K57+HowItWorks!K58</f>
        <v>9.1954022988505746E-3</v>
      </c>
      <c r="H87" s="432">
        <f>HowItWorks!J57+HowItWorks!J58</f>
        <v>4.0550503809289751E-3</v>
      </c>
      <c r="I87" s="183"/>
      <c r="J87" s="74">
        <f>IF(F87&gt;0,M86*F87,0)</f>
        <v>7.04</v>
      </c>
      <c r="K87" s="93">
        <f>IF(J87="Excluded"," ",J87/J$88)</f>
        <v>8.8105726872246704E-3</v>
      </c>
      <c r="L87" s="95">
        <f>F87</f>
        <v>4</v>
      </c>
      <c r="M87" s="132">
        <f>IF(L87&gt;0,J86/L86,0)</f>
        <v>1.76</v>
      </c>
      <c r="N87" s="193"/>
    </row>
    <row r="88" spans="3:14" ht="17.25" thickTop="1" thickBot="1" x14ac:dyDescent="0.25">
      <c r="C88" s="190"/>
      <c r="D88" s="19" t="str">
        <f>HowItWorks!E59</f>
        <v>Totals</v>
      </c>
      <c r="E88" s="20">
        <f>HowItWorks!F59</f>
        <v>162760000</v>
      </c>
      <c r="F88" s="21">
        <f>HowItWorks!G59</f>
        <v>435</v>
      </c>
      <c r="G88" s="72">
        <f>G87+G86</f>
        <v>1</v>
      </c>
      <c r="H88" s="72">
        <f>H87+H86</f>
        <v>0.99999999999999978</v>
      </c>
      <c r="I88" s="183"/>
      <c r="J88" s="75">
        <f>J87+J86</f>
        <v>799.04</v>
      </c>
      <c r="K88" s="66">
        <f>H88</f>
        <v>0.99999999999999978</v>
      </c>
      <c r="L88" s="489">
        <f>L87+L86</f>
        <v>454</v>
      </c>
      <c r="M88" s="490">
        <f>J88/L88</f>
        <v>1.76</v>
      </c>
      <c r="N88" s="194"/>
    </row>
    <row r="89" spans="3:14" ht="15.75" thickTop="1" x14ac:dyDescent="0.2">
      <c r="C89" s="190"/>
      <c r="D89" s="195"/>
      <c r="E89" s="196"/>
      <c r="F89" s="195"/>
      <c r="G89" s="195"/>
      <c r="H89" s="195"/>
      <c r="I89" s="183"/>
      <c r="J89" s="195"/>
      <c r="K89" s="195"/>
      <c r="L89" s="195"/>
      <c r="M89" s="195"/>
      <c r="N89" s="197"/>
    </row>
    <row r="90" spans="3:14" ht="15" x14ac:dyDescent="0.2">
      <c r="C90" s="190"/>
      <c r="D90" s="183"/>
      <c r="E90" s="183"/>
      <c r="F90" s="184" t="s">
        <v>146</v>
      </c>
      <c r="G90" s="183"/>
      <c r="H90" s="183"/>
      <c r="I90" s="183"/>
      <c r="J90" s="183"/>
      <c r="K90" s="183"/>
      <c r="L90" s="183"/>
      <c r="M90" s="183"/>
      <c r="N90" s="191"/>
    </row>
    <row r="91" spans="3:14" x14ac:dyDescent="0.2">
      <c r="C91" s="190"/>
      <c r="D91" s="183"/>
      <c r="E91" s="183"/>
      <c r="F91" s="183"/>
      <c r="G91" s="183"/>
      <c r="H91" s="183"/>
      <c r="I91" s="183"/>
      <c r="J91" s="183"/>
      <c r="K91" s="183"/>
      <c r="L91" s="183"/>
      <c r="M91" s="183"/>
      <c r="N91" s="191"/>
    </row>
    <row r="92" spans="3:14" ht="5.25" customHeight="1" x14ac:dyDescent="0.2">
      <c r="C92" s="198"/>
      <c r="D92" s="199"/>
      <c r="E92" s="185"/>
      <c r="F92" s="185"/>
      <c r="G92" s="185"/>
      <c r="H92" s="185"/>
      <c r="I92" s="185"/>
      <c r="J92" s="185"/>
      <c r="K92" s="185"/>
      <c r="L92" s="185"/>
      <c r="M92" s="185"/>
      <c r="N92" s="200"/>
    </row>
    <row r="93" spans="3:14" ht="15.75" x14ac:dyDescent="0.25">
      <c r="D93" s="7"/>
    </row>
    <row r="94" spans="3:14" x14ac:dyDescent="0.2">
      <c r="D94" s="905" t="s">
        <v>196</v>
      </c>
      <c r="E94" s="696"/>
      <c r="F94" s="696"/>
      <c r="G94" s="696"/>
      <c r="H94" s="696"/>
      <c r="I94" s="696"/>
      <c r="J94" s="696"/>
      <c r="K94" s="696"/>
      <c r="L94" s="696"/>
      <c r="M94" s="696"/>
      <c r="N94" s="696"/>
    </row>
    <row r="95" spans="3:14" ht="19.5" customHeight="1" x14ac:dyDescent="0.2">
      <c r="D95" s="696"/>
      <c r="E95" s="696"/>
      <c r="F95" s="696"/>
      <c r="G95" s="696"/>
      <c r="H95" s="696"/>
      <c r="I95" s="696"/>
      <c r="J95" s="696"/>
      <c r="K95" s="696"/>
      <c r="L95" s="696"/>
      <c r="M95" s="696"/>
      <c r="N95" s="696"/>
    </row>
    <row r="99" spans="3:14" ht="20.25" x14ac:dyDescent="0.3">
      <c r="D99" s="394" t="s">
        <v>238</v>
      </c>
    </row>
    <row r="101" spans="3:14" ht="12.75" customHeight="1" x14ac:dyDescent="0.2">
      <c r="C101" s="899" t="s">
        <v>237</v>
      </c>
      <c r="D101" s="899"/>
      <c r="E101" s="899"/>
      <c r="F101" s="899"/>
      <c r="G101" s="899"/>
      <c r="H101" s="899"/>
      <c r="I101" s="899"/>
      <c r="J101" s="899"/>
      <c r="K101" s="899"/>
      <c r="L101" s="899"/>
      <c r="M101" s="899"/>
      <c r="N101" s="696"/>
    </row>
    <row r="102" spans="3:14" ht="36.75" customHeight="1" x14ac:dyDescent="0.2">
      <c r="C102" s="899"/>
      <c r="D102" s="899"/>
      <c r="E102" s="899"/>
      <c r="F102" s="899"/>
      <c r="G102" s="899"/>
      <c r="H102" s="899"/>
      <c r="I102" s="899"/>
      <c r="J102" s="899"/>
      <c r="K102" s="899"/>
      <c r="L102" s="899"/>
      <c r="M102" s="899"/>
      <c r="N102" s="696"/>
    </row>
    <row r="103" spans="3:14" ht="7.5" customHeight="1" x14ac:dyDescent="0.2">
      <c r="C103" s="666"/>
      <c r="D103" s="666"/>
      <c r="E103" s="666"/>
      <c r="F103" s="666"/>
      <c r="G103" s="666"/>
      <c r="H103" s="666"/>
      <c r="I103" s="666"/>
      <c r="J103" s="666"/>
      <c r="K103" s="666"/>
      <c r="L103" s="666"/>
      <c r="M103" s="666"/>
      <c r="N103" s="11"/>
    </row>
    <row r="104" spans="3:14" ht="15" x14ac:dyDescent="0.2">
      <c r="F104" s="613" t="s">
        <v>247</v>
      </c>
      <c r="G104" s="683">
        <f>HowItWorks!H28</f>
        <v>0.02</v>
      </c>
      <c r="H104" s="64" t="s">
        <v>232</v>
      </c>
      <c r="I104" s="64"/>
    </row>
    <row r="105" spans="3:14" ht="15" x14ac:dyDescent="0.2">
      <c r="F105" s="613" t="s">
        <v>231</v>
      </c>
      <c r="G105" s="623">
        <f>HowItWorks!H32</f>
        <v>20</v>
      </c>
      <c r="H105" s="64" t="s">
        <v>262</v>
      </c>
      <c r="I105" s="64"/>
    </row>
    <row r="106" spans="3:14" ht="15" x14ac:dyDescent="0.2">
      <c r="F106" s="492" t="s">
        <v>230</v>
      </c>
      <c r="G106" s="684">
        <f>HowItWorks!H34</f>
        <v>0.1</v>
      </c>
      <c r="H106" s="64" t="s">
        <v>229</v>
      </c>
      <c r="I106" s="64"/>
    </row>
    <row r="108" spans="3:14" ht="15" x14ac:dyDescent="0.2">
      <c r="D108" s="903" t="str">
        <f>D72</f>
        <v xml:space="preserve"> A National Election for the House of Representatives</v>
      </c>
      <c r="E108" s="910" t="s">
        <v>259</v>
      </c>
      <c r="F108" s="911"/>
      <c r="G108" s="911"/>
      <c r="H108" s="912"/>
      <c r="I108" s="906" t="s">
        <v>216</v>
      </c>
      <c r="J108" s="907"/>
      <c r="K108" s="907"/>
      <c r="L108" s="907"/>
      <c r="M108" s="907"/>
      <c r="N108" s="908"/>
    </row>
    <row r="109" spans="3:14" ht="14.25" x14ac:dyDescent="0.2">
      <c r="D109" s="903"/>
      <c r="E109" s="646" t="s">
        <v>202</v>
      </c>
      <c r="F109" s="647" t="s">
        <v>203</v>
      </c>
      <c r="G109" s="648" t="s">
        <v>204</v>
      </c>
      <c r="H109" s="646" t="s">
        <v>205</v>
      </c>
      <c r="I109" s="643" t="s">
        <v>206</v>
      </c>
      <c r="J109" s="644" t="s">
        <v>207</v>
      </c>
      <c r="K109" s="644" t="s">
        <v>208</v>
      </c>
      <c r="L109" s="644" t="s">
        <v>209</v>
      </c>
      <c r="M109" s="644" t="s">
        <v>210</v>
      </c>
      <c r="N109" s="645" t="s">
        <v>219</v>
      </c>
    </row>
    <row r="110" spans="3:14" ht="12.75" customHeight="1" x14ac:dyDescent="0.2">
      <c r="D110" s="903"/>
      <c r="E110" s="904" t="str">
        <f>E72</f>
        <v>Total Popular Vote</v>
      </c>
      <c r="F110" s="904" t="str">
        <f>F72</f>
        <v>No. of Members Elected</v>
      </c>
      <c r="G110" s="904" t="str">
        <f>H72</f>
        <v>% of Popular Vote</v>
      </c>
      <c r="H110" s="909" t="s">
        <v>218</v>
      </c>
      <c r="I110" s="913" t="s">
        <v>295</v>
      </c>
      <c r="J110" s="913" t="s">
        <v>198</v>
      </c>
      <c r="K110" s="913" t="s">
        <v>199</v>
      </c>
      <c r="L110" s="913" t="s">
        <v>200</v>
      </c>
      <c r="M110" s="913" t="s">
        <v>201</v>
      </c>
      <c r="N110" s="913" t="s">
        <v>135</v>
      </c>
    </row>
    <row r="111" spans="3:14" ht="16.5" customHeight="1" x14ac:dyDescent="0.2">
      <c r="E111" s="904"/>
      <c r="F111" s="904"/>
      <c r="G111" s="904"/>
      <c r="H111" s="909"/>
      <c r="I111" s="913"/>
      <c r="J111" s="913"/>
      <c r="K111" s="913"/>
      <c r="L111" s="913"/>
      <c r="M111" s="913"/>
      <c r="N111" s="913"/>
    </row>
    <row r="112" spans="3:14" ht="12.75" customHeight="1" x14ac:dyDescent="0.2">
      <c r="E112" s="904"/>
      <c r="F112" s="904"/>
      <c r="G112" s="904"/>
      <c r="H112" s="909"/>
      <c r="I112" s="913"/>
      <c r="J112" s="913"/>
      <c r="K112" s="913"/>
      <c r="L112" s="913"/>
      <c r="M112" s="913"/>
      <c r="N112" s="913"/>
    </row>
    <row r="113" spans="4:14" ht="15" x14ac:dyDescent="0.25">
      <c r="D113" s="639" t="str">
        <f>D74</f>
        <v>Lincoln Republicans</v>
      </c>
      <c r="E113" s="628">
        <f>E74</f>
        <v>25000000</v>
      </c>
      <c r="F113" s="629">
        <f>F74</f>
        <v>125</v>
      </c>
      <c r="G113" s="678">
        <f t="shared" ref="G113:G120" si="2">H74</f>
        <v>0.15360039321700664</v>
      </c>
      <c r="H113" s="679">
        <f t="shared" ref="H113:H120" si="3">G74</f>
        <v>0.28735632183908044</v>
      </c>
      <c r="I113" s="649" t="str">
        <f t="shared" ref="I113:J120" si="4">I74</f>
        <v xml:space="preserve"> √√ </v>
      </c>
      <c r="J113" s="630">
        <f t="shared" si="4"/>
        <v>124.99999999999999</v>
      </c>
      <c r="K113" s="629">
        <f t="shared" ref="K113:K119" si="5">L113-F113</f>
        <v>0</v>
      </c>
      <c r="L113" s="631">
        <f t="shared" ref="L113:M119" si="6">L74</f>
        <v>125</v>
      </c>
      <c r="M113" s="630">
        <f t="shared" si="6"/>
        <v>0.99999999999999989</v>
      </c>
      <c r="N113" s="668">
        <f t="shared" ref="N113:N120" si="7">J113/J$127</f>
        <v>0.15643772527032437</v>
      </c>
    </row>
    <row r="114" spans="4:14" ht="15" x14ac:dyDescent="0.25">
      <c r="D114" s="640" t="str">
        <f t="shared" ref="D114:E114" si="8">D75</f>
        <v>Democratic Party</v>
      </c>
      <c r="E114" s="632">
        <f t="shared" si="8"/>
        <v>40000000</v>
      </c>
      <c r="F114" s="625">
        <f t="shared" ref="F114:F123" si="9">F75</f>
        <v>135</v>
      </c>
      <c r="G114" s="672">
        <f t="shared" si="2"/>
        <v>0.24576062914721061</v>
      </c>
      <c r="H114" s="680">
        <f t="shared" si="3"/>
        <v>0.31034482758620691</v>
      </c>
      <c r="I114" s="650" t="str">
        <f t="shared" si="4"/>
        <v xml:space="preserve"> </v>
      </c>
      <c r="J114" s="626">
        <f t="shared" si="4"/>
        <v>200</v>
      </c>
      <c r="K114" s="625">
        <f t="shared" si="5"/>
        <v>0</v>
      </c>
      <c r="L114" s="627">
        <f t="shared" si="6"/>
        <v>135</v>
      </c>
      <c r="M114" s="626">
        <f t="shared" si="6"/>
        <v>1.4814814814814814</v>
      </c>
      <c r="N114" s="669">
        <f t="shared" si="7"/>
        <v>0.25030036043251902</v>
      </c>
    </row>
    <row r="115" spans="4:14" ht="15" x14ac:dyDescent="0.25">
      <c r="D115" s="640" t="str">
        <f t="shared" ref="D115:E115" si="10">D76</f>
        <v>America First Party</v>
      </c>
      <c r="E115" s="632">
        <f t="shared" si="10"/>
        <v>30000000</v>
      </c>
      <c r="F115" s="625">
        <f t="shared" si="9"/>
        <v>90</v>
      </c>
      <c r="G115" s="672">
        <f t="shared" si="2"/>
        <v>0.18432047186040795</v>
      </c>
      <c r="H115" s="680">
        <f t="shared" si="3"/>
        <v>0.20689655172413793</v>
      </c>
      <c r="I115" s="650" t="str">
        <f t="shared" si="4"/>
        <v xml:space="preserve"> </v>
      </c>
      <c r="J115" s="626">
        <f t="shared" si="4"/>
        <v>150</v>
      </c>
      <c r="K115" s="625">
        <f t="shared" si="5"/>
        <v>0</v>
      </c>
      <c r="L115" s="627">
        <f t="shared" si="6"/>
        <v>90</v>
      </c>
      <c r="M115" s="626">
        <f t="shared" si="6"/>
        <v>1.6666666666666667</v>
      </c>
      <c r="N115" s="669">
        <f t="shared" si="7"/>
        <v>0.18772527032438927</v>
      </c>
    </row>
    <row r="116" spans="4:14" ht="15" x14ac:dyDescent="0.25">
      <c r="D116" s="640" t="str">
        <f t="shared" ref="D116:E116" si="11">D77</f>
        <v>Progressive Democratic Party</v>
      </c>
      <c r="E116" s="632">
        <f t="shared" si="11"/>
        <v>25000000</v>
      </c>
      <c r="F116" s="625">
        <f t="shared" si="9"/>
        <v>65</v>
      </c>
      <c r="G116" s="672">
        <f t="shared" si="2"/>
        <v>0.15360039321700664</v>
      </c>
      <c r="H116" s="680">
        <f t="shared" si="3"/>
        <v>0.14942528735632185</v>
      </c>
      <c r="I116" s="650" t="str">
        <f t="shared" si="4"/>
        <v xml:space="preserve"> </v>
      </c>
      <c r="J116" s="626">
        <f t="shared" si="4"/>
        <v>124.99999999999999</v>
      </c>
      <c r="K116" s="625">
        <f t="shared" si="5"/>
        <v>0</v>
      </c>
      <c r="L116" s="627">
        <f t="shared" si="6"/>
        <v>65</v>
      </c>
      <c r="M116" s="626">
        <f t="shared" si="6"/>
        <v>1.9230769230769229</v>
      </c>
      <c r="N116" s="669">
        <f t="shared" si="7"/>
        <v>0.15643772527032437</v>
      </c>
    </row>
    <row r="117" spans="4:14" ht="15" x14ac:dyDescent="0.25">
      <c r="D117" s="640" t="str">
        <f t="shared" ref="D117:E117" si="12">D78</f>
        <v>Green Party</v>
      </c>
      <c r="E117" s="632">
        <f t="shared" si="12"/>
        <v>15000000</v>
      </c>
      <c r="F117" s="625">
        <f t="shared" si="9"/>
        <v>8</v>
      </c>
      <c r="G117" s="672">
        <f t="shared" si="2"/>
        <v>9.2160235930203976E-2</v>
      </c>
      <c r="H117" s="680">
        <f t="shared" si="3"/>
        <v>1.8390804597701149E-2</v>
      </c>
      <c r="I117" s="650" t="str">
        <f t="shared" si="4"/>
        <v xml:space="preserve"> </v>
      </c>
      <c r="J117" s="626">
        <f t="shared" si="4"/>
        <v>75</v>
      </c>
      <c r="K117" s="625">
        <f t="shared" si="5"/>
        <v>7</v>
      </c>
      <c r="L117" s="627">
        <f t="shared" si="6"/>
        <v>15</v>
      </c>
      <c r="M117" s="626">
        <f t="shared" si="6"/>
        <v>5</v>
      </c>
      <c r="N117" s="669">
        <f t="shared" si="7"/>
        <v>9.3862635162194633E-2</v>
      </c>
    </row>
    <row r="118" spans="4:14" ht="15" x14ac:dyDescent="0.25">
      <c r="D118" s="640" t="str">
        <f t="shared" ref="D118:E118" si="13">D79</f>
        <v>Libertarian Party</v>
      </c>
      <c r="E118" s="632">
        <f t="shared" si="13"/>
        <v>20000000</v>
      </c>
      <c r="F118" s="625">
        <f t="shared" si="9"/>
        <v>5</v>
      </c>
      <c r="G118" s="672">
        <f t="shared" si="2"/>
        <v>0.12288031457360531</v>
      </c>
      <c r="H118" s="680">
        <f t="shared" si="3"/>
        <v>1.1494252873563218E-2</v>
      </c>
      <c r="I118" s="650" t="str">
        <f t="shared" si="4"/>
        <v xml:space="preserve"> </v>
      </c>
      <c r="J118" s="626">
        <f t="shared" si="4"/>
        <v>100</v>
      </c>
      <c r="K118" s="625">
        <f t="shared" si="5"/>
        <v>11</v>
      </c>
      <c r="L118" s="627">
        <f>HowItWorks!T48</f>
        <v>16</v>
      </c>
      <c r="M118" s="626">
        <f t="shared" si="6"/>
        <v>6.25</v>
      </c>
      <c r="N118" s="669">
        <f t="shared" si="7"/>
        <v>0.12515018021625951</v>
      </c>
    </row>
    <row r="119" spans="4:14" ht="15" x14ac:dyDescent="0.25">
      <c r="D119" s="640" t="str">
        <f>D80</f>
        <v>New West Party</v>
      </c>
      <c r="E119" s="632">
        <f>E80</f>
        <v>400000</v>
      </c>
      <c r="F119" s="625">
        <f t="shared" si="9"/>
        <v>1</v>
      </c>
      <c r="G119" s="672">
        <f t="shared" si="2"/>
        <v>2.4576062914721062E-3</v>
      </c>
      <c r="H119" s="680">
        <f t="shared" si="3"/>
        <v>2.2988505747126436E-3</v>
      </c>
      <c r="I119" s="650" t="str">
        <f t="shared" si="4"/>
        <v xml:space="preserve"> </v>
      </c>
      <c r="J119" s="626">
        <f t="shared" si="4"/>
        <v>2</v>
      </c>
      <c r="K119" s="625">
        <f t="shared" si="5"/>
        <v>0</v>
      </c>
      <c r="L119" s="627">
        <f t="shared" si="6"/>
        <v>1</v>
      </c>
      <c r="M119" s="626">
        <f t="shared" si="6"/>
        <v>2</v>
      </c>
      <c r="N119" s="669">
        <f t="shared" si="7"/>
        <v>2.5030036043251903E-3</v>
      </c>
    </row>
    <row r="120" spans="4:14" ht="15" x14ac:dyDescent="0.25">
      <c r="D120" s="640" t="str">
        <f>D81</f>
        <v>First Americans Party</v>
      </c>
      <c r="E120" s="632">
        <f>E81</f>
        <v>3000000</v>
      </c>
      <c r="F120" s="625">
        <f t="shared" si="9"/>
        <v>2</v>
      </c>
      <c r="G120" s="672">
        <f t="shared" si="2"/>
        <v>1.8432047186040797E-2</v>
      </c>
      <c r="H120" s="680">
        <f t="shared" si="3"/>
        <v>4.5977011494252873E-3</v>
      </c>
      <c r="I120" s="650" t="str">
        <f t="shared" si="4"/>
        <v xml:space="preserve"> </v>
      </c>
      <c r="J120" s="626">
        <f t="shared" ref="J120" si="14">J81</f>
        <v>15</v>
      </c>
      <c r="K120" s="625">
        <f t="shared" ref="K120" si="15">L120-F120</f>
        <v>1</v>
      </c>
      <c r="L120" s="627">
        <f t="shared" ref="L120" si="16">L81</f>
        <v>3</v>
      </c>
      <c r="M120" s="626">
        <f t="shared" ref="M120:M124" si="17">M81</f>
        <v>5</v>
      </c>
      <c r="N120" s="669">
        <f t="shared" si="7"/>
        <v>1.8772527032438927E-2</v>
      </c>
    </row>
    <row r="121" spans="4:14" ht="15" x14ac:dyDescent="0.25">
      <c r="D121" s="640" t="str">
        <f t="shared" ref="D121:E123" si="18">D82</f>
        <v>New Morality Party</v>
      </c>
      <c r="E121" s="632">
        <f t="shared" si="18"/>
        <v>2800000</v>
      </c>
      <c r="F121" s="625">
        <f t="shared" si="9"/>
        <v>0</v>
      </c>
      <c r="G121" s="672">
        <f t="shared" ref="G121:G123" si="19">H82</f>
        <v>1.7203244040304742E-2</v>
      </c>
      <c r="H121" s="680">
        <f t="shared" ref="H121:H123" si="20">G82</f>
        <v>0</v>
      </c>
      <c r="I121" s="650" t="str">
        <f t="shared" ref="I121:J121" si="21">I82</f>
        <v xml:space="preserve"> </v>
      </c>
      <c r="J121" s="626">
        <f t="shared" si="21"/>
        <v>0</v>
      </c>
      <c r="K121" s="625">
        <f>HowItWorks!S51</f>
        <v>0</v>
      </c>
      <c r="L121" s="627">
        <f>HowItWorks!T51</f>
        <v>0</v>
      </c>
      <c r="M121" s="626">
        <f t="shared" si="17"/>
        <v>0</v>
      </c>
      <c r="N121" s="669">
        <f t="shared" ref="N121:N123" si="22">J121/J$127</f>
        <v>0</v>
      </c>
    </row>
    <row r="122" spans="4:14" ht="15" x14ac:dyDescent="0.25">
      <c r="D122" s="640" t="str">
        <f t="shared" si="18"/>
        <v>Communist Party of America</v>
      </c>
      <c r="E122" s="632">
        <f t="shared" si="18"/>
        <v>400000</v>
      </c>
      <c r="F122" s="625">
        <f t="shared" si="9"/>
        <v>0</v>
      </c>
      <c r="G122" s="672">
        <f t="shared" si="19"/>
        <v>2.4576062914721062E-3</v>
      </c>
      <c r="H122" s="680">
        <f t="shared" si="20"/>
        <v>0</v>
      </c>
      <c r="I122" s="650" t="str">
        <f t="shared" ref="I122:J122" si="23">I83</f>
        <v xml:space="preserve"> </v>
      </c>
      <c r="J122" s="626">
        <f t="shared" si="23"/>
        <v>0</v>
      </c>
      <c r="K122" s="625">
        <f>HowItWorks!S52</f>
        <v>0</v>
      </c>
      <c r="L122" s="627">
        <f>HowItWorks!T52</f>
        <v>0</v>
      </c>
      <c r="M122" s="626">
        <f t="shared" si="17"/>
        <v>0</v>
      </c>
      <c r="N122" s="669">
        <f t="shared" si="22"/>
        <v>0</v>
      </c>
    </row>
    <row r="123" spans="4:14" ht="15" x14ac:dyDescent="0.25">
      <c r="D123" s="640" t="str">
        <f t="shared" si="18"/>
        <v>Other Party</v>
      </c>
      <c r="E123" s="632">
        <f t="shared" si="18"/>
        <v>400000</v>
      </c>
      <c r="F123" s="625">
        <f t="shared" si="9"/>
        <v>0</v>
      </c>
      <c r="G123" s="672">
        <f t="shared" si="19"/>
        <v>2.4576062914721062E-3</v>
      </c>
      <c r="H123" s="680">
        <f t="shared" si="20"/>
        <v>0</v>
      </c>
      <c r="I123" s="650" t="str">
        <f t="shared" ref="I123:J123" si="24">I84</f>
        <v xml:space="preserve"> </v>
      </c>
      <c r="J123" s="626">
        <f t="shared" si="24"/>
        <v>0</v>
      </c>
      <c r="K123" s="625">
        <f>HowItWorks!S53</f>
        <v>0</v>
      </c>
      <c r="L123" s="627">
        <f>HowItWorks!T53</f>
        <v>0</v>
      </c>
      <c r="M123" s="626">
        <f t="shared" si="17"/>
        <v>0</v>
      </c>
      <c r="N123" s="669">
        <f t="shared" si="22"/>
        <v>0</v>
      </c>
    </row>
    <row r="124" spans="4:14" ht="15" x14ac:dyDescent="0.25">
      <c r="D124" s="640" t="str">
        <f>D85</f>
        <v>Other (non-winning) parties*</v>
      </c>
      <c r="E124" s="633">
        <f>E85</f>
        <v>100000</v>
      </c>
      <c r="F124" s="624">
        <f>F85</f>
        <v>0</v>
      </c>
      <c r="G124" s="681">
        <f>H82</f>
        <v>1.7203244040304742E-2</v>
      </c>
      <c r="H124" s="682">
        <f>G82</f>
        <v>0</v>
      </c>
      <c r="I124" s="651"/>
      <c r="J124" s="626">
        <f t="shared" ref="J124" si="25">J85</f>
        <v>0</v>
      </c>
      <c r="K124" s="625">
        <f>HowItWorks!S54</f>
        <v>0</v>
      </c>
      <c r="L124" s="627">
        <f>HowItWorks!T54</f>
        <v>0</v>
      </c>
      <c r="M124" s="626">
        <f t="shared" si="17"/>
        <v>0</v>
      </c>
      <c r="N124" s="670">
        <f t="shared" ref="N124:N126" si="26">J124/J$125</f>
        <v>0</v>
      </c>
    </row>
    <row r="125" spans="4:14" ht="15" x14ac:dyDescent="0.25">
      <c r="D125" s="641" t="s">
        <v>211</v>
      </c>
      <c r="E125" s="632">
        <f>SUM(E113:E124)</f>
        <v>162100000</v>
      </c>
      <c r="F125" s="625">
        <f>SUM(F113:F124)</f>
        <v>431</v>
      </c>
      <c r="G125" s="671">
        <f>SUM(G113:G124)</f>
        <v>1.0125337920865074</v>
      </c>
      <c r="H125" s="669">
        <f>SUM(H113:H124)</f>
        <v>0.99080459770114937</v>
      </c>
      <c r="I125" s="650" t="str">
        <f>I81</f>
        <v xml:space="preserve"> </v>
      </c>
      <c r="J125" s="630">
        <f>SUM(J113:J124)</f>
        <v>792</v>
      </c>
      <c r="K125" s="629">
        <f>SUM(K113:K124)</f>
        <v>19</v>
      </c>
      <c r="L125" s="631">
        <f>SUM(L113:L124)</f>
        <v>450</v>
      </c>
      <c r="M125" s="630">
        <f>J125/L125</f>
        <v>1.76</v>
      </c>
      <c r="N125" s="668">
        <f>SUM(N113:N120)</f>
        <v>0.99118942731277537</v>
      </c>
    </row>
    <row r="126" spans="4:14" ht="14.25" x14ac:dyDescent="0.2">
      <c r="D126" s="640" t="s">
        <v>0</v>
      </c>
      <c r="E126" s="634">
        <f>E87</f>
        <v>660000</v>
      </c>
      <c r="F126" s="625">
        <f>F87</f>
        <v>4</v>
      </c>
      <c r="G126" s="672">
        <f>H87</f>
        <v>4.0550503809289751E-3</v>
      </c>
      <c r="H126" s="674">
        <f>H87</f>
        <v>4.0550503809289751E-3</v>
      </c>
      <c r="I126" s="652"/>
      <c r="J126" s="635">
        <f>J87</f>
        <v>7.04</v>
      </c>
      <c r="K126" s="636">
        <v>0</v>
      </c>
      <c r="L126" s="637">
        <f>L87</f>
        <v>4</v>
      </c>
      <c r="M126" s="635">
        <f>M88</f>
        <v>1.76</v>
      </c>
      <c r="N126" s="669">
        <f t="shared" si="26"/>
        <v>8.8888888888888889E-3</v>
      </c>
    </row>
    <row r="127" spans="4:14" ht="18.75" customHeight="1" x14ac:dyDescent="0.2">
      <c r="D127" s="642" t="s">
        <v>215</v>
      </c>
      <c r="E127" s="653">
        <f>E126+E125</f>
        <v>162760000</v>
      </c>
      <c r="F127" s="654">
        <f>F126+F125</f>
        <v>435</v>
      </c>
      <c r="G127" s="673">
        <f>G126+G125</f>
        <v>1.0165888424674363</v>
      </c>
      <c r="H127" s="675">
        <f>F127/F$127</f>
        <v>1</v>
      </c>
      <c r="I127" s="655"/>
      <c r="J127" s="656">
        <f t="shared" ref="J127:L127" si="27">J126+J125</f>
        <v>799.04</v>
      </c>
      <c r="K127" s="657">
        <f t="shared" si="27"/>
        <v>19</v>
      </c>
      <c r="L127" s="658">
        <f t="shared" si="27"/>
        <v>454</v>
      </c>
      <c r="M127" s="656">
        <f>J127/L127</f>
        <v>1.76</v>
      </c>
      <c r="N127" s="667">
        <f>N126+N125</f>
        <v>1.0000783162016642</v>
      </c>
    </row>
    <row r="128" spans="4:14" ht="10.5" customHeight="1" x14ac:dyDescent="0.2">
      <c r="N128" s="638" t="s">
        <v>214</v>
      </c>
    </row>
    <row r="129" spans="3:14" ht="14.25" x14ac:dyDescent="0.2">
      <c r="C129" s="660" t="s">
        <v>202</v>
      </c>
      <c r="D129" s="659" t="s">
        <v>217</v>
      </c>
      <c r="E129" s="659"/>
      <c r="F129" s="659"/>
      <c r="G129" s="659"/>
      <c r="H129" s="659"/>
      <c r="I129" s="659"/>
      <c r="J129" s="659"/>
      <c r="K129" s="659"/>
      <c r="L129" s="52"/>
      <c r="M129" s="52"/>
    </row>
    <row r="130" spans="3:14" ht="14.25" x14ac:dyDescent="0.2">
      <c r="C130" s="660" t="s">
        <v>203</v>
      </c>
      <c r="D130" s="659" t="s">
        <v>212</v>
      </c>
      <c r="E130" s="659"/>
      <c r="F130" s="659"/>
      <c r="G130" s="659"/>
      <c r="H130" s="659"/>
      <c r="I130" s="659"/>
      <c r="J130" s="659"/>
      <c r="K130" s="659"/>
      <c r="L130" s="52"/>
      <c r="M130" s="52"/>
    </row>
    <row r="131" spans="3:14" ht="14.25" x14ac:dyDescent="0.2">
      <c r="C131" s="660" t="s">
        <v>204</v>
      </c>
      <c r="D131" s="659" t="s">
        <v>221</v>
      </c>
      <c r="E131" s="659"/>
      <c r="F131" s="659"/>
      <c r="G131" s="659"/>
      <c r="H131" s="659"/>
      <c r="I131" s="659"/>
      <c r="J131" s="659"/>
      <c r="K131" s="659"/>
      <c r="L131" s="52"/>
      <c r="M131" s="52"/>
    </row>
    <row r="132" spans="3:14" ht="14.25" x14ac:dyDescent="0.2">
      <c r="C132" s="665" t="s">
        <v>205</v>
      </c>
      <c r="D132" s="659" t="s">
        <v>222</v>
      </c>
      <c r="E132" s="659"/>
      <c r="F132" s="659"/>
      <c r="G132" s="659"/>
      <c r="H132" s="659"/>
      <c r="I132" s="659"/>
      <c r="J132" s="659"/>
      <c r="K132" s="659"/>
      <c r="L132" s="52"/>
      <c r="M132" s="52"/>
    </row>
    <row r="133" spans="3:14" ht="14.25" x14ac:dyDescent="0.2">
      <c r="C133" s="661" t="s">
        <v>206</v>
      </c>
      <c r="D133" s="914" t="s">
        <v>225</v>
      </c>
      <c r="E133" s="914"/>
      <c r="F133" s="914"/>
      <c r="G133" s="914"/>
      <c r="H133" s="914"/>
      <c r="I133" s="914"/>
      <c r="J133" s="914"/>
      <c r="K133" s="914"/>
      <c r="L133" s="848"/>
      <c r="M133" s="848"/>
      <c r="N133" s="696"/>
    </row>
    <row r="134" spans="3:14" ht="15.75" customHeight="1" x14ac:dyDescent="0.2">
      <c r="C134" s="661"/>
      <c r="D134" s="914"/>
      <c r="E134" s="914"/>
      <c r="F134" s="914"/>
      <c r="G134" s="914"/>
      <c r="H134" s="914"/>
      <c r="I134" s="914"/>
      <c r="J134" s="914"/>
      <c r="K134" s="914"/>
      <c r="L134" s="848"/>
      <c r="M134" s="848"/>
      <c r="N134" s="696"/>
    </row>
    <row r="135" spans="3:14" ht="14.25" x14ac:dyDescent="0.2">
      <c r="C135" s="661" t="s">
        <v>207</v>
      </c>
      <c r="D135" s="914" t="s">
        <v>226</v>
      </c>
      <c r="E135" s="914"/>
      <c r="F135" s="914"/>
      <c r="G135" s="914"/>
      <c r="H135" s="914"/>
      <c r="I135" s="914"/>
      <c r="J135" s="914"/>
      <c r="K135" s="914"/>
      <c r="L135" s="848"/>
      <c r="M135" s="848"/>
      <c r="N135" s="696"/>
    </row>
    <row r="136" spans="3:14" ht="14.25" x14ac:dyDescent="0.2">
      <c r="C136" s="661"/>
      <c r="D136" s="914"/>
      <c r="E136" s="914"/>
      <c r="F136" s="914"/>
      <c r="G136" s="914"/>
      <c r="H136" s="914"/>
      <c r="I136" s="914"/>
      <c r="J136" s="914"/>
      <c r="K136" s="914"/>
      <c r="L136" s="848"/>
      <c r="M136" s="848"/>
      <c r="N136" s="696"/>
    </row>
    <row r="137" spans="3:14" ht="16.5" customHeight="1" x14ac:dyDescent="0.2">
      <c r="C137" s="662" t="s">
        <v>208</v>
      </c>
      <c r="D137" s="914" t="s">
        <v>227</v>
      </c>
      <c r="E137" s="848"/>
      <c r="F137" s="848"/>
      <c r="G137" s="848"/>
      <c r="H137" s="848"/>
      <c r="I137" s="848"/>
      <c r="J137" s="848"/>
      <c r="K137" s="848"/>
      <c r="L137" s="848"/>
      <c r="M137" s="848"/>
      <c r="N137" s="696"/>
    </row>
    <row r="138" spans="3:14" x14ac:dyDescent="0.2">
      <c r="C138" s="663"/>
      <c r="D138" s="848"/>
      <c r="E138" s="848"/>
      <c r="F138" s="848"/>
      <c r="G138" s="848"/>
      <c r="H138" s="848"/>
      <c r="I138" s="848"/>
      <c r="J138" s="848"/>
      <c r="K138" s="848"/>
      <c r="L138" s="848"/>
      <c r="M138" s="848"/>
      <c r="N138" s="696"/>
    </row>
    <row r="139" spans="3:14" ht="16.5" customHeight="1" x14ac:dyDescent="0.2">
      <c r="C139" s="661" t="s">
        <v>209</v>
      </c>
      <c r="D139" s="659" t="s">
        <v>213</v>
      </c>
      <c r="E139" s="659"/>
      <c r="F139" s="659"/>
      <c r="G139" s="659"/>
      <c r="H139" s="659"/>
      <c r="I139" s="659"/>
      <c r="J139" s="659"/>
      <c r="K139" s="659"/>
      <c r="L139" s="52"/>
      <c r="M139" s="52"/>
    </row>
    <row r="140" spans="3:14" ht="17.25" customHeight="1" x14ac:dyDescent="0.2">
      <c r="C140" s="661" t="s">
        <v>210</v>
      </c>
      <c r="D140" s="914" t="s">
        <v>220</v>
      </c>
      <c r="E140" s="848"/>
      <c r="F140" s="848"/>
      <c r="G140" s="848"/>
      <c r="H140" s="848"/>
      <c r="I140" s="848"/>
      <c r="J140" s="848"/>
      <c r="K140" s="848"/>
      <c r="L140" s="848"/>
      <c r="M140" s="848"/>
      <c r="N140" s="696"/>
    </row>
    <row r="141" spans="3:14" x14ac:dyDescent="0.2">
      <c r="C141" s="663"/>
      <c r="D141" s="848"/>
      <c r="E141" s="848"/>
      <c r="F141" s="848"/>
      <c r="G141" s="848"/>
      <c r="H141" s="848"/>
      <c r="I141" s="848"/>
      <c r="J141" s="848"/>
      <c r="K141" s="848"/>
      <c r="L141" s="848"/>
      <c r="M141" s="848"/>
      <c r="N141" s="696"/>
    </row>
    <row r="142" spans="3:14" x14ac:dyDescent="0.2">
      <c r="C142" s="664" t="s">
        <v>219</v>
      </c>
      <c r="D142" s="914" t="s">
        <v>224</v>
      </c>
      <c r="E142" s="848"/>
      <c r="F142" s="848"/>
      <c r="G142" s="848"/>
      <c r="H142" s="848"/>
      <c r="I142" s="848"/>
      <c r="J142" s="848"/>
      <c r="K142" s="848"/>
      <c r="L142" s="848"/>
      <c r="M142" s="848"/>
      <c r="N142" s="696"/>
    </row>
    <row r="143" spans="3:14" ht="14.25" x14ac:dyDescent="0.2">
      <c r="C143" s="661"/>
      <c r="D143" s="848"/>
      <c r="E143" s="848"/>
      <c r="F143" s="848"/>
      <c r="G143" s="848"/>
      <c r="H143" s="848"/>
      <c r="I143" s="848"/>
      <c r="J143" s="848"/>
      <c r="K143" s="848"/>
      <c r="L143" s="848"/>
      <c r="M143" s="848"/>
      <c r="N143" s="696"/>
    </row>
    <row r="144" spans="3:14" ht="14.25" x14ac:dyDescent="0.2">
      <c r="C144" s="133"/>
      <c r="D144" s="133"/>
      <c r="E144" s="133"/>
      <c r="F144" s="133"/>
      <c r="G144" s="133"/>
      <c r="H144" s="133"/>
      <c r="I144" s="133"/>
      <c r="J144" s="133"/>
      <c r="K144" s="133"/>
      <c r="L144" s="133"/>
      <c r="N144" s="685" t="s">
        <v>264</v>
      </c>
    </row>
    <row r="147" ht="15" customHeight="1" x14ac:dyDescent="0.2"/>
  </sheetData>
  <sheetProtection algorithmName="SHA-512" hashValue="f609ctNegZTmEZI74Uhm0rLdEnfnDfHJca/a9dGzHF5JAGMWIk+WsUwuyjiWJUUEHiI3MSNoqOv7gk7/gyE0gA==" saltValue="trwYSgLkAISLcYwfQFP7eQ==" spinCount="100000" sheet="1" objects="1" scenarios="1"/>
  <customSheetViews>
    <customSheetView guid="{828C1003-5BBC-4D2D-BF7A-3218457CB106}" showPageBreaks="1" showGridLines="0" fitToPage="1" printArea="1" topLeftCell="E61">
      <selection activeCell="I74" sqref="I74"/>
      <rowBreaks count="1" manualBreakCount="1">
        <brk id="27" min="2" max="11" man="1"/>
      </rowBreaks>
      <pageMargins left="0.75" right="0.75" top="0.5" bottom="0.5" header="0" footer="0"/>
      <printOptions horizontalCentered="1" verticalCentered="1"/>
      <pageSetup scale="96" orientation="landscape" r:id="rId1"/>
      <headerFooter alignWithMargins="0"/>
    </customSheetView>
  </customSheetViews>
  <mergeCells count="60">
    <mergeCell ref="D9:L10"/>
    <mergeCell ref="B3:M3"/>
    <mergeCell ref="D58:L58"/>
    <mergeCell ref="D55:L55"/>
    <mergeCell ref="D56:L56"/>
    <mergeCell ref="D57:L57"/>
    <mergeCell ref="D46:L46"/>
    <mergeCell ref="D48:L48"/>
    <mergeCell ref="D50:L50"/>
    <mergeCell ref="D52:L52"/>
    <mergeCell ref="D53:L53"/>
    <mergeCell ref="D30:L30"/>
    <mergeCell ref="D18:L18"/>
    <mergeCell ref="D20:L20"/>
    <mergeCell ref="D22:L22"/>
    <mergeCell ref="D54:L54"/>
    <mergeCell ref="D135:N136"/>
    <mergeCell ref="D133:N134"/>
    <mergeCell ref="D137:N138"/>
    <mergeCell ref="D140:N141"/>
    <mergeCell ref="D142:N143"/>
    <mergeCell ref="D108:D110"/>
    <mergeCell ref="E110:E112"/>
    <mergeCell ref="F110:F112"/>
    <mergeCell ref="G110:G112"/>
    <mergeCell ref="D94:N95"/>
    <mergeCell ref="I108:N108"/>
    <mergeCell ref="H110:H112"/>
    <mergeCell ref="E108:H108"/>
    <mergeCell ref="N110:N112"/>
    <mergeCell ref="J110:J112"/>
    <mergeCell ref="K110:K112"/>
    <mergeCell ref="I110:I112"/>
    <mergeCell ref="L110:L112"/>
    <mergeCell ref="M110:M112"/>
    <mergeCell ref="D72:D73"/>
    <mergeCell ref="M72:M73"/>
    <mergeCell ref="J72:K73"/>
    <mergeCell ref="C101:N102"/>
    <mergeCell ref="D71:H71"/>
    <mergeCell ref="J71:M71"/>
    <mergeCell ref="E72:E73"/>
    <mergeCell ref="F72:F73"/>
    <mergeCell ref="H72:H73"/>
    <mergeCell ref="G72:G73"/>
    <mergeCell ref="L72:L73"/>
    <mergeCell ref="L5:N5"/>
    <mergeCell ref="D4:M4"/>
    <mergeCell ref="C62:N62"/>
    <mergeCell ref="D38:L40"/>
    <mergeCell ref="D42:L42"/>
    <mergeCell ref="D43:L43"/>
    <mergeCell ref="D45:L45"/>
    <mergeCell ref="D11:L11"/>
    <mergeCell ref="D12:L12"/>
    <mergeCell ref="D13:L13"/>
    <mergeCell ref="D34:L36"/>
    <mergeCell ref="D24:L24"/>
    <mergeCell ref="D26:L26"/>
    <mergeCell ref="D28:L28"/>
  </mergeCells>
  <phoneticPr fontId="2" type="noConversion"/>
  <hyperlinks>
    <hyperlink ref="L5" r:id="rId2" xr:uid="{F5D393AA-7BBF-47CC-B9F8-44FD89E9C7E0}"/>
  </hyperlinks>
  <printOptions horizontalCentered="1" verticalCentered="1"/>
  <pageMargins left="0.75" right="0.75" top="0.5" bottom="0.5" header="0" footer="0"/>
  <pageSetup scale="96" orientation="landscape" r:id="rId3"/>
  <headerFooter alignWithMargins="0"/>
  <ignoredErrors>
    <ignoredError sqref="M87 K113:K120 M126:M127 N125 H113:H114 H115:H120 G126 L118" formula="1"/>
  </ignoredErrors>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HowItWorks</vt:lpstr>
      <vt:lpstr>SUMMARY</vt:lpstr>
      <vt:lpstr>A_National_General_Election</vt:lpstr>
      <vt:lpstr>HowItWorks!Print_Area</vt:lpstr>
    </vt:vector>
  </TitlesOfParts>
  <Company>stillich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stillich</dc:creator>
  <cp:lastModifiedBy>John Stillich</cp:lastModifiedBy>
  <cp:lastPrinted>2023-10-25T16:59:17Z</cp:lastPrinted>
  <dcterms:created xsi:type="dcterms:W3CDTF">2000-11-28T18:00:42Z</dcterms:created>
  <dcterms:modified xsi:type="dcterms:W3CDTF">2025-03-07T14:09:25Z</dcterms:modified>
</cp:coreProperties>
</file>