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Shirley\Desktop\Older Desktop Icons\OLD D DRIVE\Electoral Reform\Simple Vote PR\USA SVPR_files\"/>
    </mc:Choice>
  </mc:AlternateContent>
  <xr:revisionPtr revIDLastSave="0" documentId="13_ncr:1_{EB8D476B-72D8-41AB-90A2-E941FC68B172}" xr6:coauthVersionLast="47" xr6:coauthVersionMax="47" xr10:uidLastSave="{00000000-0000-0000-0000-000000000000}"/>
  <workbookProtection workbookAlgorithmName="SHA-512" workbookHashValue="uwBwD3LfE2xEfUp5JpKJr2YyFCkiQ+jbSLhrBr/X4BFvIZ/O3RnxkbMoUII65F4P1qjBuP2+99apBx4X19Ki7w==" workbookSaltValue="f0GIwpdg6R8FN3FI+Jpd5w==" workbookSpinCount="100000" lockStructure="1"/>
  <bookViews>
    <workbookView xWindow="-120" yWindow="-120" windowWidth="29040" windowHeight="15840" tabRatio="474" xr2:uid="{00000000-000D-0000-FFFF-FFFF00000000}"/>
  </bookViews>
  <sheets>
    <sheet name="HowItWorks" sheetId="1" r:id="rId1"/>
    <sheet name="SUMMARY" sheetId="2" r:id="rId2"/>
  </sheets>
  <definedNames>
    <definedName name="A_National_General_Election">HowItWorks!$E$40</definedName>
    <definedName name="_xlnm.Print_Area" localSheetId="0">HowItWorks!$C$139:$N$210</definedName>
    <definedName name="_xlnm.Print_Area" localSheetId="1">SUMMARY!#REF!</definedName>
    <definedName name="Z_828C1003_5BBC_4D2D_BF7A_3218457CB106_.wvu.PrintArea" localSheetId="0" hidden="1">HowItWorks!$C$139:$N$210</definedName>
    <definedName name="Z_828C1003_5BBC_4D2D_BF7A_3218457CB106_.wvu.PrintArea" localSheetId="1" hidden="1">SUMMARY!#REF!</definedName>
  </definedNames>
  <calcPr calcId="191029"/>
  <customWorkbookViews>
    <customWorkbookView name="JOHN - Personal View" guid="{828C1003-5BBC-4D2D-BF7A-3218457CB106}" mergeInterval="0" personalView="1" maximized="1" xWindow="1" yWindow="1" windowWidth="1096" windowHeight="540" activeSheetId="2"/>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 l="1"/>
  <c r="H34" i="1" s="1"/>
  <c r="H61" i="1" s="1"/>
  <c r="J148" i="1"/>
  <c r="R57" i="1"/>
  <c r="G111" i="2"/>
  <c r="G110" i="2"/>
  <c r="G109" i="2"/>
  <c r="D84" i="2"/>
  <c r="F84" i="2"/>
  <c r="F123" i="2" s="1"/>
  <c r="F79" i="2"/>
  <c r="F118" i="2" s="1"/>
  <c r="F80" i="2"/>
  <c r="F119" i="2" s="1"/>
  <c r="F115" i="2"/>
  <c r="S251" i="1" l="1"/>
  <c r="AF250" i="1"/>
  <c r="AF249" i="1"/>
  <c r="AF248" i="1"/>
  <c r="AF247" i="1"/>
  <c r="AF246" i="1"/>
  <c r="AF245" i="1"/>
  <c r="AF244" i="1"/>
  <c r="AF243" i="1"/>
  <c r="AF242" i="1"/>
  <c r="AF241" i="1"/>
  <c r="AF240" i="1"/>
  <c r="AF239" i="1"/>
  <c r="AF238" i="1"/>
  <c r="AF237" i="1"/>
  <c r="AF236" i="1"/>
  <c r="AF235" i="1"/>
  <c r="AF234" i="1"/>
  <c r="AF233" i="1"/>
  <c r="AF232" i="1"/>
  <c r="AF231" i="1"/>
  <c r="AF230" i="1"/>
  <c r="AF229" i="1"/>
  <c r="AF228" i="1"/>
  <c r="AF227" i="1"/>
  <c r="AF226" i="1"/>
  <c r="AF225" i="1"/>
  <c r="AF224" i="1"/>
  <c r="AF223" i="1"/>
  <c r="AE250" i="1"/>
  <c r="AE249" i="1"/>
  <c r="AE248" i="1"/>
  <c r="AE247" i="1"/>
  <c r="AE246" i="1"/>
  <c r="AG246" i="1" s="1"/>
  <c r="AE245" i="1"/>
  <c r="AG245" i="1" s="1"/>
  <c r="AE244" i="1"/>
  <c r="AG244" i="1" s="1"/>
  <c r="AE243" i="1"/>
  <c r="AG243" i="1" s="1"/>
  <c r="AE242" i="1"/>
  <c r="AG242" i="1" s="1"/>
  <c r="AE241" i="1"/>
  <c r="AG241" i="1" s="1"/>
  <c r="AE240" i="1"/>
  <c r="AG240" i="1" s="1"/>
  <c r="AE239" i="1"/>
  <c r="AG239" i="1" s="1"/>
  <c r="AE238" i="1"/>
  <c r="AG238" i="1" s="1"/>
  <c r="AE237" i="1"/>
  <c r="AG237" i="1" s="1"/>
  <c r="AE236" i="1"/>
  <c r="AE235" i="1"/>
  <c r="AG235" i="1" s="1"/>
  <c r="AE234" i="1"/>
  <c r="AE233" i="1"/>
  <c r="AG233" i="1" s="1"/>
  <c r="AE232" i="1"/>
  <c r="AG232" i="1" s="1"/>
  <c r="AE231" i="1"/>
  <c r="AG231" i="1" s="1"/>
  <c r="AE230" i="1"/>
  <c r="AG230" i="1" s="1"/>
  <c r="AE229" i="1"/>
  <c r="AE228" i="1"/>
  <c r="AG228" i="1" s="1"/>
  <c r="AE227" i="1"/>
  <c r="AG227" i="1" s="1"/>
  <c r="AE226" i="1"/>
  <c r="AG226" i="1" s="1"/>
  <c r="AE225" i="1"/>
  <c r="AG225" i="1" s="1"/>
  <c r="AE224" i="1"/>
  <c r="AG224" i="1" s="1"/>
  <c r="AE223" i="1"/>
  <c r="AG223" i="1" s="1"/>
  <c r="AG229" i="1" l="1"/>
  <c r="AG248" i="1"/>
  <c r="AG250" i="1"/>
  <c r="AG234" i="1"/>
  <c r="AG249" i="1"/>
  <c r="AG236" i="1"/>
  <c r="AF251" i="1"/>
  <c r="AG247" i="1"/>
  <c r="AE251" i="1"/>
  <c r="AG251" i="1" l="1"/>
  <c r="AB250" i="1"/>
  <c r="AC250" i="1" s="1"/>
  <c r="AD250" i="1" s="1"/>
  <c r="T250" i="1" s="1"/>
  <c r="AB249" i="1"/>
  <c r="AC249" i="1" s="1"/>
  <c r="AD249" i="1" s="1"/>
  <c r="T249" i="1" s="1"/>
  <c r="AB248" i="1"/>
  <c r="AC248" i="1" s="1"/>
  <c r="AD248" i="1" s="1"/>
  <c r="T248" i="1" s="1"/>
  <c r="AB247" i="1"/>
  <c r="AC247" i="1" s="1"/>
  <c r="AD247" i="1" s="1"/>
  <c r="T247" i="1" s="1"/>
  <c r="AB246" i="1"/>
  <c r="AC246" i="1" s="1"/>
  <c r="AD246" i="1" s="1"/>
  <c r="T246" i="1" s="1"/>
  <c r="AB245" i="1"/>
  <c r="AC245" i="1" s="1"/>
  <c r="AD245" i="1" s="1"/>
  <c r="T245" i="1" s="1"/>
  <c r="AB244" i="1"/>
  <c r="AC244" i="1" s="1"/>
  <c r="AB243" i="1"/>
  <c r="AC243" i="1" s="1"/>
  <c r="AB242" i="1"/>
  <c r="AC242" i="1" s="1"/>
  <c r="AD242" i="1" s="1"/>
  <c r="T242" i="1" s="1"/>
  <c r="AB241" i="1"/>
  <c r="AC241" i="1" s="1"/>
  <c r="AD241" i="1" s="1"/>
  <c r="T241" i="1" s="1"/>
  <c r="AB240" i="1"/>
  <c r="AC240" i="1" s="1"/>
  <c r="AB239" i="1"/>
  <c r="AC239" i="1" s="1"/>
  <c r="AB238" i="1"/>
  <c r="AC238" i="1" s="1"/>
  <c r="AB237" i="1"/>
  <c r="AC237" i="1" s="1"/>
  <c r="AD237" i="1" s="1"/>
  <c r="T237" i="1" s="1"/>
  <c r="AB236" i="1"/>
  <c r="AC236" i="1" s="1"/>
  <c r="AB235" i="1"/>
  <c r="AC235" i="1" s="1"/>
  <c r="AB234" i="1"/>
  <c r="AC234" i="1" s="1"/>
  <c r="AB233" i="1"/>
  <c r="AC233" i="1" s="1"/>
  <c r="AB232" i="1"/>
  <c r="AC232" i="1" s="1"/>
  <c r="AD232" i="1" s="1"/>
  <c r="T232" i="1" s="1"/>
  <c r="AB231" i="1"/>
  <c r="AC231" i="1" s="1"/>
  <c r="AB230" i="1"/>
  <c r="AC230" i="1" s="1"/>
  <c r="AB229" i="1"/>
  <c r="AC229" i="1" s="1"/>
  <c r="AB228" i="1"/>
  <c r="AC228" i="1" s="1"/>
  <c r="AB227" i="1"/>
  <c r="AC227" i="1" s="1"/>
  <c r="AD227" i="1" s="1"/>
  <c r="T227" i="1" s="1"/>
  <c r="AB226" i="1"/>
  <c r="AC226" i="1" s="1"/>
  <c r="AB225" i="1"/>
  <c r="AC225" i="1" s="1"/>
  <c r="AB224" i="1"/>
  <c r="AC224" i="1" s="1"/>
  <c r="AB223" i="1"/>
  <c r="AC223" i="1" s="1"/>
  <c r="AD223" i="1" s="1"/>
  <c r="H73" i="1"/>
  <c r="T223" i="1" l="1"/>
  <c r="H150" i="1"/>
  <c r="G206" i="1"/>
  <c r="I206" i="1" s="1"/>
  <c r="Q55" i="1"/>
  <c r="K206" i="1" l="1"/>
  <c r="F206" i="1"/>
  <c r="L206" i="1" l="1"/>
  <c r="L74" i="2" l="1"/>
  <c r="AF123" i="1" l="1"/>
  <c r="AF125" i="1"/>
  <c r="Q65" i="1" l="1"/>
  <c r="F188" i="1" l="1"/>
  <c r="Y112" i="1" l="1"/>
  <c r="Y111" i="1"/>
  <c r="Y110" i="1"/>
  <c r="Y109" i="1"/>
  <c r="Y108" i="1"/>
  <c r="Y107" i="1"/>
  <c r="Y106" i="1"/>
  <c r="Y105" i="1"/>
  <c r="Y104" i="1"/>
  <c r="Y103" i="1"/>
  <c r="Y102" i="1"/>
  <c r="Y101" i="1"/>
  <c r="E111" i="1" l="1"/>
  <c r="X111" i="1" s="1"/>
  <c r="AA101" i="1"/>
  <c r="D93" i="2" l="1"/>
  <c r="E92" i="2"/>
  <c r="E131" i="2" s="1"/>
  <c r="D92" i="2"/>
  <c r="D91" i="2"/>
  <c r="F90" i="2"/>
  <c r="F129" i="2" s="1"/>
  <c r="E90" i="2"/>
  <c r="E129" i="2" s="1"/>
  <c r="D90" i="2"/>
  <c r="D129" i="2" s="1"/>
  <c r="F89" i="2"/>
  <c r="F128" i="2" s="1"/>
  <c r="E89" i="2"/>
  <c r="E128" i="2" s="1"/>
  <c r="D89" i="2"/>
  <c r="D128" i="2" s="1"/>
  <c r="F88" i="2"/>
  <c r="F127" i="2" s="1"/>
  <c r="E88" i="2"/>
  <c r="E127" i="2" s="1"/>
  <c r="D88" i="2"/>
  <c r="D127" i="2" s="1"/>
  <c r="F87" i="2"/>
  <c r="F126" i="2" s="1"/>
  <c r="E87" i="2"/>
  <c r="E126" i="2" s="1"/>
  <c r="D87" i="2"/>
  <c r="D126" i="2" s="1"/>
  <c r="E86" i="2"/>
  <c r="E125" i="2" s="1"/>
  <c r="D86" i="2"/>
  <c r="D125" i="2" s="1"/>
  <c r="E85" i="2"/>
  <c r="E124" i="2" s="1"/>
  <c r="D85" i="2"/>
  <c r="D124" i="2" s="1"/>
  <c r="E84" i="2"/>
  <c r="E123" i="2" s="1"/>
  <c r="D123" i="2"/>
  <c r="F83" i="2"/>
  <c r="F122" i="2" s="1"/>
  <c r="E83" i="2"/>
  <c r="E122" i="2" s="1"/>
  <c r="D83" i="2"/>
  <c r="D122" i="2" s="1"/>
  <c r="F82" i="2"/>
  <c r="F121" i="2" s="1"/>
  <c r="E82" i="2"/>
  <c r="E121" i="2" s="1"/>
  <c r="D82" i="2"/>
  <c r="D121" i="2" s="1"/>
  <c r="F81" i="2"/>
  <c r="F120" i="2" s="1"/>
  <c r="E81" i="2"/>
  <c r="E120" i="2" s="1"/>
  <c r="D81" i="2"/>
  <c r="D120" i="2" s="1"/>
  <c r="E80" i="2"/>
  <c r="E119" i="2" s="1"/>
  <c r="D80" i="2"/>
  <c r="D119" i="2" s="1"/>
  <c r="E79" i="2"/>
  <c r="E118" i="2" s="1"/>
  <c r="D79" i="2"/>
  <c r="D118" i="2" s="1"/>
  <c r="J77" i="2"/>
  <c r="H77" i="2"/>
  <c r="G115" i="2" s="1"/>
  <c r="E77" i="2"/>
  <c r="E115" i="2" s="1"/>
  <c r="D77" i="2"/>
  <c r="D113" i="2" s="1"/>
  <c r="F73" i="2"/>
  <c r="E130" i="2" l="1"/>
  <c r="K70" i="2"/>
  <c r="E102" i="1" l="1"/>
  <c r="X102" i="1" s="1"/>
  <c r="F85" i="2" l="1"/>
  <c r="F124" i="2" s="1"/>
  <c r="F86" i="2" l="1"/>
  <c r="F125" i="2" s="1"/>
  <c r="F130" i="2" s="1"/>
  <c r="F225" i="1" l="1"/>
  <c r="F56" i="1" l="1"/>
  <c r="E91" i="2" s="1"/>
  <c r="Q224" i="1" l="1"/>
  <c r="Q225" i="1" s="1"/>
  <c r="Q226" i="1" s="1"/>
  <c r="Q227" i="1" s="1"/>
  <c r="Q228" i="1" s="1"/>
  <c r="Q229" i="1" s="1"/>
  <c r="Q230" i="1" s="1"/>
  <c r="Q231" i="1" s="1"/>
  <c r="Q232" i="1" s="1"/>
  <c r="Q233" i="1" s="1"/>
  <c r="Q234" i="1" s="1"/>
  <c r="Q235" i="1" s="1"/>
  <c r="Q236" i="1" s="1"/>
  <c r="Q237" i="1" s="1"/>
  <c r="Q238" i="1" s="1"/>
  <c r="Q239" i="1" s="1"/>
  <c r="Q240" i="1" s="1"/>
  <c r="Q241" i="1" s="1"/>
  <c r="Q242" i="1" s="1"/>
  <c r="Q243" i="1" s="1"/>
  <c r="Q244" i="1" s="1"/>
  <c r="Q245" i="1" s="1"/>
  <c r="Q246" i="1" s="1"/>
  <c r="Q247" i="1" s="1"/>
  <c r="Q248" i="1" s="1"/>
  <c r="Q249" i="1" s="1"/>
  <c r="Q250" i="1" s="1"/>
  <c r="T251" i="1"/>
  <c r="AG252" i="1" s="1"/>
  <c r="AD244" i="1" l="1"/>
  <c r="T244" i="1" s="1"/>
  <c r="AD243" i="1"/>
  <c r="T243" i="1" s="1"/>
  <c r="AD226" i="1"/>
  <c r="T226" i="1" s="1"/>
  <c r="AD239" i="1"/>
  <c r="T239" i="1" s="1"/>
  <c r="AD230" i="1"/>
  <c r="T230" i="1" s="1"/>
  <c r="AD229" i="1"/>
  <c r="T229" i="1" s="1"/>
  <c r="AD228" i="1"/>
  <c r="T228" i="1" s="1"/>
  <c r="AD238" i="1"/>
  <c r="T238" i="1" s="1"/>
  <c r="AD233" i="1"/>
  <c r="T233" i="1" s="1"/>
  <c r="AD231" i="1"/>
  <c r="T231" i="1" s="1"/>
  <c r="AD236" i="1"/>
  <c r="T236" i="1" s="1"/>
  <c r="AD224" i="1"/>
  <c r="AD240" i="1"/>
  <c r="T240" i="1" s="1"/>
  <c r="AD225" i="1"/>
  <c r="T225" i="1" s="1"/>
  <c r="AD234" i="1"/>
  <c r="T234" i="1" s="1"/>
  <c r="AD235" i="1"/>
  <c r="T235" i="1" s="1"/>
  <c r="T224" i="1" l="1"/>
  <c r="T253" i="1" s="1"/>
  <c r="AD251" i="1"/>
  <c r="H241" i="1"/>
  <c r="E239" i="1"/>
  <c r="E238" i="1"/>
  <c r="E237" i="1"/>
  <c r="E236" i="1"/>
  <c r="E235" i="1"/>
  <c r="E234" i="1"/>
  <c r="E233" i="1"/>
  <c r="E232" i="1"/>
  <c r="E231" i="1"/>
  <c r="E230" i="1"/>
  <c r="E229" i="1"/>
  <c r="E228" i="1"/>
  <c r="AF77" i="1" l="1"/>
  <c r="AF78" i="1"/>
  <c r="AF79" i="1"/>
  <c r="AF80" i="1"/>
  <c r="AF81" i="1"/>
  <c r="AF82" i="1"/>
  <c r="AF83" i="1"/>
  <c r="AF84" i="1"/>
  <c r="AF85" i="1"/>
  <c r="AF86" i="1"/>
  <c r="AF87" i="1"/>
  <c r="AF88" i="1"/>
  <c r="J88" i="1" l="1"/>
  <c r="J87" i="1"/>
  <c r="J86" i="1"/>
  <c r="J85" i="1"/>
  <c r="J84" i="1"/>
  <c r="J83" i="1"/>
  <c r="J82" i="1"/>
  <c r="J81" i="1"/>
  <c r="J80" i="1"/>
  <c r="J79" i="1"/>
  <c r="J78" i="1"/>
  <c r="J77" i="1"/>
  <c r="AG74" i="1"/>
  <c r="AE74" i="1"/>
  <c r="E205" i="1"/>
  <c r="E87" i="1"/>
  <c r="E88" i="1"/>
  <c r="J89" i="1" l="1"/>
  <c r="G153" i="1" l="1"/>
  <c r="R44" i="1" s="1"/>
  <c r="G154" i="1"/>
  <c r="R45" i="1" s="1"/>
  <c r="G155" i="1"/>
  <c r="R46" i="1" s="1"/>
  <c r="G156" i="1"/>
  <c r="R47" i="1" s="1"/>
  <c r="G157" i="1"/>
  <c r="R48" i="1" s="1"/>
  <c r="G158" i="1"/>
  <c r="R49" i="1" s="1"/>
  <c r="G159" i="1"/>
  <c r="R50" i="1" s="1"/>
  <c r="G160" i="1"/>
  <c r="R51" i="1" s="1"/>
  <c r="G161" i="1"/>
  <c r="R52" i="1" s="1"/>
  <c r="G162" i="1"/>
  <c r="R53" i="1" s="1"/>
  <c r="G163" i="1"/>
  <c r="R54" i="1" s="1"/>
  <c r="G164" i="1"/>
  <c r="R55" i="1" s="1"/>
  <c r="R56" i="1" l="1"/>
  <c r="E201" i="1"/>
  <c r="Q54" i="1" s="1"/>
  <c r="E200" i="1"/>
  <c r="Q53" i="1" s="1"/>
  <c r="E134" i="1"/>
  <c r="E110" i="1"/>
  <c r="AA87" i="1"/>
  <c r="E86" i="1"/>
  <c r="AA86" i="1" s="1"/>
  <c r="AC87" i="1"/>
  <c r="AC86" i="1"/>
  <c r="E112" i="1"/>
  <c r="AC88" i="1"/>
  <c r="F60" i="1"/>
  <c r="AC85" i="1"/>
  <c r="AC84" i="1"/>
  <c r="AC83" i="1"/>
  <c r="AC82" i="1"/>
  <c r="AC81" i="1"/>
  <c r="AC77" i="1"/>
  <c r="AC78" i="1"/>
  <c r="AC79" i="1"/>
  <c r="AC80" i="1"/>
  <c r="E103" i="1"/>
  <c r="E101" i="1"/>
  <c r="E125" i="1"/>
  <c r="E154" i="1" s="1"/>
  <c r="E104" i="1"/>
  <c r="E105" i="1"/>
  <c r="E106" i="1"/>
  <c r="E107" i="1"/>
  <c r="E108" i="1"/>
  <c r="E109" i="1"/>
  <c r="G56" i="1"/>
  <c r="G60" i="1" s="1"/>
  <c r="D154" i="1"/>
  <c r="E191" i="1"/>
  <c r="Q44" i="1" s="1"/>
  <c r="D45" i="1"/>
  <c r="D46" i="1" s="1"/>
  <c r="D47" i="1" s="1"/>
  <c r="D48" i="1" s="1"/>
  <c r="D49" i="1" s="1"/>
  <c r="D50" i="1" s="1"/>
  <c r="D51" i="1" s="1"/>
  <c r="D52" i="1" s="1"/>
  <c r="D53" i="1" s="1"/>
  <c r="D54" i="1" s="1"/>
  <c r="D55" i="1" s="1"/>
  <c r="D58" i="1" s="1"/>
  <c r="E192" i="1"/>
  <c r="Q45" i="1" s="1"/>
  <c r="E193" i="1"/>
  <c r="Q46" i="1" s="1"/>
  <c r="E194" i="1"/>
  <c r="Q47" i="1" s="1"/>
  <c r="E195" i="1"/>
  <c r="Q48" i="1" s="1"/>
  <c r="E196" i="1"/>
  <c r="Q49" i="1" s="1"/>
  <c r="E197" i="1"/>
  <c r="Q50" i="1" s="1"/>
  <c r="E198" i="1"/>
  <c r="Q51" i="1" s="1"/>
  <c r="E199" i="1"/>
  <c r="Q52" i="1" s="1"/>
  <c r="E77" i="1"/>
  <c r="AA77" i="1" s="1"/>
  <c r="D78" i="1"/>
  <c r="D79" i="1" s="1"/>
  <c r="D80" i="1" s="1"/>
  <c r="D81" i="1" s="1"/>
  <c r="D82" i="1" s="1"/>
  <c r="D83" i="1" s="1"/>
  <c r="D84" i="1" s="1"/>
  <c r="D85" i="1" s="1"/>
  <c r="D86" i="1" s="1"/>
  <c r="D87" i="1" s="1"/>
  <c r="D88" i="1" s="1"/>
  <c r="E78" i="1"/>
  <c r="AA78" i="1" s="1"/>
  <c r="E79" i="1"/>
  <c r="AA79" i="1" s="1"/>
  <c r="E80" i="1"/>
  <c r="AA80" i="1" s="1"/>
  <c r="E81" i="1"/>
  <c r="AA81" i="1" s="1"/>
  <c r="E82" i="1"/>
  <c r="AA82" i="1" s="1"/>
  <c r="E83" i="1"/>
  <c r="AA83" i="1" s="1"/>
  <c r="E84" i="1"/>
  <c r="AA84" i="1" s="1"/>
  <c r="E85" i="1"/>
  <c r="AA85" i="1" s="1"/>
  <c r="AA88" i="1"/>
  <c r="D102" i="1"/>
  <c r="D103" i="1" s="1"/>
  <c r="D104" i="1" s="1"/>
  <c r="D105" i="1" s="1"/>
  <c r="D106" i="1" s="1"/>
  <c r="D107" i="1" s="1"/>
  <c r="D108" i="1" s="1"/>
  <c r="D109" i="1" s="1"/>
  <c r="D110" i="1" s="1"/>
  <c r="D111" i="1" s="1"/>
  <c r="D112" i="1" s="1"/>
  <c r="D125" i="1"/>
  <c r="D126" i="1" s="1"/>
  <c r="D127" i="1" s="1"/>
  <c r="D128" i="1" s="1"/>
  <c r="D129" i="1" s="1"/>
  <c r="D130" i="1" s="1"/>
  <c r="D131" i="1" s="1"/>
  <c r="D132" i="1" s="1"/>
  <c r="F152" i="1"/>
  <c r="D192" i="1"/>
  <c r="D193" i="1" s="1"/>
  <c r="D194" i="1" s="1"/>
  <c r="D195" i="1" s="1"/>
  <c r="D196" i="1" s="1"/>
  <c r="D197" i="1" s="1"/>
  <c r="D198" i="1" s="1"/>
  <c r="D199" i="1" s="1"/>
  <c r="E206" i="1"/>
  <c r="F91" i="2" l="1"/>
  <c r="F92" i="2"/>
  <c r="F131" i="2" s="1"/>
  <c r="E132" i="1"/>
  <c r="E161" i="1" s="1"/>
  <c r="X109" i="1"/>
  <c r="E128" i="1"/>
  <c r="E157" i="1" s="1"/>
  <c r="X105" i="1"/>
  <c r="E126" i="1"/>
  <c r="E155" i="1" s="1"/>
  <c r="X103" i="1"/>
  <c r="E135" i="1"/>
  <c r="E164" i="1" s="1"/>
  <c r="X112" i="1"/>
  <c r="E129" i="1"/>
  <c r="E158" i="1" s="1"/>
  <c r="X106" i="1"/>
  <c r="E131" i="1"/>
  <c r="E160" i="1" s="1"/>
  <c r="X108" i="1"/>
  <c r="E127" i="1"/>
  <c r="E156" i="1" s="1"/>
  <c r="X104" i="1"/>
  <c r="AD101" i="1"/>
  <c r="X101" i="1"/>
  <c r="E130" i="1"/>
  <c r="E159" i="1" s="1"/>
  <c r="X107" i="1"/>
  <c r="E133" i="1"/>
  <c r="E162" i="1" s="1"/>
  <c r="X110" i="1"/>
  <c r="J55" i="1"/>
  <c r="A55" i="1" s="1"/>
  <c r="J53" i="1"/>
  <c r="J52" i="1"/>
  <c r="J51" i="1"/>
  <c r="J54" i="1"/>
  <c r="E93" i="2"/>
  <c r="J50" i="1"/>
  <c r="Z130" i="1"/>
  <c r="J58" i="1"/>
  <c r="J47" i="1"/>
  <c r="D200" i="1"/>
  <c r="D201" i="1" s="1"/>
  <c r="E124" i="1"/>
  <c r="E163" i="1"/>
  <c r="D133" i="1"/>
  <c r="D134" i="1" s="1"/>
  <c r="D135" i="1" s="1"/>
  <c r="J59" i="1"/>
  <c r="D155" i="1"/>
  <c r="F132" i="2" l="1"/>
  <c r="H90" i="2"/>
  <c r="Z132" i="1"/>
  <c r="L92" i="2"/>
  <c r="L131" i="2" s="1"/>
  <c r="G205" i="1"/>
  <c r="K52" i="1"/>
  <c r="K53" i="1"/>
  <c r="Z134" i="1"/>
  <c r="AJ125" i="1"/>
  <c r="Z140" i="1"/>
  <c r="Z133" i="1"/>
  <c r="Z136" i="1"/>
  <c r="A50" i="1"/>
  <c r="A52" i="1"/>
  <c r="H82" i="2"/>
  <c r="G121" i="2" s="1"/>
  <c r="A53" i="1"/>
  <c r="K49" i="1"/>
  <c r="K55" i="1"/>
  <c r="H86" i="2"/>
  <c r="G125" i="2" s="1"/>
  <c r="A51" i="1"/>
  <c r="H89" i="2"/>
  <c r="G128" i="2" s="1"/>
  <c r="A54" i="1"/>
  <c r="K54" i="1"/>
  <c r="K50" i="1"/>
  <c r="F93" i="2"/>
  <c r="G80" i="2" s="1"/>
  <c r="H119" i="2" s="1"/>
  <c r="K51" i="1"/>
  <c r="K58" i="1"/>
  <c r="H92" i="2"/>
  <c r="AB88" i="1"/>
  <c r="AD88" i="1" s="1"/>
  <c r="AE88" i="1" s="1"/>
  <c r="AG88" i="1" s="1"/>
  <c r="AB87" i="1"/>
  <c r="AD87" i="1" s="1"/>
  <c r="AE87" i="1" s="1"/>
  <c r="AG87" i="1" s="1"/>
  <c r="AB84" i="1"/>
  <c r="AD84" i="1" s="1"/>
  <c r="AE84" i="1" s="1"/>
  <c r="AG84" i="1" s="1"/>
  <c r="F84" i="1" s="1"/>
  <c r="AB80" i="1"/>
  <c r="AD80" i="1" s="1"/>
  <c r="AE80" i="1" s="1"/>
  <c r="AG80" i="1" s="1"/>
  <c r="F80" i="1" s="1"/>
  <c r="Z138" i="1"/>
  <c r="Z131" i="1"/>
  <c r="Z135" i="1"/>
  <c r="Z137" i="1"/>
  <c r="Z139" i="1"/>
  <c r="H88" i="2"/>
  <c r="G127" i="2" s="1"/>
  <c r="J49" i="1"/>
  <c r="J45" i="1"/>
  <c r="K59" i="1"/>
  <c r="H87" i="2"/>
  <c r="H85" i="2"/>
  <c r="G124" i="2" s="1"/>
  <c r="J48" i="1"/>
  <c r="J46" i="1"/>
  <c r="J44" i="1"/>
  <c r="K44" i="1"/>
  <c r="K45" i="1"/>
  <c r="K46" i="1"/>
  <c r="K47" i="1"/>
  <c r="K48" i="1"/>
  <c r="A47" i="1"/>
  <c r="E153" i="1"/>
  <c r="D156" i="1"/>
  <c r="G129" i="2" l="1"/>
  <c r="G126" i="2"/>
  <c r="H131" i="2"/>
  <c r="G131" i="2"/>
  <c r="H132" i="2"/>
  <c r="T57" i="1"/>
  <c r="R58" i="1"/>
  <c r="G92" i="2"/>
  <c r="F74" i="2"/>
  <c r="H79" i="2"/>
  <c r="G118" i="2" s="1"/>
  <c r="H83" i="2"/>
  <c r="G122" i="2" s="1"/>
  <c r="H80" i="2"/>
  <c r="G119" i="2" s="1"/>
  <c r="H81" i="2"/>
  <c r="G120" i="2" s="1"/>
  <c r="H84" i="2"/>
  <c r="G123" i="2" s="1"/>
  <c r="A49" i="1"/>
  <c r="F88" i="1"/>
  <c r="F112" i="1" s="1"/>
  <c r="AB140" i="1" s="1"/>
  <c r="AC140" i="1" s="1"/>
  <c r="F87" i="1"/>
  <c r="F111" i="1" s="1"/>
  <c r="AB139" i="1" s="1"/>
  <c r="AC139" i="1" s="1"/>
  <c r="G84" i="2"/>
  <c r="H123" i="2" s="1"/>
  <c r="G83" i="2"/>
  <c r="H122" i="2" s="1"/>
  <c r="G87" i="2"/>
  <c r="G86" i="2"/>
  <c r="H125" i="2" s="1"/>
  <c r="G81" i="2"/>
  <c r="H120" i="2" s="1"/>
  <c r="G82" i="2"/>
  <c r="H121" i="2" s="1"/>
  <c r="G85" i="2"/>
  <c r="H124" i="2" s="1"/>
  <c r="G90" i="2"/>
  <c r="G88" i="2"/>
  <c r="H127" i="2" s="1"/>
  <c r="G89" i="2"/>
  <c r="H128" i="2" s="1"/>
  <c r="G79" i="2"/>
  <c r="H118" i="2" s="1"/>
  <c r="AB78" i="1"/>
  <c r="AD78" i="1" s="1"/>
  <c r="AE78" i="1" s="1"/>
  <c r="AG78" i="1" s="1"/>
  <c r="F78" i="1" s="1"/>
  <c r="AB83" i="1"/>
  <c r="AD83" i="1" s="1"/>
  <c r="AE83" i="1" s="1"/>
  <c r="AB77" i="1"/>
  <c r="AD77" i="1" s="1"/>
  <c r="AE77" i="1" s="1"/>
  <c r="AG77" i="1" s="1"/>
  <c r="AB85" i="1"/>
  <c r="AD85" i="1" s="1"/>
  <c r="AE85" i="1" s="1"/>
  <c r="AG85" i="1" s="1"/>
  <c r="F85" i="1" s="1"/>
  <c r="AB82" i="1"/>
  <c r="AD82" i="1" s="1"/>
  <c r="AE82" i="1" s="1"/>
  <c r="F104" i="1"/>
  <c r="Z129" i="1"/>
  <c r="A48" i="1"/>
  <c r="AB81" i="1"/>
  <c r="A46" i="1"/>
  <c r="AB79" i="1"/>
  <c r="AB86" i="1"/>
  <c r="J56" i="1"/>
  <c r="H91" i="2" s="1"/>
  <c r="H93" i="2" s="1"/>
  <c r="K93" i="2" s="1"/>
  <c r="A45" i="1"/>
  <c r="A44" i="1"/>
  <c r="K56" i="1"/>
  <c r="K60" i="1" s="1"/>
  <c r="D157" i="1"/>
  <c r="H129" i="2" l="1"/>
  <c r="H126" i="2"/>
  <c r="H130" i="2" s="1"/>
  <c r="G130" i="2"/>
  <c r="F77" i="1"/>
  <c r="F108" i="1"/>
  <c r="F109" i="1"/>
  <c r="AB137" i="1" s="1"/>
  <c r="AC137" i="1" s="1"/>
  <c r="G91" i="2"/>
  <c r="G93" i="2" s="1"/>
  <c r="J60" i="1"/>
  <c r="AG83" i="1"/>
  <c r="AG82" i="1"/>
  <c r="F102" i="1"/>
  <c r="AD86" i="1"/>
  <c r="AE86" i="1" s="1"/>
  <c r="AG86" i="1" s="1"/>
  <c r="F86" i="1" s="1"/>
  <c r="AD79" i="1"/>
  <c r="AE79" i="1" s="1"/>
  <c r="AD81" i="1"/>
  <c r="AE81" i="1" s="1"/>
  <c r="D158" i="1"/>
  <c r="F101" i="1" l="1"/>
  <c r="F82" i="1"/>
  <c r="F83" i="1"/>
  <c r="F110" i="1"/>
  <c r="AB138" i="1" s="1"/>
  <c r="AC138" i="1" s="1"/>
  <c r="AG79" i="1"/>
  <c r="AG81" i="1"/>
  <c r="D159" i="1"/>
  <c r="F107" i="1" l="1"/>
  <c r="F106" i="1"/>
  <c r="F81" i="1"/>
  <c r="F79" i="1"/>
  <c r="D160" i="1"/>
  <c r="F105" i="1" l="1"/>
  <c r="F89" i="1"/>
  <c r="G86" i="1" s="1"/>
  <c r="Y86" i="1" s="1"/>
  <c r="F103" i="1"/>
  <c r="G87" i="1"/>
  <c r="Y87" i="1" s="1"/>
  <c r="G88" i="1"/>
  <c r="G85" i="1"/>
  <c r="D161" i="1"/>
  <c r="E132" i="2" l="1"/>
  <c r="G82" i="1"/>
  <c r="Y82" i="1" s="1"/>
  <c r="G84" i="1"/>
  <c r="G80" i="1"/>
  <c r="J104" i="1" s="1"/>
  <c r="F127" i="1" s="1"/>
  <c r="G83" i="1"/>
  <c r="Y83" i="1" s="1"/>
  <c r="G81" i="1"/>
  <c r="Y81" i="1" s="1"/>
  <c r="F113" i="1"/>
  <c r="G113" i="1" s="1"/>
  <c r="G78" i="1"/>
  <c r="Y78" i="1" s="1"/>
  <c r="G79" i="1"/>
  <c r="Y79" i="1" s="1"/>
  <c r="J110" i="1"/>
  <c r="F133" i="1" s="1"/>
  <c r="G77" i="1"/>
  <c r="J101" i="1" s="1"/>
  <c r="F124" i="1" s="1"/>
  <c r="J111" i="1"/>
  <c r="F134" i="1" s="1"/>
  <c r="Y88" i="1"/>
  <c r="J112" i="1"/>
  <c r="F135" i="1" s="1"/>
  <c r="Y85" i="1"/>
  <c r="J109" i="1"/>
  <c r="F132" i="1" s="1"/>
  <c r="D162" i="1"/>
  <c r="G165" i="1"/>
  <c r="AB131" i="1" l="1"/>
  <c r="AC131" i="1" s="1"/>
  <c r="AB136" i="1"/>
  <c r="AC136" i="1" s="1"/>
  <c r="AB132" i="1"/>
  <c r="AC132" i="1" s="1"/>
  <c r="AB130" i="1"/>
  <c r="AC130" i="1" s="1"/>
  <c r="AB129" i="1"/>
  <c r="AC129" i="1" s="1"/>
  <c r="AB135" i="1"/>
  <c r="AC135" i="1" s="1"/>
  <c r="AB134" i="1"/>
  <c r="AC134" i="1" s="1"/>
  <c r="AB133" i="1"/>
  <c r="AC133" i="1" s="1"/>
  <c r="J108" i="1"/>
  <c r="F131" i="1" s="1"/>
  <c r="F160" i="1" s="1"/>
  <c r="J106" i="1"/>
  <c r="F129" i="1" s="1"/>
  <c r="Y84" i="1"/>
  <c r="Y80" i="1"/>
  <c r="J107" i="1"/>
  <c r="F130" i="1" s="1"/>
  <c r="J105" i="1"/>
  <c r="F128" i="1" s="1"/>
  <c r="J102" i="1"/>
  <c r="F162" i="1"/>
  <c r="Z101" i="1"/>
  <c r="F153" i="1"/>
  <c r="G89" i="1"/>
  <c r="J103" i="1"/>
  <c r="Y77" i="1"/>
  <c r="G101" i="1"/>
  <c r="AB101" i="1" s="1"/>
  <c r="K101" i="1" s="1"/>
  <c r="G110" i="1"/>
  <c r="AB110" i="1" s="1"/>
  <c r="K110" i="1" s="1"/>
  <c r="G112" i="1"/>
  <c r="AB112" i="1" s="1"/>
  <c r="K112" i="1" s="1"/>
  <c r="G111" i="1"/>
  <c r="AB111" i="1" s="1"/>
  <c r="K111" i="1" s="1"/>
  <c r="F163" i="1"/>
  <c r="AG138" i="1"/>
  <c r="G109" i="1"/>
  <c r="AB109" i="1" s="1"/>
  <c r="K109" i="1" s="1"/>
  <c r="G104" i="1"/>
  <c r="AB104" i="1" s="1"/>
  <c r="D163" i="1"/>
  <c r="G108" i="1" l="1"/>
  <c r="AB108" i="1" s="1"/>
  <c r="K108" i="1" s="1"/>
  <c r="G132" i="2"/>
  <c r="G106" i="1"/>
  <c r="AB106" i="1" s="1"/>
  <c r="K106" i="1" s="1"/>
  <c r="G107" i="1"/>
  <c r="AB107" i="1" s="1"/>
  <c r="K107" i="1" s="1"/>
  <c r="F125" i="1"/>
  <c r="F154" i="1" s="1"/>
  <c r="F126" i="1"/>
  <c r="F155" i="1" s="1"/>
  <c r="G105" i="1"/>
  <c r="AB105" i="1" s="1"/>
  <c r="K105" i="1" s="1"/>
  <c r="G102" i="1"/>
  <c r="AB102" i="1" s="1"/>
  <c r="K102" i="1" s="1"/>
  <c r="J113" i="1"/>
  <c r="G103" i="1"/>
  <c r="AB103" i="1" s="1"/>
  <c r="K103" i="1" s="1"/>
  <c r="AC101" i="1"/>
  <c r="AG139" i="1"/>
  <c r="F164" i="1"/>
  <c r="K104" i="1"/>
  <c r="F156" i="1"/>
  <c r="F158" i="1"/>
  <c r="AG136" i="1"/>
  <c r="F161" i="1"/>
  <c r="F159" i="1"/>
  <c r="AG131" i="1"/>
  <c r="AG129" i="1"/>
  <c r="AG130" i="1"/>
  <c r="F157" i="1"/>
  <c r="D164" i="1"/>
  <c r="F136" i="1" l="1"/>
  <c r="AD102" i="1"/>
  <c r="AC102" i="1"/>
  <c r="AA102" i="1" s="1"/>
  <c r="AG140" i="1"/>
  <c r="AG137" i="1"/>
  <c r="AG134" i="1"/>
  <c r="AG133" i="1"/>
  <c r="AG135" i="1"/>
  <c r="AG132" i="1"/>
  <c r="F165" i="1"/>
  <c r="AC103" i="1" l="1"/>
  <c r="AC104" i="1" s="1"/>
  <c r="AC105" i="1" s="1"/>
  <c r="AC106" i="1" s="1"/>
  <c r="AC107" i="1" s="1"/>
  <c r="AC108" i="1" s="1"/>
  <c r="AC109" i="1" s="1"/>
  <c r="AC110" i="1" s="1"/>
  <c r="AC111" i="1" s="1"/>
  <c r="AC112" i="1" s="1"/>
  <c r="AD103" i="1"/>
  <c r="Z102" i="1"/>
  <c r="AG141" i="1"/>
  <c r="AI141" i="1" s="1"/>
  <c r="AB141" i="1"/>
  <c r="AA103" i="1" l="1"/>
  <c r="AA104" i="1" s="1"/>
  <c r="AA105" i="1" s="1"/>
  <c r="AA106" i="1" s="1"/>
  <c r="AA107" i="1" s="1"/>
  <c r="AA108" i="1" s="1"/>
  <c r="AA109" i="1" s="1"/>
  <c r="AA110" i="1" s="1"/>
  <c r="AA111" i="1" s="1"/>
  <c r="AA112" i="1" s="1"/>
  <c r="F119" i="1" s="1"/>
  <c r="AD104" i="1"/>
  <c r="AD105" i="1" s="1"/>
  <c r="AD106" i="1" s="1"/>
  <c r="AD107" i="1" s="1"/>
  <c r="AD108" i="1" s="1"/>
  <c r="AD109" i="1" s="1"/>
  <c r="AD110" i="1" s="1"/>
  <c r="AD111" i="1" s="1"/>
  <c r="AD112" i="1" s="1"/>
  <c r="H97" i="1" s="1"/>
  <c r="Z103" i="1"/>
  <c r="Z104" i="1" s="1"/>
  <c r="Z105" i="1" s="1"/>
  <c r="Z106" i="1" s="1"/>
  <c r="Z107" i="1" s="1"/>
  <c r="Z108" i="1" l="1"/>
  <c r="J98" i="1" l="1"/>
  <c r="Z109" i="1"/>
  <c r="Z110" i="1" s="1"/>
  <c r="Z111" i="1" s="1"/>
  <c r="Z112" i="1" s="1"/>
  <c r="F120" i="1" s="1"/>
  <c r="L44" i="1" l="1"/>
  <c r="I79" i="2" s="1"/>
  <c r="I118" i="2" s="1"/>
  <c r="L50" i="1"/>
  <c r="L49" i="1"/>
  <c r="L45" i="1"/>
  <c r="L48" i="1"/>
  <c r="L47" i="1"/>
  <c r="L46" i="1"/>
  <c r="L54" i="1"/>
  <c r="L53" i="1"/>
  <c r="L52" i="1"/>
  <c r="L51" i="1"/>
  <c r="L55" i="1"/>
  <c r="E119" i="1"/>
  <c r="L101" i="1" l="1"/>
  <c r="I82" i="2"/>
  <c r="I121" i="2" s="1"/>
  <c r="L104" i="1"/>
  <c r="I85" i="2"/>
  <c r="I124" i="2" s="1"/>
  <c r="L107" i="1"/>
  <c r="I83" i="2"/>
  <c r="I122" i="2" s="1"/>
  <c r="L105" i="1"/>
  <c r="I89" i="2"/>
  <c r="I128" i="2" s="1"/>
  <c r="L111" i="1"/>
  <c r="I86" i="2"/>
  <c r="L108" i="1"/>
  <c r="I81" i="2"/>
  <c r="I120" i="2" s="1"/>
  <c r="L103" i="1"/>
  <c r="I84" i="2"/>
  <c r="I123" i="2" s="1"/>
  <c r="L106" i="1"/>
  <c r="I87" i="2"/>
  <c r="I126" i="2" s="1"/>
  <c r="L109" i="1"/>
  <c r="I90" i="2"/>
  <c r="L112" i="1"/>
  <c r="I80" i="2"/>
  <c r="I119" i="2" s="1"/>
  <c r="L102" i="1"/>
  <c r="I88" i="2"/>
  <c r="I127" i="2" s="1"/>
  <c r="L110" i="1"/>
  <c r="F121" i="1"/>
  <c r="J135" i="1" s="1"/>
  <c r="I130" i="2" l="1"/>
  <c r="I125" i="2"/>
  <c r="J130" i="1"/>
  <c r="F234" i="1" s="1"/>
  <c r="J234" i="1" s="1"/>
  <c r="J131" i="1"/>
  <c r="F235" i="1" s="1"/>
  <c r="J235" i="1" s="1"/>
  <c r="J133" i="1"/>
  <c r="AA138" i="1" s="1"/>
  <c r="J132" i="1"/>
  <c r="AA137" i="1" s="1"/>
  <c r="J129" i="1"/>
  <c r="F233" i="1" s="1"/>
  <c r="J233" i="1" s="1"/>
  <c r="H134" i="1"/>
  <c r="H125" i="1"/>
  <c r="F239" i="1"/>
  <c r="J239" i="1" s="1"/>
  <c r="AA140" i="1"/>
  <c r="J126" i="1"/>
  <c r="AA131" i="1" s="1"/>
  <c r="H130" i="1"/>
  <c r="H133" i="1"/>
  <c r="J134" i="1"/>
  <c r="H131" i="1"/>
  <c r="J127" i="1"/>
  <c r="F231" i="1" s="1"/>
  <c r="J231" i="1" s="1"/>
  <c r="J125" i="1"/>
  <c r="H129" i="1"/>
  <c r="H136" i="1"/>
  <c r="H128" i="1"/>
  <c r="J128" i="1"/>
  <c r="F232" i="1" s="1"/>
  <c r="J232" i="1" s="1"/>
  <c r="J124" i="1"/>
  <c r="H127" i="1"/>
  <c r="H132" i="1"/>
  <c r="H124" i="1"/>
  <c r="H126" i="1"/>
  <c r="H135" i="1"/>
  <c r="AA135" i="1" l="1"/>
  <c r="AA134" i="1"/>
  <c r="AA136" i="1"/>
  <c r="F237" i="1"/>
  <c r="J237" i="1" s="1"/>
  <c r="F236" i="1"/>
  <c r="J236" i="1" s="1"/>
  <c r="AA139" i="1"/>
  <c r="AA129" i="1"/>
  <c r="AA130" i="1"/>
  <c r="AD130" i="1"/>
  <c r="F230" i="1"/>
  <c r="J230" i="1" s="1"/>
  <c r="F238" i="1"/>
  <c r="J238" i="1" s="1"/>
  <c r="AA132" i="1"/>
  <c r="F229" i="1"/>
  <c r="J229" i="1" s="1"/>
  <c r="F228" i="1"/>
  <c r="J228" i="1" s="1"/>
  <c r="AA133" i="1"/>
  <c r="J136" i="1"/>
  <c r="AD139" i="1" s="1"/>
  <c r="AE139" i="1" s="1"/>
  <c r="AF139" i="1" s="1"/>
  <c r="AA141" i="1" l="1"/>
  <c r="AH139" i="1"/>
  <c r="AD134" i="1"/>
  <c r="AE134" i="1" s="1"/>
  <c r="AF134" i="1" s="1"/>
  <c r="AH134" i="1" s="1"/>
  <c r="AD137" i="1"/>
  <c r="AE137" i="1" s="1"/>
  <c r="AF137" i="1" s="1"/>
  <c r="AD138" i="1"/>
  <c r="AE138" i="1" s="1"/>
  <c r="AF138" i="1" s="1"/>
  <c r="AD136" i="1"/>
  <c r="AE136" i="1" s="1"/>
  <c r="AF136" i="1" s="1"/>
  <c r="AD129" i="1"/>
  <c r="AE130" i="1"/>
  <c r="AF130" i="1" s="1"/>
  <c r="AD124" i="1"/>
  <c r="AD140" i="1"/>
  <c r="AE140" i="1" s="1"/>
  <c r="AF140" i="1" s="1"/>
  <c r="AD135" i="1"/>
  <c r="AE135" i="1" s="1"/>
  <c r="AF135" i="1" s="1"/>
  <c r="AH135" i="1" s="1"/>
  <c r="AD131" i="1"/>
  <c r="AE131" i="1" s="1"/>
  <c r="AF131" i="1" s="1"/>
  <c r="AH131" i="1" s="1"/>
  <c r="AD132" i="1"/>
  <c r="AE132" i="1" s="1"/>
  <c r="AF132" i="1" s="1"/>
  <c r="AH132" i="1" s="1"/>
  <c r="AD133" i="1"/>
  <c r="AE133" i="1" s="1"/>
  <c r="AF133" i="1" s="1"/>
  <c r="AH133" i="1" s="1"/>
  <c r="AE129" i="1" l="1"/>
  <c r="AF129" i="1" s="1"/>
  <c r="AH129" i="1" s="1"/>
  <c r="AD141" i="1"/>
  <c r="AH137" i="1"/>
  <c r="AI137" i="1"/>
  <c r="AJ137" i="1" s="1"/>
  <c r="AK137" i="1" s="1"/>
  <c r="AH138" i="1"/>
  <c r="AH130" i="1"/>
  <c r="AH140" i="1"/>
  <c r="AH136" i="1"/>
  <c r="AF141" i="1" l="1"/>
  <c r="AI136" i="1" s="1"/>
  <c r="AJ136" i="1" s="1"/>
  <c r="AK136" i="1" s="1"/>
  <c r="AL136" i="1" s="1"/>
  <c r="J160" i="1" s="1"/>
  <c r="S51" i="1" s="1"/>
  <c r="T51" i="1" s="1"/>
  <c r="AE141" i="1"/>
  <c r="AI129" i="1"/>
  <c r="AJ129" i="1" s="1"/>
  <c r="AK129" i="1" s="1"/>
  <c r="AL129" i="1" s="1"/>
  <c r="AI130" i="1"/>
  <c r="AJ130" i="1" s="1"/>
  <c r="AK130" i="1" s="1"/>
  <c r="AL130" i="1" s="1"/>
  <c r="J154" i="1" s="1"/>
  <c r="S45" i="1" s="1"/>
  <c r="T45" i="1" s="1"/>
  <c r="AH141" i="1"/>
  <c r="AI140" i="1"/>
  <c r="AJ140" i="1" s="1"/>
  <c r="AK140" i="1" s="1"/>
  <c r="AL140" i="1" s="1"/>
  <c r="J164" i="1" s="1"/>
  <c r="AI131" i="1"/>
  <c r="AJ131" i="1" s="1"/>
  <c r="AK131" i="1" s="1"/>
  <c r="AL131" i="1" s="1"/>
  <c r="J155" i="1" s="1"/>
  <c r="S46" i="1" s="1"/>
  <c r="T46" i="1" s="1"/>
  <c r="AL137" i="1"/>
  <c r="J161" i="1" s="1"/>
  <c r="S52" i="1" s="1"/>
  <c r="T52" i="1" l="1"/>
  <c r="L126" i="2" s="1"/>
  <c r="K126" i="2"/>
  <c r="AI133" i="1"/>
  <c r="AJ133" i="1" s="1"/>
  <c r="AK133" i="1" s="1"/>
  <c r="AL133" i="1" s="1"/>
  <c r="J157" i="1" s="1"/>
  <c r="S48" i="1" s="1"/>
  <c r="T48" i="1" s="1"/>
  <c r="AI134" i="1"/>
  <c r="AJ134" i="1" s="1"/>
  <c r="AI139" i="1"/>
  <c r="AJ139" i="1" s="1"/>
  <c r="AK139" i="1" s="1"/>
  <c r="AL139" i="1" s="1"/>
  <c r="J163" i="1" s="1"/>
  <c r="S54" i="1" s="1"/>
  <c r="K164" i="1"/>
  <c r="F202" i="1" s="1"/>
  <c r="S55" i="1"/>
  <c r="AI132" i="1"/>
  <c r="AJ132" i="1" s="1"/>
  <c r="AK132" i="1" s="1"/>
  <c r="AL132" i="1" s="1"/>
  <c r="J156" i="1" s="1"/>
  <c r="AI135" i="1"/>
  <c r="AJ135" i="1" s="1"/>
  <c r="AK135" i="1" s="1"/>
  <c r="AL135" i="1" s="1"/>
  <c r="J159" i="1" s="1"/>
  <c r="AI138" i="1"/>
  <c r="AJ138" i="1" s="1"/>
  <c r="AK138" i="1" s="1"/>
  <c r="AL138" i="1" s="1"/>
  <c r="J162" i="1" s="1"/>
  <c r="K155" i="1"/>
  <c r="K160" i="1"/>
  <c r="G198" i="1" s="1"/>
  <c r="L86" i="2" s="1"/>
  <c r="L125" i="2" s="1"/>
  <c r="K125" i="2" s="1"/>
  <c r="K154" i="1"/>
  <c r="K161" i="1"/>
  <c r="J153" i="1"/>
  <c r="K157" i="1" l="1"/>
  <c r="G195" i="1" s="1"/>
  <c r="L83" i="2" s="1"/>
  <c r="T55" i="1"/>
  <c r="L129" i="2" s="1"/>
  <c r="K129" i="2"/>
  <c r="T54" i="1"/>
  <c r="L128" i="2" s="1"/>
  <c r="K128" i="2"/>
  <c r="G202" i="1"/>
  <c r="K163" i="1"/>
  <c r="F201" i="1" s="1"/>
  <c r="U54" i="1" s="1"/>
  <c r="K156" i="1"/>
  <c r="G194" i="1" s="1"/>
  <c r="L82" i="2" s="1"/>
  <c r="S47" i="1"/>
  <c r="T47" i="1" s="1"/>
  <c r="K153" i="1"/>
  <c r="F191" i="1" s="1"/>
  <c r="S44" i="1"/>
  <c r="K162" i="1"/>
  <c r="F200" i="1" s="1"/>
  <c r="U53" i="1" s="1"/>
  <c r="S53" i="1"/>
  <c r="K159" i="1"/>
  <c r="G197" i="1" s="1"/>
  <c r="L85" i="2" s="1"/>
  <c r="S50" i="1"/>
  <c r="T50" i="1" s="1"/>
  <c r="L202" i="1"/>
  <c r="U55" i="1"/>
  <c r="F199" i="1"/>
  <c r="U52" i="1" s="1"/>
  <c r="G199" i="1"/>
  <c r="F193" i="1"/>
  <c r="U46" i="1" s="1"/>
  <c r="G193" i="1"/>
  <c r="L81" i="2" s="1"/>
  <c r="F192" i="1"/>
  <c r="U45" i="1" s="1"/>
  <c r="G192" i="1"/>
  <c r="L80" i="2" s="1"/>
  <c r="F198" i="1"/>
  <c r="U51" i="1" s="1"/>
  <c r="AK134" i="1"/>
  <c r="AJ141" i="1"/>
  <c r="J90" i="2"/>
  <c r="J129" i="2" s="1"/>
  <c r="F195" i="1" l="1"/>
  <c r="U48" i="1" s="1"/>
  <c r="T53" i="1"/>
  <c r="L127" i="2" s="1"/>
  <c r="K127" i="2"/>
  <c r="G201" i="1"/>
  <c r="F194" i="1"/>
  <c r="U47" i="1" s="1"/>
  <c r="G200" i="1"/>
  <c r="J88" i="2"/>
  <c r="J127" i="2" s="1"/>
  <c r="T44" i="1"/>
  <c r="G191" i="1"/>
  <c r="L79" i="2" s="1"/>
  <c r="F197" i="1"/>
  <c r="U50" i="1" s="1"/>
  <c r="J81" i="2"/>
  <c r="J120" i="2" s="1"/>
  <c r="J80" i="2"/>
  <c r="J119" i="2" s="1"/>
  <c r="U44" i="1"/>
  <c r="L191" i="1"/>
  <c r="L199" i="1"/>
  <c r="L198" i="1"/>
  <c r="L192" i="1"/>
  <c r="L193" i="1"/>
  <c r="L200" i="1"/>
  <c r="J79" i="2"/>
  <c r="J118" i="2" s="1"/>
  <c r="L201" i="1"/>
  <c r="J89" i="2"/>
  <c r="J128" i="2" s="1"/>
  <c r="J86" i="2"/>
  <c r="J125" i="2" s="1"/>
  <c r="J87" i="2"/>
  <c r="J126" i="2" s="1"/>
  <c r="AL134" i="1"/>
  <c r="J158" i="1" s="1"/>
  <c r="AK141" i="1"/>
  <c r="AL141" i="1" s="1"/>
  <c r="J83" i="2" l="1"/>
  <c r="J122" i="2" s="1"/>
  <c r="L195" i="1"/>
  <c r="L194" i="1"/>
  <c r="J85" i="2"/>
  <c r="J124" i="2" s="1"/>
  <c r="J82" i="2"/>
  <c r="J121" i="2" s="1"/>
  <c r="K158" i="1"/>
  <c r="F196" i="1" s="1"/>
  <c r="S49" i="1"/>
  <c r="L197" i="1"/>
  <c r="G196" i="1" l="1"/>
  <c r="L84" i="2" s="1"/>
  <c r="T49" i="1"/>
  <c r="S56" i="1"/>
  <c r="S58" i="1" s="1"/>
  <c r="U49" i="1"/>
  <c r="U56" i="1" s="1"/>
  <c r="L196" i="1"/>
  <c r="L203" i="1" s="1"/>
  <c r="J84" i="2"/>
  <c r="J123" i="2" s="1"/>
  <c r="J130" i="2" s="1"/>
  <c r="J165" i="1"/>
  <c r="K165" i="1"/>
  <c r="T56" i="1" l="1"/>
  <c r="T58" i="1" s="1"/>
  <c r="L123" i="2"/>
  <c r="N129" i="2"/>
  <c r="F203" i="1"/>
  <c r="W56" i="1" l="1"/>
  <c r="J91" i="2"/>
  <c r="L124" i="2" l="1"/>
  <c r="K124" i="2" s="1"/>
  <c r="K123" i="2"/>
  <c r="L89" i="2"/>
  <c r="L90" i="2"/>
  <c r="L122" i="2"/>
  <c r="K122" i="2" s="1"/>
  <c r="L88" i="2"/>
  <c r="L120" i="2"/>
  <c r="K120" i="2" s="1"/>
  <c r="L121" i="2"/>
  <c r="K121" i="2" s="1"/>
  <c r="L87" i="2"/>
  <c r="L119" i="2"/>
  <c r="K119" i="2" s="1"/>
  <c r="I194" i="1" l="1"/>
  <c r="W47" i="1" s="1"/>
  <c r="I202" i="1"/>
  <c r="M90" i="2" s="1"/>
  <c r="M129" i="2" s="1"/>
  <c r="I198" i="1"/>
  <c r="W51" i="1" s="1"/>
  <c r="I193" i="1"/>
  <c r="W46" i="1" s="1"/>
  <c r="I201" i="1"/>
  <c r="M89" i="2" s="1"/>
  <c r="M128" i="2" s="1"/>
  <c r="I192" i="1"/>
  <c r="W45" i="1" s="1"/>
  <c r="I200" i="1"/>
  <c r="I196" i="1"/>
  <c r="W49" i="1" s="1"/>
  <c r="I199" i="1"/>
  <c r="I195" i="1"/>
  <c r="W48" i="1" s="1"/>
  <c r="I197" i="1"/>
  <c r="W52" i="1" l="1"/>
  <c r="M87" i="2"/>
  <c r="M126" i="2" s="1"/>
  <c r="W50" i="1"/>
  <c r="M85" i="2"/>
  <c r="M124" i="2" s="1"/>
  <c r="W53" i="1"/>
  <c r="M88" i="2"/>
  <c r="M127" i="2" s="1"/>
  <c r="L91" i="2"/>
  <c r="M92" i="2" s="1"/>
  <c r="L118" i="2"/>
  <c r="L130" i="2" s="1"/>
  <c r="M130" i="2" s="1"/>
  <c r="W55" i="1"/>
  <c r="W54" i="1"/>
  <c r="M84" i="2"/>
  <c r="M123" i="2" s="1"/>
  <c r="M81" i="2"/>
  <c r="M120" i="2" s="1"/>
  <c r="M86" i="2"/>
  <c r="M125" i="2" s="1"/>
  <c r="M83" i="2"/>
  <c r="M122" i="2" s="1"/>
  <c r="M80" i="2"/>
  <c r="M119" i="2" s="1"/>
  <c r="M82" i="2"/>
  <c r="M121" i="2" s="1"/>
  <c r="I191" i="1"/>
  <c r="W44" i="1" s="1"/>
  <c r="G203" i="1"/>
  <c r="M91" i="2" l="1"/>
  <c r="J92" i="2" s="1"/>
  <c r="J131" i="2" s="1"/>
  <c r="N131" i="2" s="1"/>
  <c r="L93" i="2"/>
  <c r="K118" i="2"/>
  <c r="K130" i="2" s="1"/>
  <c r="G207" i="1"/>
  <c r="E212" i="1" s="1"/>
  <c r="I203" i="1"/>
  <c r="F205" i="1" s="1"/>
  <c r="U57" i="1" s="1"/>
  <c r="M79" i="2"/>
  <c r="M118" i="2" s="1"/>
  <c r="H186" i="1"/>
  <c r="K132" i="2" l="1"/>
  <c r="J132" i="2"/>
  <c r="J93" i="2"/>
  <c r="K85" i="2" s="1"/>
  <c r="L132" i="2"/>
  <c r="I205" i="1"/>
  <c r="N128" i="2" l="1"/>
  <c r="N127" i="2"/>
  <c r="N126" i="2"/>
  <c r="N125" i="2"/>
  <c r="N121" i="2"/>
  <c r="N124" i="2"/>
  <c r="N120" i="2"/>
  <c r="N118" i="2"/>
  <c r="N123" i="2"/>
  <c r="N119" i="2"/>
  <c r="N122" i="2"/>
  <c r="K90" i="2"/>
  <c r="K84" i="2"/>
  <c r="M93" i="2"/>
  <c r="M131" i="2" s="1"/>
  <c r="K92" i="2"/>
  <c r="K87" i="2"/>
  <c r="K79" i="2"/>
  <c r="K80" i="2"/>
  <c r="K89" i="2"/>
  <c r="K83" i="2"/>
  <c r="K86" i="2"/>
  <c r="K81" i="2"/>
  <c r="K82" i="2"/>
  <c r="K88" i="2"/>
  <c r="M132" i="2"/>
  <c r="L205" i="1"/>
  <c r="L207" i="1" s="1"/>
  <c r="N130" i="2" l="1"/>
  <c r="N132" i="2" s="1"/>
  <c r="K91" i="2"/>
  <c r="U58" i="1"/>
  <c r="W58" i="1" s="1"/>
  <c r="W57" i="1"/>
  <c r="F240" i="1"/>
  <c r="J240" i="1" s="1"/>
  <c r="F207" i="1"/>
  <c r="F241" i="1" l="1"/>
  <c r="I207" i="1"/>
  <c r="E211" i="1"/>
  <c r="K193" i="1"/>
  <c r="V46" i="1" s="1"/>
  <c r="K198" i="1"/>
  <c r="V51" i="1" s="1"/>
  <c r="K199" i="1"/>
  <c r="V52" i="1" s="1"/>
  <c r="K194" i="1"/>
  <c r="V47" i="1" s="1"/>
  <c r="K196" i="1"/>
  <c r="V49" i="1" s="1"/>
  <c r="K191" i="1"/>
  <c r="V44" i="1" s="1"/>
  <c r="K197" i="1"/>
  <c r="V50" i="1" s="1"/>
  <c r="K200" i="1"/>
  <c r="V53" i="1" s="1"/>
  <c r="K195" i="1"/>
  <c r="V48" i="1" s="1"/>
  <c r="K201" i="1"/>
  <c r="V54" i="1" s="1"/>
  <c r="K202" i="1"/>
  <c r="V55" i="1" s="1"/>
  <c r="K205" i="1"/>
  <c r="V57" i="1" s="1"/>
  <c r="K192" i="1"/>
  <c r="V45" i="1" s="1"/>
  <c r="V56" i="1" l="1"/>
  <c r="V58" i="1" s="1"/>
  <c r="K207" i="1"/>
  <c r="K20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Stillich</author>
  </authors>
  <commentList>
    <comment ref="H32" authorId="0" shapeId="0" xr:uid="{5E14133E-8D51-4B76-B5F0-33FC0D5753FF}">
      <text>
        <r>
          <rPr>
            <sz val="9"/>
            <color indexed="81"/>
            <rFont val="Tahoma"/>
            <family val="2"/>
          </rPr>
          <t xml:space="preserve">Once this is changed, make sure that the total number of "Members of House Elected" (below) also adds up to the total number of seats less the number inputted in this cell.  </t>
        </r>
      </text>
    </comment>
    <comment ref="G55" authorId="0" shapeId="0" xr:uid="{DE79BF6D-9D7F-40BC-B7A5-3E29EC69D011}">
      <text>
        <r>
          <rPr>
            <sz val="9"/>
            <color indexed="81"/>
            <rFont val="Tahoma"/>
            <family val="2"/>
          </rPr>
          <t>No input here.</t>
        </r>
      </text>
    </comment>
    <comment ref="G59" authorId="0" shapeId="0" xr:uid="{CB605ECD-E6D8-4585-A51D-57BB7F5E2A5C}">
      <text>
        <r>
          <rPr>
            <sz val="9"/>
            <color indexed="81"/>
            <rFont val="Tahoma"/>
            <family val="2"/>
          </rPr>
          <t>No input here.</t>
        </r>
      </text>
    </comment>
  </commentList>
</comments>
</file>

<file path=xl/sharedStrings.xml><?xml version="1.0" encoding="utf-8"?>
<sst xmlns="http://schemas.openxmlformats.org/spreadsheetml/2006/main" count="344" uniqueCount="293">
  <si>
    <t>Independents</t>
  </si>
  <si>
    <t xml:space="preserve"> </t>
  </si>
  <si>
    <t>Do Not Erase</t>
  </si>
  <si>
    <t>Totals</t>
  </si>
  <si>
    <t>Total for Parties</t>
  </si>
  <si>
    <t>=</t>
  </si>
  <si>
    <t>X</t>
  </si>
  <si>
    <t xml:space="preserve"> =</t>
  </si>
  <si>
    <t>Additional Seats Awarded</t>
  </si>
  <si>
    <t xml:space="preserve"> % of Popular  Vote for Eligible Parties</t>
  </si>
  <si>
    <t>Total for All Parties</t>
  </si>
  <si>
    <t>Party Members Elected</t>
  </si>
  <si>
    <t xml:space="preserve">Total </t>
  </si>
  <si>
    <t xml:space="preserve">As shown by the example below, the </t>
  </si>
  <si>
    <t>divided by its</t>
  </si>
  <si>
    <t xml:space="preserve"> share of the popular vote</t>
  </si>
  <si>
    <t>% of Seats</t>
  </si>
  <si>
    <t>STEP 1:</t>
  </si>
  <si>
    <t>STEP 2:</t>
  </si>
  <si>
    <t>STEP 3:</t>
  </si>
  <si>
    <t>STEP 4:</t>
  </si>
  <si>
    <r>
      <t>Political Parties</t>
    </r>
    <r>
      <rPr>
        <sz val="12"/>
        <rFont val="Arial"/>
        <family val="2"/>
      </rPr>
      <t xml:space="preserve"> </t>
    </r>
  </si>
  <si>
    <t xml:space="preserve">    Total for Parties</t>
  </si>
  <si>
    <t>% of Popular Vote</t>
  </si>
  <si>
    <t>votes.</t>
  </si>
  <si>
    <t>Other Parties</t>
  </si>
  <si>
    <t>(rounded)</t>
  </si>
  <si>
    <t>of seats</t>
  </si>
  <si>
    <t>Parl. Vote Entltmt of all Eligible Parties</t>
  </si>
  <si>
    <t>Votes cast for non-winners</t>
  </si>
  <si>
    <t>% of Popular Vote for Eligible Parties</t>
  </si>
  <si>
    <t>If pop vote is &lt; thrshld,0,1</t>
  </si>
  <si>
    <t>if List allowance is 0 and no one elected, party is excluded</t>
  </si>
  <si>
    <t>Pop Vote if Thrshld + elected &gt;0</t>
  </si>
  <si>
    <t>Final Eligibility</t>
  </si>
  <si>
    <t>Additional Seats Awarded:</t>
  </si>
  <si>
    <t>Eligibility = parties w less than</t>
  </si>
  <si>
    <t>Ratio</t>
  </si>
  <si>
    <t>At the Ballot Box:</t>
  </si>
  <si>
    <t>Threshold + Elected</t>
  </si>
  <si>
    <t>TOTALS</t>
  </si>
  <si>
    <t xml:space="preserve">   </t>
  </si>
  <si>
    <t>Popular Vote % for Parties</t>
  </si>
  <si>
    <t>To Begin, scroll to top.</t>
  </si>
  <si>
    <t>of seats.</t>
  </si>
  <si>
    <t>Threshold for representation:</t>
  </si>
  <si>
    <t>Jack</t>
  </si>
  <si>
    <t>Leona</t>
  </si>
  <si>
    <t>Moira</t>
  </si>
  <si>
    <t>John</t>
  </si>
  <si>
    <t>Ahmed</t>
  </si>
  <si>
    <t>Mark</t>
  </si>
  <si>
    <t>Sandy</t>
  </si>
  <si>
    <t>Yitzak</t>
  </si>
  <si>
    <t>Phillip</t>
  </si>
  <si>
    <t>Remaining Distributon</t>
  </si>
  <si>
    <t>Boris</t>
  </si>
  <si>
    <t>Ginette</t>
  </si>
  <si>
    <t>Party Entitlement</t>
  </si>
  <si>
    <t>calc</t>
  </si>
  <si>
    <t>Helmut</t>
  </si>
  <si>
    <t>Madison</t>
  </si>
  <si>
    <t>Jagmeet</t>
  </si>
  <si>
    <t>Based on legislated pre-set limits, in this case:</t>
  </si>
  <si>
    <t>SUMMARY</t>
  </si>
  <si>
    <t>Independent MPs</t>
  </si>
  <si>
    <t>Total Popular Vote</t>
  </si>
  <si>
    <t xml:space="preserve">Total Popular Vote </t>
  </si>
  <si>
    <t>Seats they have</t>
  </si>
  <si>
    <t>Seats eligible parties should have</t>
  </si>
  <si>
    <t>Shortfall</t>
  </si>
  <si>
    <t>Reduce to Max allowed</t>
  </si>
  <si>
    <t>(Insert a scenario)</t>
  </si>
  <si>
    <t>Remaining Allocation</t>
  </si>
  <si>
    <t>Alternative Party Vote Distribution:</t>
  </si>
  <si>
    <t>Members "Crossing the Floor" or voting contrary to party discipline</t>
  </si>
  <si>
    <t>of the overall popular vote, or elect a candidate.</t>
  </si>
  <si>
    <t>(Input your election scenario in the blue areas below)</t>
  </si>
  <si>
    <t>is the most advantaged party, with a positive Ratio of</t>
  </si>
  <si>
    <t xml:space="preserve">To be elgible for representation, a party must win at least  </t>
  </si>
  <si>
    <t>Voter participation is likely to increase (No more "What's the use? The system is rigged.").</t>
  </si>
  <si>
    <t>Ratio Seats to Pop Vote</t>
  </si>
  <si>
    <t>Seat calc</t>
  </si>
  <si>
    <t>PopVote Share Calc</t>
  </si>
  <si>
    <t>Most Advantaged Party</t>
  </si>
  <si>
    <t>Elected</t>
  </si>
  <si>
    <t>Hardeep</t>
  </si>
  <si>
    <t>Yvette</t>
  </si>
  <si>
    <t>If not elected, must meet a min. threshold for List MNAs of</t>
  </si>
  <si>
    <t>If MNAs elected &gt;0,1, otherwise 0</t>
  </si>
  <si>
    <t>If List MNA allowance = 0,0,1)</t>
  </si>
  <si>
    <t>So, how does the process of achieving proportionality work?....</t>
  </si>
  <si>
    <t>(Note:  A summary table of inputs from the HowItWorks page is shown below)</t>
  </si>
  <si>
    <t>Votes in Committee per Member</t>
  </si>
  <si>
    <t xml:space="preserve">each elected Independent MP would have </t>
  </si>
  <si>
    <t xml:space="preserve">  Party Members Elected  </t>
  </si>
  <si>
    <t>% of All Elected Members Won</t>
  </si>
  <si>
    <t>Number of Members Elected</t>
  </si>
  <si>
    <t>Members in Committee</t>
  </si>
  <si>
    <t xml:space="preserve">Total Members </t>
  </si>
  <si>
    <t>No. of Members Elected</t>
  </si>
  <si>
    <t>% of All Elected Members</t>
  </si>
  <si>
    <t>Pop. vote</t>
  </si>
  <si>
    <t>Percent of</t>
  </si>
  <si>
    <t>PR is achieved:</t>
  </si>
  <si>
    <t>Popular Vote</t>
  </si>
  <si>
    <t xml:space="preserve"> How It Works --- The Details</t>
  </si>
  <si>
    <t>Democratic Party</t>
  </si>
  <si>
    <t>Winners are determined by plurality: the candidate who receives more votes than any other candidate in the district becomes the sole Member of the federal House of Representatives or State Legislature for the district.</t>
  </si>
  <si>
    <t>Members elected</t>
  </si>
  <si>
    <t>STEP 5 and Final Outcome:</t>
  </si>
  <si>
    <t>Total No. of Party Members</t>
  </si>
  <si>
    <t>House Vote Entitlement</t>
  </si>
  <si>
    <t xml:space="preserve"> House Vote per Member</t>
  </si>
  <si>
    <t>(Insert the total House Vote Entitlement for the Party here.)</t>
  </si>
  <si>
    <t>Elected Representatives who have no party affiliation have a vote in the House equal to the overall average vote per member in the House.</t>
  </si>
  <si>
    <t>Max. No. of List Members =</t>
  </si>
  <si>
    <t xml:space="preserve">Rounded </t>
  </si>
  <si>
    <t>Total Party List Members</t>
  </si>
  <si>
    <t>avg. parl vote per elected Member</t>
  </si>
  <si>
    <t>Allotment for Parties with no Members</t>
  </si>
  <si>
    <t>Elected Reps of parties w &lt; X% seats</t>
  </si>
  <si>
    <t>Eligible for List Members?</t>
  </si>
  <si>
    <t>At the ballot box in each electoral district, all registered political parties are listed, including those without a candidate in the district.  All registered candidates, including those without party affiliation, are listed.</t>
  </si>
  <si>
    <t xml:space="preserve">If there is a special election to fill a vacant seat during a session of the House, the popular vote results of that election replace those of the previous election, and the overall voting power in the House is recalculated.  Normally, the change would be very minor. </t>
  </si>
  <si>
    <t>Reflects popular vote</t>
  </si>
  <si>
    <t>Members of the House</t>
  </si>
  <si>
    <t>% of All House Votes</t>
  </si>
  <si>
    <t>Members of House Elected</t>
  </si>
  <si>
    <t>Number of Represen-tatives</t>
  </si>
  <si>
    <t>Set what you think should be the minimum popular vote percent that a political party needs to win for it to be</t>
  </si>
  <si>
    <t>elected Representatives.</t>
  </si>
  <si>
    <t>Make sure your scenario totals</t>
  </si>
  <si>
    <t>Based on the scenario selected</t>
  </si>
  <si>
    <t>of the overall popular vote, or elect</t>
  </si>
  <si>
    <t>a Member of House.  The percentage of the total popular vote received by each party is recalculated,</t>
  </si>
  <si>
    <t>based on eligible parties only.</t>
  </si>
  <si>
    <t>The total number of votes in the House for eligible political parties is then electronically determined, by dividing the number of seats won by the most advantaged party by the percent of the popular vote it received in the election.</t>
  </si>
  <si>
    <t>Independent Members:</t>
  </si>
  <si>
    <t>Representation on House Committees</t>
  </si>
  <si>
    <t>(Note the comparisons in the yellow areas.)</t>
  </si>
  <si>
    <t>Voting power in the House is defined by the House Vote Entitlement carried by each party, rather than by the number of seats held by parties. All parties carry a House Vote Entitlement in proportion to each's overall share of the popular vote in the most recent election.</t>
  </si>
  <si>
    <t>Progressive Democratic Party</t>
  </si>
  <si>
    <r>
      <t xml:space="preserve">  </t>
    </r>
    <r>
      <rPr>
        <b/>
        <sz val="15"/>
        <color rgb="FFC00000"/>
        <rFont val="Arial"/>
        <family val="2"/>
      </rPr>
      <t>Proportional representation, in the form of voting power in the House of Representatives, is achieved.</t>
    </r>
  </si>
  <si>
    <t>Outcome using the Current Winner-Take-All System</t>
  </si>
  <si>
    <r>
      <t>eligible for representation in the House</t>
    </r>
    <r>
      <rPr>
        <b/>
        <sz val="12"/>
        <rFont val="Arial"/>
        <family val="2"/>
      </rPr>
      <t>:</t>
    </r>
    <r>
      <rPr>
        <sz val="12"/>
        <rFont val="Arial"/>
        <family val="2"/>
      </rPr>
      <t xml:space="preserve"> </t>
    </r>
  </si>
  <si>
    <r>
      <rPr>
        <b/>
        <sz val="16"/>
        <color rgb="FFFF0000"/>
        <rFont val="Arial"/>
        <family val="2"/>
      </rPr>
      <t>Quick View:</t>
    </r>
    <r>
      <rPr>
        <b/>
        <sz val="16"/>
        <rFont val="Arial"/>
        <family val="2"/>
      </rPr>
      <t xml:space="preserve"> </t>
    </r>
  </si>
  <si>
    <t>Robert</t>
  </si>
  <si>
    <t>Top-Up seats: No more than</t>
  </si>
  <si>
    <t>Top-Up</t>
  </si>
  <si>
    <t>Total</t>
  </si>
  <si>
    <t>Average Vote per Member</t>
  </si>
  <si>
    <t>Lincoln Republicans</t>
  </si>
  <si>
    <t xml:space="preserve">     Totals for Parties</t>
  </si>
  <si>
    <t>ber of seats, and have less than their proportional share of votes in the House.  Also, you have decided that</t>
  </si>
  <si>
    <t>of the total num-</t>
  </si>
  <si>
    <t>You have decided that top-up seats are limited to parties with less than</t>
  </si>
  <si>
    <t xml:space="preserve">the number of Top-Up seats in the House is limited to </t>
  </si>
  <si>
    <t>(with leeway for rounding of numbers.)</t>
  </si>
  <si>
    <t>If you are inputting a scenario, you need to set some parameters:</t>
  </si>
  <si>
    <t>www.makedemocracybetter.com</t>
  </si>
  <si>
    <t>Whitebear</t>
  </si>
  <si>
    <t>Every vote cast for a voter's preferred district candidate of a political party counts towards the voting power in the House of that party, whether the district candidate wins or loses.  By contrast, in today's 'winner-take-all' electoral system, if a candidate does not win, his/her vote is discarded by the system.</t>
  </si>
  <si>
    <t xml:space="preserve"> Total Party Votes in the House</t>
  </si>
  <si>
    <t>The voting power of parties represented in the House is then brought into line with each party's share of the popular vote, by giving additional House votes – rather than additional Representatives – to parties that were ‘short-changed’ in the election, based on their share of the popular vote. (Go to the "HowItWorks" sheet to see how this is done.)  This establishes a Party's House Vote Entitlement.</t>
  </si>
  <si>
    <t>The Simple Vote Proportional Representation Electoral Method</t>
  </si>
  <si>
    <t>Results Using Simple Vote PR</t>
  </si>
  <si>
    <t>Once the raw numbers of votes across the USA are compiled, the process becomes how to bring the varyious results in line with proportionality.  Shown below is a description of the calculations done electronically, instantly, on Election Day using the Simple Vote PR electoral method, based on the information inputted above.</t>
  </si>
  <si>
    <t>What is Simple Vote PR?</t>
  </si>
  <si>
    <t>The Simple Vote PR system:  How it works -- A Summary:</t>
  </si>
  <si>
    <t>Simple Vote PR Electoral Method -- Summary for:</t>
  </si>
  <si>
    <t>THE SIMPLE VOTE PROPORTIONAL REPRESENTATION ELECTORAL METHOD</t>
  </si>
  <si>
    <r>
      <t xml:space="preserve">This interactive file enables election results to be calculated instantly as returns from polling stations become available on Election Day. </t>
    </r>
    <r>
      <rPr>
        <sz val="14"/>
        <rFont val="Arial"/>
        <family val="2"/>
      </rPr>
      <t xml:space="preserve"> </t>
    </r>
    <r>
      <rPr>
        <b/>
        <sz val="14"/>
        <rFont val="Arial"/>
        <family val="2"/>
      </rPr>
      <t>Input an election scenario below, or view the example given.</t>
    </r>
  </si>
  <si>
    <t>Other (non-winning) parties*</t>
  </si>
  <si>
    <t>Simple Vote PR (SVPR) is an electoral method to achieve full proportional representation (PR) in the US House of Representatives.</t>
  </si>
  <si>
    <t xml:space="preserve">Top-Up seats are limited to parties that have less than </t>
  </si>
  <si>
    <t>(It is best to select between 0% and 10% to avoid the possibility of distortions.)</t>
  </si>
  <si>
    <t>Note:  In rare situations, a candidate is unopposed and is acclaimed the winner.  For the party he/she represents, the assumed popular vote of the acclaimed candidate is set as the total popular vote for winning candidates of his/her party in contested districts divided by the number of Members elected in those districts.  This figure is added to the acclaimed candidate's party popular vote total.</t>
  </si>
  <si>
    <t>Members for Party X (Insert)</t>
  </si>
  <si>
    <t>Special Allocation (Insert)</t>
  </si>
  <si>
    <t>Frank</t>
  </si>
  <si>
    <t>Ensure that no Member has less than 1.0 vote.</t>
  </si>
  <si>
    <t>Select the number of top-up seats to be created</t>
  </si>
  <si>
    <t>The current number of seats in the House is</t>
  </si>
  <si>
    <t>Therefore, directly-elected seats will total</t>
  </si>
  <si>
    <t xml:space="preserve"> (select 0 if you do not want this feature)</t>
  </si>
  <si>
    <t xml:space="preserve"> (or keep the total no. of seats unchanged)</t>
  </si>
  <si>
    <t>SVPR creates a few Top-Up seats to enable small political parties to have a voice in the House.  If you wish to create top-up seats,</t>
  </si>
  <si>
    <t>Select the desired total number of seats in the House</t>
  </si>
  <si>
    <t>(Plus "Independents")</t>
  </si>
  <si>
    <t>The Simple Vote PR electoral method for the US House of Represenatives was devised by John Stillich.  He can be reached by telephone in Innisfil Ontario at 1-705-294-4110, or at johnstillich@rogers.com.  Www.makedemocracybetter.com includes this file.</t>
  </si>
  <si>
    <t xml:space="preserve">The table below shows a summary of the Simple Vote PR scenario based on data inputted on the "HowItWorks" page.  Note how the voting power of Representatives of under-represented parties is increased so that it closely reflects the overall popular vote (compare yellow areas in the summary below).  </t>
  </si>
  <si>
    <t>Total House Votes</t>
  </si>
  <si>
    <t>Top-Up Members</t>
  </si>
  <si>
    <t>Total Members</t>
  </si>
  <si>
    <t>House Votes/ Member</t>
  </si>
  <si>
    <t>A</t>
  </si>
  <si>
    <t>B</t>
  </si>
  <si>
    <t>C</t>
  </si>
  <si>
    <t>D</t>
  </si>
  <si>
    <t>E</t>
  </si>
  <si>
    <t>F</t>
  </si>
  <si>
    <t>G</t>
  </si>
  <si>
    <t>H</t>
  </si>
  <si>
    <t>I</t>
  </si>
  <si>
    <t>Total for All Eligible Parties</t>
  </si>
  <si>
    <t>As elected under current electoral systems, almost exclusively winner-take-all.</t>
  </si>
  <si>
    <t>Directly-elected Members plus Top-Up Members.</t>
  </si>
  <si>
    <t>File: SVPR DEMO USA HOUSE for July Description 2021</t>
  </si>
  <si>
    <t>Total for the Election</t>
  </si>
  <si>
    <t>Adjustments Made by Simple Vote PR</t>
  </si>
  <si>
    <t>As reported by all jurisdictions participating in the election. Voters cast their vote based on their true first preference, without compromise.</t>
  </si>
  <si>
    <t>!! Best Seats/ Vote %</t>
  </si>
  <si>
    <t>% of All Seats</t>
  </si>
  <si>
    <t>J</t>
  </si>
  <si>
    <t>Total number of House Votes (the House Vote Entitlement) for each party divided by the total number of that party's Members.  Using an average is the basic formula, but party Leaders can adjust the votes of its Members to reflect internal priorities.</t>
  </si>
  <si>
    <t>The popular vote for each party divided by the total number of votes cast in the election.</t>
  </si>
  <si>
    <t>Normally, the winner-take-all electoral system produces both over-represented and under-represented political parties.</t>
  </si>
  <si>
    <t xml:space="preserve"> A National Election for the House of Representatives</t>
  </si>
  <si>
    <t>The percent of House Votes mirrors each party's share of the total popular vote, i.e. proportional representation.  Note that "Independent" Members have a House Vote equal to the average for all parties.</t>
  </si>
  <si>
    <t>"!!" marks the party with the highest percent of all seats won compared to its share of the total popular vote.  This is the ratio to which all other parties are raised, and is the first step in determining the total number of votes in the House of Representatives.</t>
  </si>
  <si>
    <t>The Lincoln Republican's 110 seats divided by its percent share of the total popular vote determines the total number of Votes in the House.  This total is then multiplied by each party's percent share of the total popular vote.  This achieves full proportional representation in terms of voting power in the House.</t>
  </si>
  <si>
    <t>In this example, legislation pre-set the number of Top-up seats at 20, and that the total number of seats in the House would be increased by 20, to 455, rather than reducing the 435 elected seats to create TopUp seats.  Any combination of directly-elected seats and Top-Up seats is possible,</t>
  </si>
  <si>
    <t>of all seats in the House.</t>
  </si>
  <si>
    <t>"Top-Up" seats are limited to parties that have less than</t>
  </si>
  <si>
    <t>Number of "Top-Up" seats to be created =</t>
  </si>
  <si>
    <t>of all votes, or elect a candidate, to be represented</t>
  </si>
  <si>
    <t xml:space="preserve"> Average Vote  per Member</t>
  </si>
  <si>
    <t xml:space="preserve">Simple Vote PR Adjustments </t>
  </si>
  <si>
    <t>seats, and only for parties with fewer than</t>
  </si>
  <si>
    <t>The final SVPR electoral outcome is instantly calculated at the national level for the House of Representatives, as the total number of seats and total popular vote by political party become known.  Voting results at state and local levels keep the current winner-take-all system of electing Members, unless they decide otherwise.  The illustration below presents just one example of an election scenario.</t>
  </si>
  <si>
    <t>Explained differently:</t>
  </si>
  <si>
    <t>Political parties receiving less than a pre-determined minimum percentage of the popular vote are excluded from representation, unless they elect a candidate in a district.  As a respect to democracy, a low is threshold recommended (2%).</t>
  </si>
  <si>
    <t xml:space="preserve">The tradition of exactly one vote in the House of Representatives for each of its Members is ended.  Most Members are given additional votes, including fractions of a vote, to reflect the percent of the popular vote received by the party that they represent.  The number of votes in the House will exceed the number of seats.  No Member will have less than one full vote in the House.    
</t>
  </si>
  <si>
    <t>Except for a few Top-Up Members, all Members of the House are directly accountable to voters in their district.  Top-Up Members represent their party nationally.</t>
  </si>
  <si>
    <t>The tradition of a "Majority Leader" becoming Speaker of the House would change, because no single party is likely to have a 50%+ House Vote Entitlement.  The Speaker of the House is chosen by a majority of House votes.  Procedures in the House may be set by a committee comprised of leaders of a majority of votes in the House.   Other options and changes may occur.</t>
  </si>
  <si>
    <t xml:space="preserve">In this scenario, a party must win </t>
  </si>
  <si>
    <r>
      <t xml:space="preserve">The </t>
    </r>
    <r>
      <rPr>
        <b/>
        <sz val="14"/>
        <rFont val="Arial"/>
        <family val="2"/>
      </rPr>
      <t>Simple Vote PR</t>
    </r>
    <r>
      <rPr>
        <sz val="12"/>
        <rFont val="Arial"/>
        <family val="2"/>
      </rPr>
      <t xml:space="preserve"> electoral method is a system that is simple for voters at the ballot box, and is based on treating every vote equally.  It achieves proportional representation without changing how Members of the US House of Representatives or State legislative body are elected (for example, no ranking of candidates at the ballot box), keeps the number of elected Members close to current levels, keeps districts single-member, and maintains direct district accountability of elected Members. </t>
    </r>
  </si>
  <si>
    <t>Proportional representation is achieved by adding votes in the House to elected Members of parties that won fewer seats than their share of the national popular vote, so that a political party's share of votes in House is the same as its share of the overall popular vote.  SVPR also reduces inequalities in representation by adding a few Members to the most under-represented parties.</t>
  </si>
  <si>
    <t>The most advantaged political party -- being the one with the highest percent share of all Members of the House  relative to its percent share of the popular vote -- is then determined electronically, by dividing the percent of Members won by each party by the percent of the popular vote which that party received.  The highest ratio identifies the most advantaged party.</t>
  </si>
  <si>
    <t>This total number of votes for parties in the House is then multiplied by the percent of the overall popular vote received by each party to determine the vote entitlement for each party.  Results normally include fractions of a vote.  Note that the House Vote Entitlement for the most advantaged party is the same as the number of its Members.</t>
  </si>
  <si>
    <t>Finally, each party's voting power is then distributed equally to each Member within the party.  This normally results in fractions of a vote per Member except for the most advantaged party, which has exactly one vote per Member.</t>
  </si>
  <si>
    <t>Independents elected</t>
  </si>
  <si>
    <t>Quinlan</t>
  </si>
  <si>
    <t xml:space="preserve">As a respect to the diversity of America, SVPR adds a few Members to the most under-represented eligible parties, to give those parties a human presence and functional ability, by awarding them "Top-Up" seats.  </t>
  </si>
  <si>
    <t>Green Party</t>
  </si>
  <si>
    <t>Libertarian Party</t>
  </si>
  <si>
    <t>Electoral Results</t>
  </si>
  <si>
    <t>New West Party</t>
  </si>
  <si>
    <t>Other New Party</t>
  </si>
  <si>
    <t>First Americans Party</t>
  </si>
  <si>
    <t>(Rounded)</t>
  </si>
  <si>
    <t>New Morality Party</t>
  </si>
  <si>
    <t>File: SVPR DEMO USA Oct 2023</t>
  </si>
  <si>
    <t xml:space="preserve">SVPR is simple for voters, and is based on treating every vote equally.  It achieves proportional representation without changing how Members of the House of Representatives are elected, and enables a limited number of "Top-Up" seats to be created to provide for representation by eligible small parties. </t>
  </si>
  <si>
    <r>
      <t xml:space="preserve">Proportional representation is achieved by adding </t>
    </r>
    <r>
      <rPr>
        <b/>
        <i/>
        <u/>
        <sz val="12"/>
        <rFont val="Arial"/>
        <family val="2"/>
      </rPr>
      <t>votes</t>
    </r>
    <r>
      <rPr>
        <sz val="12"/>
        <rFont val="Arial"/>
        <family val="2"/>
      </rPr>
      <t xml:space="preserve"> in the House to Representatives to parties that were 'short-changed' in an election based on their percent share of the overall natonal popular vote, so that each political party's share of votes in the House is the same as its share of the overall national popular vote in a general election.  </t>
    </r>
  </si>
  <si>
    <r>
      <rPr>
        <b/>
        <i/>
        <sz val="12"/>
        <rFont val="Arial"/>
        <family val="2"/>
      </rPr>
      <t>Every vote</t>
    </r>
    <r>
      <rPr>
        <sz val="12"/>
        <rFont val="Arial"/>
        <family val="2"/>
      </rPr>
      <t xml:space="preserve"> cast for a voter's preferred local candidate of a political party counts towards voting power of that party in the House, including the votes cast for a political party's district candidate that does not win a seat in the House.  In contrast, in today's electoral system, if a candidate does not win, his/her vote is discarded.</t>
    </r>
  </si>
  <si>
    <t>Voters choose a single candidate or party to represent them.  The candidate receiving a plurality of votes (more votes than any other candidate) becomes the only Member of the House of Representatives for the district.</t>
  </si>
  <si>
    <t>A party can be awarded additional Members and its party's House Vote Entitlement, if the party elects fewer candidates than it should have if the number of seats in the House were allocated on the basis of proportional representation, but only if if the party has fewer seats overall than a pre-determined percent (for example, a party electing less than 5% of the seats in the House).  A limit to the number of these "Top-Up" seats (for example, no more than 5% of the total number of Representatives) and the states in which they are allocated, is established by legislation prior to any general election.</t>
  </si>
  <si>
    <t>The voting power of each Member of a political party in the House is determined by dividing the party's total House Vote Entitlement equally among the number of the party's Members of the House.  However, leaders of a political party may be empowered to allocate its House Vote Entitlement differently, to balance out inequities in gender, ethnicity, geography, etc.  Most Members have more than one vote each; no Member should have less than one fuill vote.</t>
  </si>
  <si>
    <t>Simple Vote PR:  Some Outcomes and Effects</t>
  </si>
  <si>
    <t xml:space="preserve">The electoral system of the United States that allows for only two political points of view to be represented in Congress in a diverse country of more than 325,000,000 people is changed to enable a wider range of thought and opinion to be represented by more political parties. </t>
  </si>
  <si>
    <t>Strategic or compromise voting is unnecessary (No more "I can't vote for her because she doesn't have a chance of winning."), because every vote cast at the ballot box for a candidate representing an eligible political party counts towards Congressional voting power of every voter's first choice.</t>
  </si>
  <si>
    <t>Voting does not require ranking multiple candidates in a multi-member or single-member district.  There is no confusion as to who represents the voters in the district.  Unlike in PR systems where voters cast separate ballots for a preferred party and a preferred candidate, SVPR assumes the two choices will be the same. The counting of ballots is simple, not requiring intricate formulas.</t>
  </si>
  <si>
    <t xml:space="preserve">Over time, proprtional representation in the House of Representatives will increase the diversity of representation.  Voters will have an effective choice in favour of parties that they see as being more representative of their views.  New parties that may form around segments of society (for example, a Pro-Life Environment Party, or the Libertarian Party) have a better chance of representation. </t>
  </si>
  <si>
    <t xml:space="preserve">Representation by gender, ethnicity, culture or other component of society is indirectly supported by competition from other parties, and a recognition by parties that the votes of all parts of society count directly towards voting power in the House.  </t>
  </si>
  <si>
    <t>Negotiation and compromise across party lines on legislation becomes the norm, to enable a majority of House votes to be secured. No single party can force its own preferred legislation to be passed unless it has more than 50% of the votes in the House.  Votes of multiple parties become important to moderate against extreme or polarizing legislation.</t>
  </si>
  <si>
    <t xml:space="preserve">Members who decide to change their party affiliation during a session of the House have no effect on House vote standings; the total House Vote Entitlement remains with the party that the Member has abandoned, in accordance with the party's share of the popular vote in the most recent general election, modified by by-elections.  A Member will not voluntarily leave his/her party because he/she will have no vote.  However, Members expelled from a party by its caucus sit as Independents, and are given a House vote equal to the average for all Members of the House.  </t>
  </si>
  <si>
    <t>The practice of adjusting the geographic bundaries of electoral districts to suit a political desire ("redistricting", "gerrymandering") would no longer have a purpose, as voting power in the House is determined by the overall national (or state in state elections) popular vote.</t>
  </si>
  <si>
    <t>With Simple Vote PR, Members of the House who, on heir own, decide to change parties have no effect on total House vote standings.  Votes remain with the original party in accordance with its share of the popular vote in the most recent general election, as modified by interim elections, as a respect to the voters in the affected district.  Members removed from a party caucus (expelled) by its leadership and choose to sit as Independents are given a House Vote equal to the average for all party Members (so, the total number of votes in House increases).  A Member will not leave his/her party caucus voluntarily because he/she will have no vote.  Those Members would likely rather abstain from some votes, and vote according to party discipline on others.</t>
  </si>
  <si>
    <t>Existing district boundaries are maintained, and voters select a single candidate or party to represent them in the House of Representatives.  If a party is not fielding a candidate in the district, the party's name remains on the ballot to enable voters to choose that party.  Independent candidates in the district are also listed.</t>
  </si>
  <si>
    <t>Note:  Selecting a single candidate is all that the voter does.  The rest is instantaneously calculated to achieve proportional representation, as the following steps show.</t>
  </si>
  <si>
    <t>Once all of the electoral district winners are determined, the totals for the nation are compiled.  To illustrate how the Simple Vote PR method is instantly applied to achieve proportional representation, you may input an election scenario of your choosing below, in the blue areas only, or just view the example shown.</t>
  </si>
  <si>
    <t xml:space="preserve">If you want to change an entry, use the cursor to select the cell (click it once), and type the correction over the existing entry, and click 'Enter".  To clear the contents of a blue area, select it, and then click on 'Home' on the menu bar, then click 'Clear' and 'Clear Contents'.  </t>
  </si>
  <si>
    <t xml:space="preserve"> (Note: If a party elects a candidate, it is eligible.)</t>
  </si>
  <si>
    <t xml:space="preserve"> of all seats in the House.</t>
  </si>
  <si>
    <t>(Type in a name for your scenario)</t>
  </si>
  <si>
    <t>Total for Political Parties</t>
  </si>
  <si>
    <t>(As you selected above.)</t>
  </si>
  <si>
    <t>The Simple Vote PR system also adds Top-Up Members for the most under-represented eligible parties, as follows:</t>
  </si>
  <si>
    <t>(Excludes Independents.)</t>
  </si>
  <si>
    <t>Congress enables and directs the allocation of Top-Up seats. These added Members may be required to be selected by their respective parties from candidates fielded in the general election, and who may thereby be considered as 'elected' to a Top-Up seat.  In a U.S. federal election, they could be assigned to represent specific states or be National Members, representing voters across the country.  An officer of the Federal Election Commission can be empowered to assign all or some of the additional Members manually to accommodate anomolies, rather than having it electronically computed, and to round final numbers.  Distribution of Top-up seats will need to respect the proportional distribution of seats based on state by state populations.</t>
  </si>
  <si>
    <t>Top-Up Members are added to the total number of Members of the House.  If it is desired to restrict the total number of Members in the House to less than the sum of elected and Top-Up Members, some states will have to be redistricted to accommodate the Top-Up Members.</t>
  </si>
  <si>
    <t>For each of the Members who are "Independents", their voting power is calculated as the total House voting power for all parties divided by the number of Members of all parties.  In the example,</t>
  </si>
  <si>
    <t>Average</t>
  </si>
  <si>
    <t>Note:  A Party Leader may wish to allocate its party's House Vote Entitlement per Member according to a different method, for example, by gender or other manner.  View table at right.</t>
  </si>
  <si>
    <t xml:space="preserve">Minimum Votes needed in the House of Representatives for true Majority </t>
  </si>
  <si>
    <t>of House Members are "top-up" Members.</t>
  </si>
  <si>
    <t>With  Simple Vote PR, the composition of committees would not have to be set in line with the composition of seats in the House.  The voting power of parties in Committee would be set to mirror the total vote entitlement of each party.  That would enable any number of Members to participate.  The total of all votes in committee would be the same as for the House as a whole ─ the voting power of each Member at Committee would be the Total House Vote Entitlement for the Member's party divided by the number of Members in committee for each party.  Party or House leaders can appoint and limit representation by their party.</t>
  </si>
  <si>
    <t>The House Votes of each elected Representative can be distributed in ways other than a simple average that gives all Members of a party an equal voice.  A Party Leader or leadership may adjust votes for each of his/her Members to boost the voting power of under-represented regions or for gender or for ethnicity, except that no Member shall have less than one vote.  View the following example, or insert in the blue areas a specific House Vote entitlement for a Member, and the others will automatically adjust.  Note that the total number of House Votes for a Party must always remain constant.</t>
  </si>
  <si>
    <t>Carla</t>
  </si>
  <si>
    <t>House Vote Entitle-ment</t>
  </si>
  <si>
    <t>MAGA Party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</si>
</sst>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 #,##0.00_);_(* \(#,##0.00\);_(* &quot;-&quot;??_);_(@_)"/>
    <numFmt numFmtId="165" formatCode="_-* #,##0.0_-;\-* #,##0.0_-;_-* &quot;-&quot;??_-;_-@_-"/>
    <numFmt numFmtId="166" formatCode="_-* #,##0_-;\-* #,##0_-;_-* &quot;-&quot;??_-;_-@_-"/>
    <numFmt numFmtId="167" formatCode="0.0"/>
    <numFmt numFmtId="168" formatCode="0.0%"/>
    <numFmt numFmtId="169" formatCode="#,##0.0"/>
    <numFmt numFmtId="170" formatCode="#,##0.00_ ;\-#,##0.00\ "/>
    <numFmt numFmtId="171" formatCode="#,##0.000000"/>
    <numFmt numFmtId="172" formatCode="#,##0_ ;\-#,##0\ "/>
    <numFmt numFmtId="173" formatCode="#,##0.0_ ;\-#,##0.0\ "/>
  </numFmts>
  <fonts count="76" x14ac:knownFonts="1">
    <font>
      <sz val="10"/>
      <name val="Arial"/>
    </font>
    <font>
      <sz val="10"/>
      <name val="Arial"/>
      <family val="2"/>
    </font>
    <font>
      <sz val="8"/>
      <name val="Arial"/>
      <family val="2"/>
    </font>
    <font>
      <sz val="10"/>
      <name val="Arial"/>
      <family val="2"/>
    </font>
    <font>
      <sz val="12"/>
      <name val="Arial"/>
      <family val="2"/>
    </font>
    <font>
      <u/>
      <sz val="15"/>
      <color indexed="12"/>
      <name val="Arial"/>
      <family val="2"/>
    </font>
    <font>
      <sz val="9"/>
      <name val="Arial"/>
      <family val="2"/>
    </font>
    <font>
      <sz val="16"/>
      <name val="Arial"/>
      <family val="2"/>
    </font>
    <font>
      <b/>
      <sz val="20"/>
      <color indexed="12"/>
      <name val="Arial"/>
      <family val="2"/>
    </font>
    <font>
      <sz val="20"/>
      <name val="Arial"/>
      <family val="2"/>
    </font>
    <font>
      <b/>
      <sz val="10"/>
      <color indexed="12"/>
      <name val="Arial"/>
      <family val="2"/>
    </font>
    <font>
      <sz val="12"/>
      <name val="Arial"/>
      <family val="2"/>
    </font>
    <font>
      <b/>
      <sz val="12"/>
      <name val="Arial"/>
      <family val="2"/>
    </font>
    <font>
      <sz val="14"/>
      <name val="Arial"/>
      <family val="2"/>
    </font>
    <font>
      <b/>
      <sz val="12"/>
      <name val="Arial"/>
      <family val="2"/>
    </font>
    <font>
      <sz val="11"/>
      <name val="Arial"/>
      <family val="2"/>
    </font>
    <font>
      <sz val="14"/>
      <name val="Calibri"/>
      <family val="2"/>
    </font>
    <font>
      <b/>
      <sz val="12"/>
      <color indexed="12"/>
      <name val="Arial"/>
      <family val="2"/>
    </font>
    <font>
      <b/>
      <sz val="14"/>
      <name val="Arial"/>
      <family val="2"/>
    </font>
    <font>
      <b/>
      <sz val="14"/>
      <color indexed="62"/>
      <name val="Arial"/>
      <family val="2"/>
    </font>
    <font>
      <b/>
      <u/>
      <sz val="12"/>
      <name val="Arial"/>
      <family val="2"/>
    </font>
    <font>
      <b/>
      <sz val="16"/>
      <name val="Arial"/>
      <family val="2"/>
    </font>
    <font>
      <sz val="12"/>
      <color indexed="20"/>
      <name val="Arial"/>
      <family val="2"/>
    </font>
    <font>
      <u/>
      <sz val="10"/>
      <name val="Arial"/>
      <family val="2"/>
    </font>
    <font>
      <b/>
      <sz val="10"/>
      <name val="Arial"/>
      <family val="2"/>
    </font>
    <font>
      <b/>
      <u/>
      <sz val="14"/>
      <color indexed="12"/>
      <name val="Calibri"/>
      <family val="2"/>
    </font>
    <font>
      <b/>
      <sz val="20"/>
      <color rgb="FFC00000"/>
      <name val="Arial"/>
      <family val="2"/>
    </font>
    <font>
      <b/>
      <sz val="16"/>
      <color rgb="FFC00000"/>
      <name val="Arial"/>
      <family val="2"/>
    </font>
    <font>
      <b/>
      <sz val="14"/>
      <color rgb="FFC00000"/>
      <name val="Arial"/>
      <family val="2"/>
    </font>
    <font>
      <b/>
      <u/>
      <sz val="14"/>
      <color rgb="FF0000CC"/>
      <name val="Arial"/>
      <family val="2"/>
    </font>
    <font>
      <sz val="12"/>
      <color theme="1"/>
      <name val="Arial"/>
      <family val="2"/>
    </font>
    <font>
      <b/>
      <i/>
      <u/>
      <sz val="18"/>
      <name val="Bookman Old Style"/>
      <family val="1"/>
    </font>
    <font>
      <i/>
      <u/>
      <sz val="18"/>
      <name val="Bookman Old Style"/>
      <family val="1"/>
    </font>
    <font>
      <sz val="18"/>
      <name val="Bookman Old Style"/>
      <family val="1"/>
    </font>
    <font>
      <sz val="8"/>
      <color theme="0" tint="-0.499984740745262"/>
      <name val="Arial"/>
      <family val="2"/>
    </font>
    <font>
      <sz val="10"/>
      <color theme="0" tint="-0.499984740745262"/>
      <name val="Arial"/>
      <family val="2"/>
    </font>
    <font>
      <sz val="12"/>
      <color theme="0" tint="-0.499984740745262"/>
      <name val="Arial"/>
      <family val="2"/>
    </font>
    <font>
      <strike/>
      <sz val="10"/>
      <color theme="0" tint="-0.499984740745262"/>
      <name val="Arial"/>
      <family val="2"/>
    </font>
    <font>
      <b/>
      <sz val="12"/>
      <color theme="0" tint="-0.499984740745262"/>
      <name val="Arial"/>
      <family val="2"/>
    </font>
    <font>
      <u/>
      <sz val="12"/>
      <color theme="0" tint="-0.499984740745262"/>
      <name val="Arial"/>
      <family val="2"/>
    </font>
    <font>
      <b/>
      <sz val="14"/>
      <color rgb="FF0000CC"/>
      <name val="Arial"/>
      <family val="2"/>
    </font>
    <font>
      <b/>
      <sz val="11"/>
      <name val="Arial"/>
      <family val="2"/>
    </font>
    <font>
      <sz val="15"/>
      <name val="Arial"/>
      <family val="2"/>
    </font>
    <font>
      <sz val="10"/>
      <color theme="0" tint="-0.34998626667073579"/>
      <name val="Arial"/>
      <family val="2"/>
    </font>
    <font>
      <b/>
      <i/>
      <u/>
      <sz val="14"/>
      <name val="Arial"/>
      <family val="2"/>
    </font>
    <font>
      <b/>
      <i/>
      <sz val="12"/>
      <name val="Arial"/>
      <family val="2"/>
    </font>
    <font>
      <sz val="12"/>
      <name val="Tahoma"/>
      <family val="2"/>
    </font>
    <font>
      <sz val="10"/>
      <name val="Tahoma"/>
      <family val="2"/>
    </font>
    <font>
      <b/>
      <u/>
      <sz val="22"/>
      <name val="Calibri"/>
      <family val="2"/>
      <scheme val="minor"/>
    </font>
    <font>
      <b/>
      <sz val="28"/>
      <name val="Calibri"/>
      <family val="2"/>
      <scheme val="minor"/>
    </font>
    <font>
      <b/>
      <sz val="10"/>
      <color rgb="FFFF0000"/>
      <name val="Arial"/>
      <family val="2"/>
    </font>
    <font>
      <sz val="11"/>
      <color rgb="FF0000CC"/>
      <name val="Arial"/>
      <family val="2"/>
    </font>
    <font>
      <sz val="10"/>
      <color rgb="FF0000CC"/>
      <name val="Arial"/>
      <family val="2"/>
    </font>
    <font>
      <sz val="10"/>
      <color rgb="FFC00000"/>
      <name val="Arial"/>
      <family val="2"/>
    </font>
    <font>
      <b/>
      <sz val="12"/>
      <color rgb="FF000000"/>
      <name val="Arial"/>
      <family val="2"/>
    </font>
    <font>
      <b/>
      <sz val="11"/>
      <color rgb="FF000000"/>
      <name val="Arial"/>
      <family val="2"/>
    </font>
    <font>
      <sz val="12"/>
      <color rgb="FF000099"/>
      <name val="Arial"/>
      <family val="2"/>
    </font>
    <font>
      <b/>
      <sz val="24"/>
      <name val="Arial"/>
      <family val="2"/>
    </font>
    <font>
      <sz val="9"/>
      <color theme="0" tint="-0.499984740745262"/>
      <name val="Arial"/>
      <family val="2"/>
    </font>
    <font>
      <b/>
      <sz val="15"/>
      <color rgb="FFFF0000"/>
      <name val="Arial"/>
      <family val="2"/>
    </font>
    <font>
      <b/>
      <i/>
      <u/>
      <sz val="12"/>
      <name val="Arial"/>
      <family val="2"/>
    </font>
    <font>
      <b/>
      <sz val="15"/>
      <color rgb="FFC00000"/>
      <name val="Arial"/>
      <family val="2"/>
    </font>
    <font>
      <sz val="9"/>
      <color indexed="81"/>
      <name val="Tahoma"/>
      <family val="2"/>
    </font>
    <font>
      <b/>
      <sz val="16"/>
      <color rgb="FFFF0000"/>
      <name val="Arial"/>
      <family val="2"/>
    </font>
    <font>
      <b/>
      <sz val="10"/>
      <color theme="0" tint="-0.499984740745262"/>
      <name val="Arial"/>
      <family val="2"/>
    </font>
    <font>
      <u/>
      <sz val="48"/>
      <name val="Arial"/>
      <family val="2"/>
    </font>
    <font>
      <b/>
      <sz val="12"/>
      <color rgb="FFC00000"/>
      <name val="Arial"/>
      <family val="2"/>
    </font>
    <font>
      <u/>
      <sz val="12"/>
      <color indexed="12"/>
      <name val="Arial"/>
      <family val="2"/>
    </font>
    <font>
      <b/>
      <sz val="18"/>
      <name val="Arial"/>
      <family val="2"/>
    </font>
    <font>
      <b/>
      <sz val="12"/>
      <color rgb="FFFF0000"/>
      <name val="Arial"/>
      <family val="2"/>
    </font>
    <font>
      <b/>
      <sz val="10"/>
      <color rgb="FF0000CC"/>
      <name val="Arial"/>
      <family val="2"/>
    </font>
    <font>
      <strike/>
      <sz val="12"/>
      <name val="Arial"/>
      <family val="2"/>
    </font>
    <font>
      <strike/>
      <sz val="10"/>
      <name val="Arial"/>
      <family val="2"/>
    </font>
    <font>
      <b/>
      <sz val="26"/>
      <name val="Calibri"/>
      <family val="2"/>
      <scheme val="minor"/>
    </font>
    <font>
      <b/>
      <sz val="14"/>
      <color rgb="FFFF0000"/>
      <name val="Arial"/>
      <family val="2"/>
    </font>
    <font>
      <sz val="12"/>
      <color rgb="FFC00000"/>
      <name val="Arial"/>
      <family val="2"/>
    </font>
  </fonts>
  <fills count="13">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26"/>
        <bgColor indexed="64"/>
      </patternFill>
    </fill>
    <fill>
      <patternFill patternType="solid">
        <fgColor indexed="47"/>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CCECFF"/>
        <bgColor indexed="64"/>
      </patternFill>
    </fill>
  </fills>
  <borders count="107">
    <border>
      <left/>
      <right/>
      <top/>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
      <left/>
      <right style="double">
        <color indexed="64"/>
      </right>
      <top/>
      <bottom/>
      <diagonal/>
    </border>
    <border>
      <left style="double">
        <color indexed="64"/>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thin">
        <color indexed="64"/>
      </top>
      <bottom style="thin">
        <color indexed="64"/>
      </bottom>
      <diagonal/>
    </border>
    <border>
      <left style="double">
        <color indexed="64"/>
      </left>
      <right/>
      <top/>
      <bottom/>
      <diagonal/>
    </border>
    <border>
      <left style="thin">
        <color indexed="64"/>
      </left>
      <right style="double">
        <color indexed="64"/>
      </right>
      <top/>
      <bottom style="thin">
        <color indexed="64"/>
      </bottom>
      <diagonal/>
    </border>
    <border>
      <left/>
      <right style="double">
        <color indexed="64"/>
      </right>
      <top style="double">
        <color indexed="64"/>
      </top>
      <bottom style="thin">
        <color indexed="64"/>
      </bottom>
      <diagonal/>
    </border>
    <border>
      <left/>
      <right style="double">
        <color indexed="64"/>
      </right>
      <top style="double">
        <color indexed="64"/>
      </top>
      <bottom/>
      <diagonal/>
    </border>
    <border>
      <left/>
      <right/>
      <top/>
      <bottom style="medium">
        <color indexed="64"/>
      </bottom>
      <diagonal/>
    </border>
    <border>
      <left/>
      <right style="thick">
        <color indexed="64"/>
      </right>
      <top/>
      <bottom style="medium">
        <color indexed="64"/>
      </bottom>
      <diagonal/>
    </border>
    <border>
      <left style="thick">
        <color indexed="64"/>
      </left>
      <right/>
      <top/>
      <bottom style="medium">
        <color indexed="64"/>
      </bottom>
      <diagonal/>
    </border>
    <border>
      <left/>
      <right/>
      <top style="thick">
        <color indexed="64"/>
      </top>
      <bottom style="thick">
        <color indexed="64"/>
      </bottom>
      <diagonal/>
    </border>
    <border>
      <left/>
      <right/>
      <top style="medium">
        <color indexed="64"/>
      </top>
      <bottom/>
      <diagonal/>
    </border>
    <border>
      <left/>
      <right/>
      <top style="medium">
        <color indexed="64"/>
      </top>
      <bottom style="thick">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double">
        <color indexed="64"/>
      </left>
      <right style="thin">
        <color indexed="64"/>
      </right>
      <top style="double">
        <color indexed="64"/>
      </top>
      <bottom/>
      <diagonal/>
    </border>
    <border>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thin">
        <color indexed="64"/>
      </top>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right style="double">
        <color indexed="64"/>
      </right>
      <top/>
      <bottom style="medium">
        <color indexed="64"/>
      </bottom>
      <diagonal/>
    </border>
    <border>
      <left/>
      <right style="double">
        <color indexed="64"/>
      </right>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double">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double">
        <color indexed="64"/>
      </right>
      <top style="dotted">
        <color indexed="64"/>
      </top>
      <bottom style="dotted">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double">
        <color indexed="64"/>
      </right>
      <top style="dotted">
        <color indexed="64"/>
      </top>
      <bottom style="thin">
        <color indexed="64"/>
      </bottom>
      <diagonal/>
    </border>
  </borders>
  <cellStyleXfs count="4">
    <xf numFmtId="0" fontId="0" fillId="0" borderId="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9" fontId="1" fillId="0" borderId="0" applyFont="0" applyFill="0" applyBorder="0" applyAlignment="0" applyProtection="0"/>
  </cellStyleXfs>
  <cellXfs count="935">
    <xf numFmtId="0" fontId="0" fillId="0" borderId="0" xfId="0"/>
    <xf numFmtId="49" fontId="0" fillId="0" borderId="0" xfId="0" applyNumberFormat="1" applyAlignment="1">
      <alignment vertical="top"/>
    </xf>
    <xf numFmtId="0" fontId="0" fillId="0" borderId="0" xfId="0" applyAlignment="1">
      <alignment vertical="top"/>
    </xf>
    <xf numFmtId="0" fontId="9" fillId="0" borderId="0" xfId="0" applyFont="1" applyAlignment="1">
      <alignment horizontal="center"/>
    </xf>
    <xf numFmtId="0" fontId="11" fillId="0" borderId="0" xfId="0" applyFont="1"/>
    <xf numFmtId="49" fontId="11" fillId="0" borderId="0" xfId="0" applyNumberFormat="1" applyFont="1" applyAlignment="1">
      <alignment vertical="top"/>
    </xf>
    <xf numFmtId="0" fontId="11" fillId="0" borderId="0" xfId="0" applyFont="1" applyAlignment="1">
      <alignment wrapText="1"/>
    </xf>
    <xf numFmtId="0" fontId="14" fillId="0" borderId="0" xfId="0" applyFont="1"/>
    <xf numFmtId="0" fontId="4" fillId="2" borderId="1" xfId="0" applyFont="1" applyFill="1" applyBorder="1" applyAlignment="1">
      <alignment horizontal="right" vertical="center" indent="2"/>
    </xf>
    <xf numFmtId="166" fontId="4" fillId="2" borderId="1" xfId="1" applyNumberFormat="1" applyFont="1" applyFill="1" applyBorder="1" applyAlignment="1">
      <alignment horizontal="left" vertical="center"/>
    </xf>
    <xf numFmtId="0" fontId="0" fillId="0" borderId="0" xfId="0" applyAlignment="1">
      <alignment vertical="top" wrapText="1"/>
    </xf>
    <xf numFmtId="0" fontId="0" fillId="0" borderId="0" xfId="0" applyAlignment="1">
      <alignment wrapText="1"/>
    </xf>
    <xf numFmtId="0" fontId="0" fillId="0" borderId="0" xfId="0" applyAlignment="1">
      <alignment horizontal="center" wrapText="1"/>
    </xf>
    <xf numFmtId="0" fontId="8" fillId="0" borderId="0" xfId="0" applyFont="1" applyAlignment="1">
      <alignment horizontal="left"/>
    </xf>
    <xf numFmtId="0" fontId="4" fillId="3" borderId="1" xfId="0" applyFont="1" applyFill="1" applyBorder="1" applyAlignment="1">
      <alignment horizontal="left" vertical="center" wrapText="1" indent="3"/>
    </xf>
    <xf numFmtId="10" fontId="4" fillId="3" borderId="13" xfId="0" applyNumberFormat="1" applyFont="1" applyFill="1" applyBorder="1" applyAlignment="1">
      <alignment vertical="center" wrapText="1"/>
    </xf>
    <xf numFmtId="0" fontId="17" fillId="0" borderId="0" xfId="0" applyFont="1" applyAlignment="1">
      <alignment horizontal="left" vertical="center" indent="1"/>
    </xf>
    <xf numFmtId="0" fontId="19" fillId="0" borderId="0" xfId="0" applyFont="1" applyAlignment="1">
      <alignment horizontal="left" vertical="center" indent="1"/>
    </xf>
    <xf numFmtId="10" fontId="3" fillId="3" borderId="11" xfId="0" applyNumberFormat="1" applyFont="1" applyFill="1" applyBorder="1" applyAlignment="1">
      <alignment horizontal="right" vertical="center" wrapText="1"/>
    </xf>
    <xf numFmtId="0" fontId="14" fillId="3" borderId="1" xfId="0" applyFont="1" applyFill="1" applyBorder="1" applyAlignment="1">
      <alignment horizontal="center" vertical="center"/>
    </xf>
    <xf numFmtId="166" fontId="14" fillId="3" borderId="1" xfId="1" applyNumberFormat="1" applyFont="1" applyFill="1" applyBorder="1" applyAlignment="1">
      <alignment horizontal="left" vertical="center"/>
    </xf>
    <xf numFmtId="0" fontId="14" fillId="3" borderId="1" xfId="0" applyFont="1" applyFill="1" applyBorder="1" applyAlignment="1">
      <alignment horizontal="right" vertical="center" indent="2"/>
    </xf>
    <xf numFmtId="0" fontId="3" fillId="0" borderId="0" xfId="0" applyFont="1" applyAlignment="1">
      <alignment horizontal="left"/>
    </xf>
    <xf numFmtId="0" fontId="3" fillId="0" borderId="0" xfId="0" applyFont="1" applyAlignment="1">
      <alignment horizontal="center"/>
    </xf>
    <xf numFmtId="3" fontId="4" fillId="3" borderId="1" xfId="0" applyNumberFormat="1" applyFont="1" applyFill="1" applyBorder="1" applyAlignment="1">
      <alignment horizontal="right" vertical="center" wrapText="1" indent="1"/>
    </xf>
    <xf numFmtId="1" fontId="4" fillId="3" borderId="11" xfId="0" applyNumberFormat="1" applyFont="1" applyFill="1" applyBorder="1" applyAlignment="1">
      <alignment horizontal="center" vertical="center"/>
    </xf>
    <xf numFmtId="0" fontId="4" fillId="3" borderId="11" xfId="0" applyFont="1" applyFill="1" applyBorder="1" applyAlignment="1">
      <alignment horizontal="left" vertical="center" indent="1"/>
    </xf>
    <xf numFmtId="0" fontId="14" fillId="3" borderId="1" xfId="0" applyFont="1" applyFill="1" applyBorder="1" applyAlignment="1">
      <alignment horizontal="left" vertical="center" wrapText="1" indent="3"/>
    </xf>
    <xf numFmtId="3" fontId="14" fillId="3" borderId="1" xfId="0" applyNumberFormat="1" applyFont="1" applyFill="1" applyBorder="1" applyAlignment="1">
      <alignment horizontal="right" vertical="center" wrapText="1" indent="1"/>
    </xf>
    <xf numFmtId="168" fontId="14" fillId="3" borderId="11" xfId="3" applyNumberFormat="1" applyFont="1" applyFill="1" applyBorder="1" applyAlignment="1">
      <alignment horizontal="right" vertical="center" indent="2"/>
    </xf>
    <xf numFmtId="168" fontId="14" fillId="3" borderId="1" xfId="3" applyNumberFormat="1" applyFont="1" applyFill="1" applyBorder="1" applyAlignment="1">
      <alignment horizontal="right" vertical="center" indent="1"/>
    </xf>
    <xf numFmtId="4" fontId="11" fillId="0" borderId="0" xfId="1" applyNumberFormat="1" applyFont="1" applyAlignment="1">
      <alignment horizontal="left"/>
    </xf>
    <xf numFmtId="0" fontId="16" fillId="0" borderId="0" xfId="0" applyFont="1" applyAlignment="1">
      <alignment horizontal="left" wrapText="1"/>
    </xf>
    <xf numFmtId="0" fontId="0" fillId="0" borderId="0" xfId="0" applyAlignment="1">
      <alignment horizontal="center"/>
    </xf>
    <xf numFmtId="0" fontId="16" fillId="0" borderId="0" xfId="0" applyFont="1" applyAlignment="1">
      <alignment wrapText="1"/>
    </xf>
    <xf numFmtId="0" fontId="0" fillId="0" borderId="28" xfId="0" applyBorder="1"/>
    <xf numFmtId="0" fontId="0" fillId="0" borderId="30" xfId="0" applyBorder="1"/>
    <xf numFmtId="0" fontId="11" fillId="0" borderId="28" xfId="0" applyFont="1" applyBorder="1"/>
    <xf numFmtId="0" fontId="11" fillId="0" borderId="30" xfId="0" applyFont="1" applyBorder="1"/>
    <xf numFmtId="0" fontId="4" fillId="0" borderId="28" xfId="0" applyFont="1" applyBorder="1"/>
    <xf numFmtId="0" fontId="0" fillId="0" borderId="28" xfId="0" applyBorder="1" applyAlignment="1">
      <alignment horizontal="center"/>
    </xf>
    <xf numFmtId="10" fontId="2" fillId="0" borderId="0" xfId="0" applyNumberFormat="1" applyFont="1" applyAlignment="1">
      <alignment horizontal="center"/>
    </xf>
    <xf numFmtId="168" fontId="11" fillId="0" borderId="0" xfId="3" applyNumberFormat="1" applyFont="1" applyAlignment="1">
      <alignment horizontal="right"/>
    </xf>
    <xf numFmtId="0" fontId="14" fillId="3" borderId="1" xfId="0" applyFont="1" applyFill="1" applyBorder="1" applyAlignment="1">
      <alignment horizontal="left" vertical="center" wrapText="1" indent="1"/>
    </xf>
    <xf numFmtId="0" fontId="4"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0" borderId="36" xfId="0" applyFont="1" applyBorder="1" applyAlignment="1">
      <alignment horizontal="left" vertical="center" indent="2"/>
    </xf>
    <xf numFmtId="166" fontId="4" fillId="0" borderId="5" xfId="1" applyNumberFormat="1" applyFont="1" applyBorder="1" applyAlignment="1">
      <alignment horizontal="left" vertical="center"/>
    </xf>
    <xf numFmtId="0" fontId="4" fillId="0" borderId="5" xfId="0" applyFont="1" applyBorder="1" applyAlignment="1">
      <alignment horizontal="right" vertical="center" indent="2"/>
    </xf>
    <xf numFmtId="166" fontId="4" fillId="0" borderId="51" xfId="1" applyNumberFormat="1" applyFont="1" applyBorder="1" applyAlignment="1">
      <alignment horizontal="left" vertical="center"/>
    </xf>
    <xf numFmtId="3" fontId="4" fillId="0" borderId="48" xfId="0" applyNumberFormat="1" applyFont="1" applyBorder="1" applyAlignment="1">
      <alignment horizontal="right" vertical="center" indent="2"/>
    </xf>
    <xf numFmtId="0" fontId="0" fillId="0" borderId="0" xfId="0" applyAlignment="1">
      <alignment vertical="center"/>
    </xf>
    <xf numFmtId="0" fontId="14" fillId="0" borderId="0" xfId="0" applyFont="1" applyAlignment="1">
      <alignment horizontal="center" vertical="center"/>
    </xf>
    <xf numFmtId="0" fontId="24" fillId="0" borderId="0" xfId="0" applyFont="1" applyAlignment="1">
      <alignment horizontal="center" vertical="center"/>
    </xf>
    <xf numFmtId="49" fontId="11" fillId="0" borderId="28" xfId="0" applyNumberFormat="1" applyFont="1" applyBorder="1" applyAlignment="1">
      <alignment vertical="top"/>
    </xf>
    <xf numFmtId="49" fontId="11" fillId="0" borderId="61" xfId="0" applyNumberFormat="1" applyFont="1" applyBorder="1" applyAlignment="1">
      <alignment vertical="top"/>
    </xf>
    <xf numFmtId="0" fontId="11" fillId="0" borderId="61" xfId="0" applyFont="1" applyBorder="1"/>
    <xf numFmtId="49" fontId="11" fillId="0" borderId="62" xfId="0" applyNumberFormat="1" applyFont="1" applyBorder="1" applyAlignment="1">
      <alignment vertical="top"/>
    </xf>
    <xf numFmtId="0" fontId="11" fillId="0" borderId="62" xfId="0" applyFont="1" applyBorder="1"/>
    <xf numFmtId="0" fontId="0" fillId="0" borderId="62" xfId="0" applyBorder="1"/>
    <xf numFmtId="0" fontId="11" fillId="0" borderId="62" xfId="0" applyFont="1" applyBorder="1" applyAlignment="1">
      <alignment horizontal="left" indent="2"/>
    </xf>
    <xf numFmtId="0" fontId="4" fillId="0" borderId="0" xfId="0" applyFont="1" applyAlignment="1">
      <alignment horizontal="left"/>
    </xf>
    <xf numFmtId="0" fontId="1" fillId="0" borderId="0" xfId="0" applyFont="1"/>
    <xf numFmtId="0" fontId="4" fillId="0" borderId="0" xfId="0" applyFont="1"/>
    <xf numFmtId="168" fontId="4" fillId="2" borderId="49" xfId="3" applyNumberFormat="1" applyFont="1" applyFill="1" applyBorder="1" applyAlignment="1">
      <alignment horizontal="center" vertical="center"/>
    </xf>
    <xf numFmtId="168" fontId="4" fillId="3" borderId="49" xfId="0" applyNumberFormat="1" applyFont="1" applyFill="1" applyBorder="1" applyAlignment="1">
      <alignment horizontal="center" vertical="center"/>
    </xf>
    <xf numFmtId="165" fontId="0" fillId="0" borderId="0" xfId="1" applyNumberFormat="1" applyFont="1"/>
    <xf numFmtId="1" fontId="11" fillId="3" borderId="1" xfId="0" applyNumberFormat="1" applyFont="1" applyFill="1" applyBorder="1" applyAlignment="1">
      <alignment horizontal="right" vertical="center" indent="2"/>
    </xf>
    <xf numFmtId="168" fontId="4" fillId="0" borderId="46" xfId="0" applyNumberFormat="1" applyFont="1" applyBorder="1" applyAlignment="1">
      <alignment horizontal="center" vertical="center"/>
    </xf>
    <xf numFmtId="168" fontId="4" fillId="2" borderId="1" xfId="0" applyNumberFormat="1" applyFont="1" applyFill="1" applyBorder="1" applyAlignment="1">
      <alignment horizontal="center" vertical="center"/>
    </xf>
    <xf numFmtId="168" fontId="4" fillId="0" borderId="48" xfId="3" applyNumberFormat="1" applyFont="1" applyBorder="1" applyAlignment="1">
      <alignment horizontal="center" vertical="center"/>
    </xf>
    <xf numFmtId="168" fontId="14" fillId="3" borderId="1" xfId="0" applyNumberFormat="1" applyFont="1" applyFill="1" applyBorder="1" applyAlignment="1">
      <alignment horizontal="center" vertical="center"/>
    </xf>
    <xf numFmtId="167" fontId="4" fillId="2" borderId="11" xfId="0" applyNumberFormat="1" applyFont="1" applyFill="1" applyBorder="1" applyAlignment="1">
      <alignment horizontal="right" vertical="center" indent="1"/>
    </xf>
    <xf numFmtId="167" fontId="4" fillId="0" borderId="52" xfId="1" applyNumberFormat="1" applyFont="1" applyBorder="1" applyAlignment="1">
      <alignment horizontal="right" vertical="center" indent="1"/>
    </xf>
    <xf numFmtId="167" fontId="14" fillId="3" borderId="11" xfId="1" applyNumberFormat="1" applyFont="1" applyFill="1" applyBorder="1" applyAlignment="1">
      <alignment horizontal="right" vertical="center" indent="1"/>
    </xf>
    <xf numFmtId="0" fontId="2" fillId="0" borderId="0" xfId="0" applyFont="1" applyAlignment="1">
      <alignment horizontal="center" wrapText="1"/>
    </xf>
    <xf numFmtId="0" fontId="4" fillId="0" borderId="35" xfId="0" applyFont="1" applyBorder="1" applyAlignment="1">
      <alignment horizontal="left" vertical="center" indent="2"/>
    </xf>
    <xf numFmtId="0" fontId="4" fillId="0" borderId="1" xfId="0" applyFont="1" applyBorder="1" applyAlignment="1">
      <alignment horizontal="left" vertical="center" indent="2"/>
    </xf>
    <xf numFmtId="167" fontId="4" fillId="3" borderId="1" xfId="0" applyNumberFormat="1" applyFont="1" applyFill="1" applyBorder="1" applyAlignment="1">
      <alignment horizontal="right" vertical="center" wrapText="1" indent="2"/>
    </xf>
    <xf numFmtId="167" fontId="11" fillId="3" borderId="1" xfId="0" applyNumberFormat="1" applyFont="1" applyFill="1" applyBorder="1" applyAlignment="1">
      <alignment horizontal="right" indent="2"/>
    </xf>
    <xf numFmtId="169" fontId="11" fillId="0" borderId="0" xfId="1" applyNumberFormat="1" applyFont="1" applyAlignment="1">
      <alignment horizontal="right" indent="1"/>
    </xf>
    <xf numFmtId="0" fontId="4" fillId="3" borderId="1" xfId="0" applyFont="1" applyFill="1" applyBorder="1" applyAlignment="1">
      <alignment horizontal="right" vertical="center" wrapText="1" indent="2"/>
    </xf>
    <xf numFmtId="168" fontId="4" fillId="3" borderId="1" xfId="0" applyNumberFormat="1" applyFont="1" applyFill="1" applyBorder="1" applyAlignment="1">
      <alignment horizontal="right" vertical="center" wrapText="1" indent="1"/>
    </xf>
    <xf numFmtId="169" fontId="4" fillId="0" borderId="46" xfId="0" applyNumberFormat="1" applyFont="1" applyBorder="1" applyAlignment="1">
      <alignment horizontal="right" vertical="center" indent="1"/>
    </xf>
    <xf numFmtId="169" fontId="4" fillId="0" borderId="5" xfId="0" applyNumberFormat="1" applyFont="1" applyBorder="1" applyAlignment="1">
      <alignment horizontal="right" vertical="center" indent="1"/>
    </xf>
    <xf numFmtId="169" fontId="4" fillId="0" borderId="47" xfId="0" applyNumberFormat="1" applyFont="1" applyBorder="1" applyAlignment="1">
      <alignment horizontal="right" vertical="center" indent="1"/>
    </xf>
    <xf numFmtId="168" fontId="4" fillId="0" borderId="5" xfId="0" applyNumberFormat="1" applyFont="1" applyBorder="1" applyAlignment="1">
      <alignment horizontal="center" vertical="center"/>
    </xf>
    <xf numFmtId="168" fontId="4" fillId="0" borderId="47" xfId="0" applyNumberFormat="1" applyFont="1" applyBorder="1" applyAlignment="1">
      <alignment horizontal="center" vertical="center"/>
    </xf>
    <xf numFmtId="0" fontId="0" fillId="0" borderId="0" xfId="0" applyAlignment="1">
      <alignment horizontal="center" vertical="center"/>
    </xf>
    <xf numFmtId="3" fontId="11" fillId="3" borderId="1" xfId="0" applyNumberFormat="1" applyFont="1" applyFill="1" applyBorder="1" applyAlignment="1">
      <alignment horizontal="right" vertical="center" indent="1"/>
    </xf>
    <xf numFmtId="0" fontId="1" fillId="0" borderId="0" xfId="0" applyFont="1" applyAlignment="1">
      <alignment horizontal="right"/>
    </xf>
    <xf numFmtId="168" fontId="0" fillId="0" borderId="0" xfId="0" applyNumberFormat="1" applyAlignment="1">
      <alignment horizontal="left"/>
    </xf>
    <xf numFmtId="168" fontId="4" fillId="4" borderId="5" xfId="3" applyNumberFormat="1" applyFont="1" applyFill="1" applyBorder="1" applyAlignment="1">
      <alignment horizontal="center" vertical="center"/>
    </xf>
    <xf numFmtId="3" fontId="4" fillId="2" borderId="11" xfId="0" applyNumberFormat="1" applyFont="1" applyFill="1" applyBorder="1" applyAlignment="1">
      <alignment horizontal="right" vertical="center" indent="2"/>
    </xf>
    <xf numFmtId="0" fontId="4" fillId="0" borderId="52" xfId="0" applyFont="1" applyBorder="1" applyAlignment="1">
      <alignment horizontal="right" vertical="center" indent="2"/>
    </xf>
    <xf numFmtId="4" fontId="0" fillId="0" borderId="0" xfId="0" applyNumberFormat="1" applyAlignment="1">
      <alignment horizontal="right" indent="2"/>
    </xf>
    <xf numFmtId="4" fontId="0" fillId="0" borderId="5" xfId="0" applyNumberFormat="1" applyBorder="1" applyAlignment="1">
      <alignment horizontal="right" indent="2"/>
    </xf>
    <xf numFmtId="2" fontId="34" fillId="0" borderId="0" xfId="0" applyNumberFormat="1" applyFont="1" applyAlignment="1">
      <alignment horizontal="right" indent="1"/>
    </xf>
    <xf numFmtId="4" fontId="0" fillId="0" borderId="43" xfId="0" applyNumberFormat="1" applyBorder="1" applyAlignment="1">
      <alignment horizontal="right" indent="2"/>
    </xf>
    <xf numFmtId="0" fontId="0" fillId="0" borderId="43" xfId="0" applyBorder="1"/>
    <xf numFmtId="0" fontId="35" fillId="0" borderId="0" xfId="0" applyFont="1"/>
    <xf numFmtId="0" fontId="36" fillId="0" borderId="0" xfId="0" applyFont="1" applyAlignment="1">
      <alignment wrapText="1"/>
    </xf>
    <xf numFmtId="168" fontId="35" fillId="0" borderId="0" xfId="0" applyNumberFormat="1" applyFont="1"/>
    <xf numFmtId="0" fontId="35" fillId="0" borderId="0" xfId="0" applyFont="1" applyAlignment="1">
      <alignment horizontal="center"/>
    </xf>
    <xf numFmtId="0" fontId="36" fillId="0" borderId="0" xfId="0" applyFont="1"/>
    <xf numFmtId="0" fontId="35" fillId="0" borderId="0" xfId="0" applyFont="1" applyAlignment="1">
      <alignment horizontal="center" wrapText="1"/>
    </xf>
    <xf numFmtId="0" fontId="37" fillId="0" borderId="0" xfId="0" applyFont="1" applyAlignment="1">
      <alignment horizontal="center" wrapText="1"/>
    </xf>
    <xf numFmtId="41" fontId="35" fillId="0" borderId="0" xfId="0" applyNumberFormat="1" applyFont="1"/>
    <xf numFmtId="3" fontId="35" fillId="0" borderId="0" xfId="0" applyNumberFormat="1" applyFont="1" applyAlignment="1">
      <alignment horizontal="center"/>
    </xf>
    <xf numFmtId="0" fontId="37" fillId="0" borderId="0" xfId="0" applyFont="1" applyAlignment="1">
      <alignment horizontal="center"/>
    </xf>
    <xf numFmtId="166" fontId="35" fillId="0" borderId="0" xfId="1" applyNumberFormat="1" applyFont="1"/>
    <xf numFmtId="0" fontId="35" fillId="0" borderId="0" xfId="0" applyFont="1" applyAlignment="1">
      <alignment vertical="center"/>
    </xf>
    <xf numFmtId="165" fontId="36" fillId="0" borderId="0" xfId="1" applyNumberFormat="1" applyFont="1" applyAlignment="1">
      <alignment vertical="center"/>
    </xf>
    <xf numFmtId="0" fontId="36" fillId="0" borderId="0" xfId="0" applyFont="1" applyAlignment="1">
      <alignment vertical="center"/>
    </xf>
    <xf numFmtId="43" fontId="35" fillId="0" borderId="0" xfId="1" applyFont="1"/>
    <xf numFmtId="0" fontId="39" fillId="0" borderId="0" xfId="0" applyFont="1"/>
    <xf numFmtId="0" fontId="38" fillId="0" borderId="0" xfId="0" applyFont="1" applyAlignment="1">
      <alignment horizontal="right" vertical="center"/>
    </xf>
    <xf numFmtId="0" fontId="38" fillId="0" borderId="0" xfId="0" applyFont="1" applyAlignment="1">
      <alignment vertical="center"/>
    </xf>
    <xf numFmtId="0" fontId="35" fillId="0" borderId="0" xfId="0" applyFont="1" applyAlignment="1">
      <alignment horizontal="right"/>
    </xf>
    <xf numFmtId="2" fontId="35" fillId="0" borderId="0" xfId="0" applyNumberFormat="1" applyFont="1"/>
    <xf numFmtId="165" fontId="35" fillId="0" borderId="0" xfId="1" applyNumberFormat="1" applyFont="1"/>
    <xf numFmtId="169" fontId="35" fillId="0" borderId="0" xfId="1" applyNumberFormat="1" applyFont="1" applyAlignment="1">
      <alignment horizontal="center"/>
    </xf>
    <xf numFmtId="43" fontId="35" fillId="0" borderId="0" xfId="1" applyFont="1" applyAlignment="1">
      <alignment horizontal="center"/>
    </xf>
    <xf numFmtId="0" fontId="35" fillId="0" borderId="0" xfId="0" applyFont="1" applyAlignment="1">
      <alignment horizontal="right" indent="1"/>
    </xf>
    <xf numFmtId="0" fontId="15" fillId="0" borderId="0" xfId="0" applyFont="1" applyAlignment="1">
      <alignment horizontal="left" vertical="center" indent="1"/>
    </xf>
    <xf numFmtId="0" fontId="0" fillId="0" borderId="0" xfId="0" applyAlignment="1">
      <alignment horizontal="left" vertical="center" indent="1"/>
    </xf>
    <xf numFmtId="0" fontId="40" fillId="0" borderId="0" xfId="0" applyFont="1"/>
    <xf numFmtId="3" fontId="24" fillId="0" borderId="0" xfId="0" applyNumberFormat="1" applyFont="1" applyAlignment="1">
      <alignment horizontal="center" vertical="center"/>
    </xf>
    <xf numFmtId="43" fontId="35" fillId="0" borderId="0" xfId="0" applyNumberFormat="1" applyFont="1"/>
    <xf numFmtId="1" fontId="35" fillId="0" borderId="0" xfId="1" applyNumberFormat="1" applyFont="1" applyAlignment="1">
      <alignment horizontal="right" indent="2"/>
    </xf>
    <xf numFmtId="0" fontId="4" fillId="2" borderId="1" xfId="0" applyFont="1" applyFill="1" applyBorder="1" applyAlignment="1">
      <alignment horizontal="left" vertical="center" indent="2"/>
    </xf>
    <xf numFmtId="167" fontId="11" fillId="0" borderId="21" xfId="0" applyNumberFormat="1" applyFont="1" applyBorder="1" applyAlignment="1">
      <alignment horizontal="right" vertical="center" indent="3"/>
    </xf>
    <xf numFmtId="167" fontId="11" fillId="0" borderId="49" xfId="0" applyNumberFormat="1" applyFont="1" applyBorder="1" applyAlignment="1">
      <alignment horizontal="right" vertical="center" indent="3"/>
    </xf>
    <xf numFmtId="0" fontId="15" fillId="0" borderId="0" xfId="0" applyFont="1"/>
    <xf numFmtId="0" fontId="14" fillId="3" borderId="38" xfId="0" applyFont="1" applyFill="1" applyBorder="1" applyAlignment="1">
      <alignment horizontal="left" vertical="center" wrapText="1" indent="1"/>
    </xf>
    <xf numFmtId="0" fontId="15" fillId="0" borderId="35" xfId="0" applyFont="1" applyBorder="1" applyAlignment="1">
      <alignment horizontal="left" vertical="center" wrapText="1" indent="1"/>
    </xf>
    <xf numFmtId="3" fontId="15" fillId="0" borderId="46" xfId="0" applyNumberFormat="1" applyFont="1" applyBorder="1" applyAlignment="1">
      <alignment horizontal="right" indent="1"/>
    </xf>
    <xf numFmtId="0" fontId="15" fillId="0" borderId="36" xfId="0" applyFont="1" applyBorder="1" applyAlignment="1">
      <alignment horizontal="left" vertical="center" wrapText="1" indent="1"/>
    </xf>
    <xf numFmtId="3" fontId="15" fillId="0" borderId="5" xfId="0" applyNumberFormat="1" applyFont="1" applyBorder="1" applyAlignment="1">
      <alignment horizontal="right" indent="1"/>
    </xf>
    <xf numFmtId="0" fontId="15" fillId="0" borderId="37" xfId="0" applyFont="1" applyBorder="1" applyAlignment="1">
      <alignment horizontal="left" vertical="center" wrapText="1" indent="1"/>
    </xf>
    <xf numFmtId="3" fontId="15" fillId="0" borderId="47" xfId="0" applyNumberFormat="1" applyFont="1" applyBorder="1" applyAlignment="1">
      <alignment horizontal="right" indent="1"/>
    </xf>
    <xf numFmtId="0" fontId="15" fillId="0" borderId="5" xfId="0" applyFont="1" applyBorder="1" applyAlignment="1">
      <alignment horizontal="right" vertical="center" wrapText="1" indent="2"/>
    </xf>
    <xf numFmtId="170" fontId="15" fillId="0" borderId="20" xfId="1" applyNumberFormat="1" applyFont="1" applyBorder="1" applyAlignment="1">
      <alignment horizontal="right" vertical="center" wrapText="1" indent="2"/>
    </xf>
    <xf numFmtId="170" fontId="15" fillId="0" borderId="21" xfId="1" applyNumberFormat="1" applyFont="1" applyBorder="1" applyAlignment="1">
      <alignment horizontal="right" vertical="center" wrapText="1" indent="2"/>
    </xf>
    <xf numFmtId="170" fontId="15" fillId="0" borderId="25" xfId="1" applyNumberFormat="1" applyFont="1" applyBorder="1" applyAlignment="1">
      <alignment horizontal="right" vertical="center" wrapText="1" indent="2"/>
    </xf>
    <xf numFmtId="10" fontId="15" fillId="0" borderId="17" xfId="0" applyNumberFormat="1" applyFont="1" applyBorder="1" applyAlignment="1">
      <alignment horizontal="right" vertical="center" wrapText="1"/>
    </xf>
    <xf numFmtId="169" fontId="15" fillId="0" borderId="18" xfId="1" applyNumberFormat="1" applyFont="1" applyBorder="1" applyAlignment="1">
      <alignment horizontal="center" vertical="center" wrapText="1"/>
    </xf>
    <xf numFmtId="10" fontId="15" fillId="0" borderId="19" xfId="0" applyNumberFormat="1" applyFont="1" applyBorder="1" applyAlignment="1">
      <alignment vertical="center" wrapText="1"/>
    </xf>
    <xf numFmtId="167" fontId="15" fillId="0" borderId="20" xfId="0" applyNumberFormat="1" applyFont="1" applyBorder="1" applyAlignment="1">
      <alignment horizontal="right" vertical="center" wrapText="1" indent="2"/>
    </xf>
    <xf numFmtId="10" fontId="15" fillId="0" borderId="14" xfId="0" applyNumberFormat="1" applyFont="1" applyBorder="1" applyAlignment="1">
      <alignment horizontal="right" vertical="center" wrapText="1"/>
    </xf>
    <xf numFmtId="169" fontId="15" fillId="0" borderId="15" xfId="1" applyNumberFormat="1" applyFont="1" applyBorder="1" applyAlignment="1">
      <alignment horizontal="center" vertical="center" wrapText="1"/>
    </xf>
    <xf numFmtId="10" fontId="15" fillId="0" borderId="16" xfId="0" applyNumberFormat="1" applyFont="1" applyBorder="1" applyAlignment="1">
      <alignment vertical="center" wrapText="1"/>
    </xf>
    <xf numFmtId="167" fontId="15" fillId="0" borderId="21" xfId="0" applyNumberFormat="1" applyFont="1" applyBorder="1" applyAlignment="1">
      <alignment horizontal="right" vertical="center" wrapText="1" indent="2"/>
    </xf>
    <xf numFmtId="10" fontId="15" fillId="0" borderId="22" xfId="0" applyNumberFormat="1" applyFont="1" applyBorder="1" applyAlignment="1">
      <alignment horizontal="right" vertical="center" wrapText="1"/>
    </xf>
    <xf numFmtId="169" fontId="15" fillId="0" borderId="23" xfId="1" applyNumberFormat="1" applyFont="1" applyBorder="1" applyAlignment="1">
      <alignment horizontal="center" vertical="center" wrapText="1"/>
    </xf>
    <xf numFmtId="10" fontId="15" fillId="0" borderId="24" xfId="0" applyNumberFormat="1" applyFont="1" applyBorder="1" applyAlignment="1">
      <alignment vertical="center" wrapText="1"/>
    </xf>
    <xf numFmtId="167" fontId="15" fillId="0" borderId="25" xfId="0" applyNumberFormat="1" applyFont="1" applyBorder="1" applyAlignment="1">
      <alignment horizontal="right" vertical="center" wrapText="1" indent="2"/>
    </xf>
    <xf numFmtId="0" fontId="15" fillId="0" borderId="35" xfId="0" applyFont="1" applyBorder="1" applyAlignment="1">
      <alignment horizontal="left" wrapText="1" indent="1"/>
    </xf>
    <xf numFmtId="168" fontId="15" fillId="0" borderId="44" xfId="0" applyNumberFormat="1" applyFont="1" applyBorder="1" applyAlignment="1">
      <alignment horizontal="right" indent="2"/>
    </xf>
    <xf numFmtId="1" fontId="15" fillId="0" borderId="44" xfId="0" applyNumberFormat="1" applyFont="1" applyBorder="1" applyAlignment="1">
      <alignment horizontal="center" vertical="center"/>
    </xf>
    <xf numFmtId="3" fontId="15" fillId="0" borderId="55" xfId="0" applyNumberFormat="1" applyFont="1" applyBorder="1" applyAlignment="1">
      <alignment horizontal="right" indent="2"/>
    </xf>
    <xf numFmtId="0" fontId="15" fillId="0" borderId="36" xfId="0" applyFont="1" applyBorder="1" applyAlignment="1">
      <alignment horizontal="left" wrapText="1" indent="1"/>
    </xf>
    <xf numFmtId="168" fontId="15" fillId="0" borderId="5" xfId="0" applyNumberFormat="1" applyFont="1" applyBorder="1" applyAlignment="1">
      <alignment horizontal="right" indent="2"/>
    </xf>
    <xf numFmtId="0" fontId="15" fillId="0" borderId="37" xfId="0" applyFont="1" applyBorder="1" applyAlignment="1">
      <alignment horizontal="left" wrapText="1" indent="1"/>
    </xf>
    <xf numFmtId="168" fontId="15" fillId="0" borderId="47" xfId="0" applyNumberFormat="1" applyFont="1" applyBorder="1" applyAlignment="1">
      <alignment horizontal="right" indent="2"/>
    </xf>
    <xf numFmtId="0" fontId="15" fillId="0" borderId="35" xfId="0" applyFont="1" applyBorder="1" applyAlignment="1">
      <alignment horizontal="left" vertical="center" indent="1"/>
    </xf>
    <xf numFmtId="167" fontId="15" fillId="0" borderId="44" xfId="0" applyNumberFormat="1" applyFont="1" applyBorder="1" applyAlignment="1">
      <alignment horizontal="right" vertical="center" indent="2"/>
    </xf>
    <xf numFmtId="167" fontId="15" fillId="0" borderId="39" xfId="0" applyNumberFormat="1" applyFont="1" applyBorder="1" applyAlignment="1">
      <alignment horizontal="right" vertical="center" indent="2"/>
    </xf>
    <xf numFmtId="167" fontId="15" fillId="0" borderId="40" xfId="0" applyNumberFormat="1" applyFont="1" applyBorder="1" applyAlignment="1">
      <alignment horizontal="right" vertical="center" indent="2"/>
    </xf>
    <xf numFmtId="167" fontId="15" fillId="0" borderId="55" xfId="0" applyNumberFormat="1" applyFont="1" applyBorder="1" applyAlignment="1">
      <alignment horizontal="right" vertical="center" indent="3"/>
    </xf>
    <xf numFmtId="0" fontId="15" fillId="0" borderId="36" xfId="0" applyFont="1" applyBorder="1" applyAlignment="1">
      <alignment horizontal="left" vertical="center" indent="1"/>
    </xf>
    <xf numFmtId="167" fontId="15" fillId="0" borderId="5" xfId="0" applyNumberFormat="1" applyFont="1" applyBorder="1" applyAlignment="1">
      <alignment horizontal="right" vertical="center" indent="2"/>
    </xf>
    <xf numFmtId="167" fontId="15" fillId="0" borderId="14" xfId="0" applyNumberFormat="1" applyFont="1" applyBorder="1" applyAlignment="1">
      <alignment horizontal="right" vertical="center" indent="2"/>
    </xf>
    <xf numFmtId="167" fontId="15" fillId="0" borderId="16" xfId="0" applyNumberFormat="1" applyFont="1" applyBorder="1" applyAlignment="1">
      <alignment horizontal="right" vertical="center" indent="2"/>
    </xf>
    <xf numFmtId="167" fontId="15" fillId="0" borderId="21" xfId="0" applyNumberFormat="1" applyFont="1" applyBorder="1" applyAlignment="1">
      <alignment horizontal="right" vertical="center" indent="3"/>
    </xf>
    <xf numFmtId="167" fontId="15" fillId="0" borderId="25" xfId="0" applyNumberFormat="1" applyFont="1" applyBorder="1" applyAlignment="1">
      <alignment horizontal="right" vertical="center" indent="3"/>
    </xf>
    <xf numFmtId="0" fontId="4" fillId="0" borderId="37" xfId="0" applyFont="1" applyBorder="1" applyAlignment="1">
      <alignment horizontal="left" vertical="center" indent="3"/>
    </xf>
    <xf numFmtId="167" fontId="4" fillId="0" borderId="47" xfId="0" applyNumberFormat="1" applyFont="1" applyBorder="1" applyAlignment="1">
      <alignment horizontal="right" vertical="center" indent="2"/>
    </xf>
    <xf numFmtId="0" fontId="4" fillId="0" borderId="22" xfId="0" applyFont="1" applyBorder="1" applyAlignment="1">
      <alignment vertical="center"/>
    </xf>
    <xf numFmtId="167" fontId="4" fillId="0" borderId="23" xfId="0" applyNumberFormat="1" applyFont="1" applyBorder="1" applyAlignment="1">
      <alignment horizontal="right" vertical="center" indent="2"/>
    </xf>
    <xf numFmtId="0" fontId="4" fillId="0" borderId="69" xfId="0" applyFont="1" applyBorder="1" applyAlignment="1">
      <alignment vertical="center"/>
    </xf>
    <xf numFmtId="0" fontId="12" fillId="7" borderId="0" xfId="0" applyFont="1" applyFill="1" applyAlignment="1">
      <alignment horizontal="center" vertical="center"/>
    </xf>
    <xf numFmtId="0" fontId="24" fillId="7" borderId="0" xfId="0" applyFont="1" applyFill="1" applyAlignment="1">
      <alignment horizontal="center" vertical="center"/>
    </xf>
    <xf numFmtId="0" fontId="0" fillId="7" borderId="0" xfId="0" applyFill="1"/>
    <xf numFmtId="0" fontId="4" fillId="7" borderId="0" xfId="0" applyFont="1" applyFill="1"/>
    <xf numFmtId="0" fontId="0" fillId="7" borderId="41" xfId="0" applyFill="1" applyBorder="1"/>
    <xf numFmtId="0" fontId="0" fillId="7" borderId="6" xfId="0" applyFill="1" applyBorder="1"/>
    <xf numFmtId="0" fontId="28" fillId="7" borderId="7" xfId="0" applyFont="1" applyFill="1" applyBorder="1"/>
    <xf numFmtId="0" fontId="0" fillId="7" borderId="7" xfId="0" applyFill="1" applyBorder="1"/>
    <xf numFmtId="0" fontId="0" fillId="7" borderId="8" xfId="0" applyFill="1" applyBorder="1"/>
    <xf numFmtId="0" fontId="0" fillId="7" borderId="9" xfId="0" applyFill="1" applyBorder="1"/>
    <xf numFmtId="0" fontId="0" fillId="7" borderId="10" xfId="0" applyFill="1" applyBorder="1"/>
    <xf numFmtId="169" fontId="0" fillId="7" borderId="10" xfId="0" applyNumberFormat="1" applyFill="1" applyBorder="1"/>
    <xf numFmtId="0" fontId="0" fillId="7" borderId="76" xfId="0" applyFill="1" applyBorder="1"/>
    <xf numFmtId="2" fontId="4" fillId="7" borderId="76" xfId="0" applyNumberFormat="1" applyFont="1" applyFill="1" applyBorder="1" applyAlignment="1">
      <alignment horizontal="right" vertical="center" indent="1"/>
    </xf>
    <xf numFmtId="0" fontId="11" fillId="7" borderId="0" xfId="0" applyFont="1" applyFill="1"/>
    <xf numFmtId="166" fontId="11" fillId="7" borderId="0" xfId="0" applyNumberFormat="1" applyFont="1" applyFill="1"/>
    <xf numFmtId="0" fontId="11" fillId="7" borderId="10" xfId="0" applyFont="1" applyFill="1" applyBorder="1"/>
    <xf numFmtId="0" fontId="0" fillId="7" borderId="39" xfId="0" applyFill="1" applyBorder="1"/>
    <xf numFmtId="0" fontId="11" fillId="7" borderId="41" xfId="0" applyFont="1" applyFill="1" applyBorder="1"/>
    <xf numFmtId="0" fontId="0" fillId="7" borderId="40" xfId="0" applyFill="1" applyBorder="1"/>
    <xf numFmtId="0" fontId="0" fillId="7" borderId="0" xfId="0" applyFill="1" applyAlignment="1">
      <alignment vertical="center"/>
    </xf>
    <xf numFmtId="0" fontId="27" fillId="0" borderId="0" xfId="0" applyFont="1" applyAlignment="1">
      <alignment horizontal="center"/>
    </xf>
    <xf numFmtId="0" fontId="12" fillId="7" borderId="0" xfId="0" applyFont="1" applyFill="1" applyAlignment="1">
      <alignment vertical="center"/>
    </xf>
    <xf numFmtId="1" fontId="35" fillId="0" borderId="0" xfId="1" applyNumberFormat="1" applyFont="1" applyAlignment="1">
      <alignment horizontal="right" indent="1"/>
    </xf>
    <xf numFmtId="1" fontId="4" fillId="0" borderId="0" xfId="0" applyNumberFormat="1" applyFont="1"/>
    <xf numFmtId="4" fontId="34" fillId="0" borderId="0" xfId="0" applyNumberFormat="1" applyFont="1" applyAlignment="1">
      <alignment horizontal="right"/>
    </xf>
    <xf numFmtId="2" fontId="35" fillId="0" borderId="0" xfId="0" applyNumberFormat="1" applyFont="1" applyAlignment="1">
      <alignment horizontal="right" indent="2"/>
    </xf>
    <xf numFmtId="1" fontId="35" fillId="0" borderId="0" xfId="0" applyNumberFormat="1" applyFont="1" applyAlignment="1">
      <alignment horizontal="right" indent="2"/>
    </xf>
    <xf numFmtId="0" fontId="35" fillId="0" borderId="0" xfId="0" applyFont="1" applyAlignment="1">
      <alignment horizontal="right" indent="2"/>
    </xf>
    <xf numFmtId="0" fontId="43" fillId="0" borderId="0" xfId="0" applyFont="1"/>
    <xf numFmtId="0" fontId="43" fillId="0" borderId="0" xfId="0" applyFont="1" applyAlignment="1">
      <alignment horizontal="left" indent="1"/>
    </xf>
    <xf numFmtId="10" fontId="43" fillId="0" borderId="0" xfId="3" applyNumberFormat="1" applyFont="1"/>
    <xf numFmtId="0" fontId="4" fillId="0" borderId="0" xfId="0" applyFont="1" applyAlignment="1">
      <alignment horizontal="left" vertical="center"/>
    </xf>
    <xf numFmtId="0" fontId="4" fillId="0" borderId="0" xfId="0" applyFont="1" applyAlignment="1">
      <alignment horizontal="justify"/>
    </xf>
    <xf numFmtId="0" fontId="12" fillId="7" borderId="0" xfId="0" applyFont="1" applyFill="1" applyAlignment="1">
      <alignment horizontal="right"/>
    </xf>
    <xf numFmtId="10" fontId="12" fillId="7" borderId="0" xfId="0" applyNumberFormat="1" applyFont="1" applyFill="1" applyAlignment="1">
      <alignment horizontal="center" vertical="center"/>
    </xf>
    <xf numFmtId="0" fontId="12" fillId="7" borderId="0" xfId="0" applyFont="1" applyFill="1" applyAlignment="1">
      <alignment horizontal="left" vertical="center"/>
    </xf>
    <xf numFmtId="0" fontId="12" fillId="7" borderId="0" xfId="0" applyFont="1" applyFill="1"/>
    <xf numFmtId="168" fontId="12" fillId="7" borderId="0" xfId="3" applyNumberFormat="1" applyFont="1" applyFill="1" applyAlignment="1">
      <alignment horizontal="center"/>
    </xf>
    <xf numFmtId="169" fontId="15" fillId="3" borderId="12" xfId="1" applyNumberFormat="1" applyFont="1" applyFill="1" applyBorder="1" applyAlignment="1">
      <alignment horizontal="center" vertical="center" wrapText="1"/>
    </xf>
    <xf numFmtId="2" fontId="35" fillId="0" borderId="0" xfId="0" applyNumberFormat="1" applyFont="1" applyAlignment="1">
      <alignment horizontal="right" indent="1"/>
    </xf>
    <xf numFmtId="10" fontId="15" fillId="0" borderId="67" xfId="3" applyNumberFormat="1" applyFont="1" applyBorder="1" applyAlignment="1">
      <alignment horizontal="right" indent="2"/>
    </xf>
    <xf numFmtId="10" fontId="15" fillId="0" borderId="66" xfId="3" applyNumberFormat="1" applyFont="1" applyBorder="1" applyAlignment="1">
      <alignment horizontal="right" indent="2"/>
    </xf>
    <xf numFmtId="10" fontId="15" fillId="0" borderId="81" xfId="3" applyNumberFormat="1" applyFont="1" applyBorder="1" applyAlignment="1">
      <alignment horizontal="right" indent="2"/>
    </xf>
    <xf numFmtId="10" fontId="15" fillId="0" borderId="82" xfId="3" applyNumberFormat="1" applyFont="1" applyBorder="1" applyAlignment="1">
      <alignment horizontal="right" indent="2"/>
    </xf>
    <xf numFmtId="10" fontId="11" fillId="3" borderId="11" xfId="3" applyNumberFormat="1" applyFont="1" applyFill="1" applyBorder="1" applyAlignment="1">
      <alignment horizontal="right" vertical="center" indent="2"/>
    </xf>
    <xf numFmtId="49" fontId="0" fillId="0" borderId="63" xfId="0" applyNumberFormat="1" applyBorder="1" applyAlignment="1">
      <alignment vertical="top"/>
    </xf>
    <xf numFmtId="0" fontId="46" fillId="0" borderId="63" xfId="0" applyFont="1" applyBorder="1" applyAlignment="1">
      <alignment horizontal="justify" wrapText="1"/>
    </xf>
    <xf numFmtId="0" fontId="47" fillId="0" borderId="63" xfId="0" applyFont="1" applyBorder="1" applyAlignment="1">
      <alignment horizontal="justify" wrapText="1"/>
    </xf>
    <xf numFmtId="0" fontId="23" fillId="0" borderId="63" xfId="2" applyFont="1" applyBorder="1" applyAlignment="1" applyProtection="1">
      <alignment horizontal="right" vertical="top"/>
    </xf>
    <xf numFmtId="0" fontId="0" fillId="6" borderId="0" xfId="0" applyFill="1"/>
    <xf numFmtId="0" fontId="0" fillId="6" borderId="62" xfId="0" applyFill="1" applyBorder="1"/>
    <xf numFmtId="0" fontId="0" fillId="6" borderId="85" xfId="0" applyFill="1" applyBorder="1"/>
    <xf numFmtId="49" fontId="11" fillId="6" borderId="27" xfId="0" applyNumberFormat="1" applyFont="1" applyFill="1" applyBorder="1" applyAlignment="1">
      <alignment vertical="top"/>
    </xf>
    <xf numFmtId="0" fontId="16" fillId="6" borderId="28" xfId="0" applyFont="1" applyFill="1" applyBorder="1" applyAlignment="1">
      <alignment horizontal="left" wrapText="1"/>
    </xf>
    <xf numFmtId="0" fontId="16" fillId="6" borderId="28" xfId="0" applyFont="1" applyFill="1" applyBorder="1" applyAlignment="1">
      <alignment wrapText="1"/>
    </xf>
    <xf numFmtId="0" fontId="16" fillId="6" borderId="29" xfId="0" applyFont="1" applyFill="1" applyBorder="1" applyAlignment="1">
      <alignment wrapText="1"/>
    </xf>
    <xf numFmtId="49" fontId="11" fillId="6" borderId="30" xfId="0" applyNumberFormat="1" applyFont="1" applyFill="1" applyBorder="1" applyAlignment="1">
      <alignment vertical="top"/>
    </xf>
    <xf numFmtId="0" fontId="0" fillId="6" borderId="31" xfId="0" applyFill="1" applyBorder="1"/>
    <xf numFmtId="0" fontId="0" fillId="6" borderId="0" xfId="0" applyFill="1" applyAlignment="1">
      <alignment vertical="top"/>
    </xf>
    <xf numFmtId="0" fontId="0" fillId="6" borderId="31" xfId="0" applyFill="1" applyBorder="1" applyAlignment="1">
      <alignment wrapText="1"/>
    </xf>
    <xf numFmtId="0" fontId="4" fillId="6" borderId="0" xfId="0" applyFont="1" applyFill="1"/>
    <xf numFmtId="0" fontId="4" fillId="6" borderId="0" xfId="0" applyFont="1" applyFill="1" applyAlignment="1">
      <alignment vertical="center"/>
    </xf>
    <xf numFmtId="49" fontId="11" fillId="6" borderId="60" xfId="0" applyNumberFormat="1" applyFont="1" applyFill="1" applyBorder="1" applyAlignment="1">
      <alignment vertical="top"/>
    </xf>
    <xf numFmtId="0" fontId="4" fillId="6" borderId="58" xfId="0" applyFont="1" applyFill="1" applyBorder="1" applyAlignment="1">
      <alignment horizontal="center" vertical="top"/>
    </xf>
    <xf numFmtId="0" fontId="11" fillId="6" borderId="0" xfId="0" applyFont="1" applyFill="1"/>
    <xf numFmtId="49" fontId="11" fillId="6" borderId="32" xfId="0" applyNumberFormat="1" applyFont="1" applyFill="1" applyBorder="1" applyAlignment="1">
      <alignment vertical="top"/>
    </xf>
    <xf numFmtId="0" fontId="11" fillId="6" borderId="33" xfId="0" applyFont="1" applyFill="1" applyBorder="1"/>
    <xf numFmtId="0" fontId="11" fillId="6" borderId="34" xfId="0" applyFont="1" applyFill="1" applyBorder="1"/>
    <xf numFmtId="2" fontId="2" fillId="6" borderId="30" xfId="0" applyNumberFormat="1" applyFont="1" applyFill="1" applyBorder="1" applyAlignment="1">
      <alignment vertical="top"/>
    </xf>
    <xf numFmtId="0" fontId="11" fillId="6" borderId="0" xfId="0" applyFont="1" applyFill="1" applyAlignment="1">
      <alignment horizontal="left" indent="2"/>
    </xf>
    <xf numFmtId="0" fontId="11" fillId="6" borderId="0" xfId="0" applyFont="1" applyFill="1" applyAlignment="1">
      <alignment horizontal="center"/>
    </xf>
    <xf numFmtId="0" fontId="0" fillId="6" borderId="28" xfId="0" applyFill="1" applyBorder="1"/>
    <xf numFmtId="0" fontId="0" fillId="6" borderId="0" xfId="0" applyFill="1" applyAlignment="1">
      <alignment horizontal="right" vertical="top"/>
    </xf>
    <xf numFmtId="0" fontId="15" fillId="6" borderId="31" xfId="0" applyFont="1" applyFill="1" applyBorder="1"/>
    <xf numFmtId="3" fontId="4" fillId="6" borderId="11" xfId="0" applyNumberFormat="1" applyFont="1" applyFill="1" applyBorder="1" applyAlignment="1">
      <alignment horizontal="right" vertical="center" wrapText="1" indent="1"/>
    </xf>
    <xf numFmtId="168" fontId="11" fillId="6" borderId="12" xfId="3" applyNumberFormat="1" applyFont="1" applyFill="1" applyBorder="1" applyAlignment="1">
      <alignment horizontal="right" indent="2"/>
    </xf>
    <xf numFmtId="168" fontId="11" fillId="6" borderId="12" xfId="3" applyNumberFormat="1" applyFont="1" applyFill="1" applyBorder="1" applyAlignment="1">
      <alignment horizontal="right" indent="1"/>
    </xf>
    <xf numFmtId="0" fontId="4" fillId="6" borderId="0" xfId="0" applyFont="1" applyFill="1" applyAlignment="1">
      <alignment horizontal="center" vertical="top"/>
    </xf>
    <xf numFmtId="0" fontId="4" fillId="6" borderId="33" xfId="0" applyFont="1" applyFill="1" applyBorder="1" applyAlignment="1">
      <alignment horizontal="left" vertical="top"/>
    </xf>
    <xf numFmtId="0" fontId="1" fillId="6" borderId="33" xfId="0" applyFont="1" applyFill="1" applyBorder="1" applyAlignment="1">
      <alignment horizontal="center" vertical="top"/>
    </xf>
    <xf numFmtId="0" fontId="0" fillId="6" borderId="34" xfId="0" applyFill="1" applyBorder="1" applyAlignment="1">
      <alignment vertical="top"/>
    </xf>
    <xf numFmtId="0" fontId="11" fillId="6" borderId="28" xfId="0" applyFont="1" applyFill="1" applyBorder="1"/>
    <xf numFmtId="0" fontId="10" fillId="6" borderId="28" xfId="0" applyFont="1" applyFill="1" applyBorder="1" applyAlignment="1">
      <alignment horizontal="left"/>
    </xf>
    <xf numFmtId="0" fontId="11" fillId="6" borderId="29" xfId="0" applyFont="1" applyFill="1" applyBorder="1"/>
    <xf numFmtId="0" fontId="20" fillId="6" borderId="0" xfId="0" applyFont="1" applyFill="1" applyAlignment="1">
      <alignment vertical="top"/>
    </xf>
    <xf numFmtId="0" fontId="11" fillId="6" borderId="31" xfId="0" applyFont="1" applyFill="1" applyBorder="1"/>
    <xf numFmtId="0" fontId="30" fillId="6" borderId="0" xfId="0" applyFont="1" applyFill="1"/>
    <xf numFmtId="0" fontId="16" fillId="6" borderId="0" xfId="0" applyFont="1" applyFill="1"/>
    <xf numFmtId="0" fontId="16" fillId="6" borderId="31" xfId="0" applyFont="1" applyFill="1" applyBorder="1"/>
    <xf numFmtId="0" fontId="14" fillId="6" borderId="50" xfId="0" applyFont="1" applyFill="1" applyBorder="1" applyAlignment="1">
      <alignment horizontal="left" vertical="center" wrapText="1" indent="1"/>
    </xf>
    <xf numFmtId="0" fontId="6" fillId="6" borderId="0" xfId="0" applyFont="1" applyFill="1" applyAlignment="1">
      <alignment horizontal="center" wrapText="1"/>
    </xf>
    <xf numFmtId="0" fontId="6" fillId="6" borderId="0" xfId="0" applyFont="1" applyFill="1" applyAlignment="1">
      <alignment horizontal="right" indent="3"/>
    </xf>
    <xf numFmtId="3" fontId="2" fillId="6" borderId="0" xfId="0" applyNumberFormat="1" applyFont="1" applyFill="1"/>
    <xf numFmtId="0" fontId="11" fillId="6" borderId="58" xfId="0" applyFont="1" applyFill="1" applyBorder="1"/>
    <xf numFmtId="0" fontId="0" fillId="6" borderId="58" xfId="0" applyFill="1" applyBorder="1"/>
    <xf numFmtId="0" fontId="11" fillId="6" borderId="59" xfId="0" applyFont="1" applyFill="1" applyBorder="1"/>
    <xf numFmtId="0" fontId="4" fillId="6" borderId="0" xfId="0" applyFont="1" applyFill="1" applyAlignment="1">
      <alignment horizontal="right"/>
    </xf>
    <xf numFmtId="0" fontId="12" fillId="6" borderId="0" xfId="0" applyFont="1" applyFill="1" applyAlignment="1">
      <alignment horizontal="left"/>
    </xf>
    <xf numFmtId="0" fontId="11" fillId="6" borderId="33" xfId="0" applyFont="1" applyFill="1" applyBorder="1" applyAlignment="1">
      <alignment horizontal="right"/>
    </xf>
    <xf numFmtId="0" fontId="0" fillId="6" borderId="33" xfId="0" applyFill="1" applyBorder="1"/>
    <xf numFmtId="0" fontId="4" fillId="6" borderId="28" xfId="0" applyFont="1" applyFill="1" applyBorder="1"/>
    <xf numFmtId="0" fontId="0" fillId="6" borderId="28" xfId="0" applyFill="1" applyBorder="1" applyAlignment="1">
      <alignment horizontal="center"/>
    </xf>
    <xf numFmtId="0" fontId="0" fillId="6" borderId="29" xfId="0" applyFill="1" applyBorder="1" applyAlignment="1">
      <alignment horizontal="center"/>
    </xf>
    <xf numFmtId="0" fontId="0" fillId="6" borderId="0" xfId="0" applyFill="1" applyAlignment="1">
      <alignment horizontal="center"/>
    </xf>
    <xf numFmtId="0" fontId="0" fillId="6" borderId="31" xfId="0" applyFill="1" applyBorder="1" applyAlignment="1">
      <alignment horizontal="center"/>
    </xf>
    <xf numFmtId="0" fontId="16" fillId="6" borderId="31" xfId="0" applyFont="1" applyFill="1" applyBorder="1" applyAlignment="1">
      <alignment vertical="top" wrapText="1"/>
    </xf>
    <xf numFmtId="0" fontId="11" fillId="6" borderId="0" xfId="0" applyFont="1" applyFill="1" applyAlignment="1">
      <alignment horizontal="left" indent="4"/>
    </xf>
    <xf numFmtId="0" fontId="12" fillId="6" borderId="0" xfId="0" applyFont="1" applyFill="1" applyAlignment="1">
      <alignment horizontal="right"/>
    </xf>
    <xf numFmtId="0" fontId="11" fillId="6" borderId="0" xfId="0" applyFont="1" applyFill="1" applyAlignment="1">
      <alignment horizontal="right"/>
    </xf>
    <xf numFmtId="10" fontId="11" fillId="6" borderId="0" xfId="0" applyNumberFormat="1" applyFont="1" applyFill="1" applyAlignment="1">
      <alignment horizontal="right"/>
    </xf>
    <xf numFmtId="0" fontId="12" fillId="6" borderId="0" xfId="0" applyFont="1" applyFill="1" applyAlignment="1">
      <alignment horizontal="right" indent="1"/>
    </xf>
    <xf numFmtId="2" fontId="12" fillId="6" borderId="0" xfId="0" applyNumberFormat="1" applyFont="1" applyFill="1"/>
    <xf numFmtId="167" fontId="12" fillId="8" borderId="5" xfId="0" applyNumberFormat="1" applyFont="1" applyFill="1" applyBorder="1" applyAlignment="1">
      <alignment horizontal="right" indent="1"/>
    </xf>
    <xf numFmtId="49" fontId="0" fillId="6" borderId="30" xfId="0" applyNumberFormat="1" applyFill="1" applyBorder="1" applyAlignment="1">
      <alignment vertical="top"/>
    </xf>
    <xf numFmtId="49" fontId="0" fillId="6" borderId="32" xfId="0" applyNumberFormat="1" applyFill="1" applyBorder="1" applyAlignment="1">
      <alignment vertical="top"/>
    </xf>
    <xf numFmtId="164" fontId="0" fillId="6" borderId="0" xfId="0" applyNumberFormat="1" applyFill="1"/>
    <xf numFmtId="0" fontId="1" fillId="6" borderId="0" xfId="0" applyFont="1" applyFill="1"/>
    <xf numFmtId="0" fontId="0" fillId="6" borderId="34" xfId="0" applyFill="1" applyBorder="1"/>
    <xf numFmtId="0" fontId="11" fillId="6" borderId="28" xfId="0" applyFont="1" applyFill="1" applyBorder="1" applyAlignment="1">
      <alignment horizontal="left" indent="2"/>
    </xf>
    <xf numFmtId="0" fontId="16" fillId="6" borderId="0" xfId="0" applyFont="1" applyFill="1" applyAlignment="1">
      <alignment wrapText="1"/>
    </xf>
    <xf numFmtId="0" fontId="0" fillId="6" borderId="31" xfId="0" applyFill="1" applyBorder="1" applyAlignment="1">
      <alignment horizontal="center" vertical="center"/>
    </xf>
    <xf numFmtId="0" fontId="25" fillId="6" borderId="0" xfId="0" applyFont="1" applyFill="1" applyAlignment="1">
      <alignment wrapText="1"/>
    </xf>
    <xf numFmtId="0" fontId="16" fillId="6" borderId="31" xfId="0" applyFont="1" applyFill="1" applyBorder="1" applyAlignment="1">
      <alignment wrapText="1"/>
    </xf>
    <xf numFmtId="2" fontId="16" fillId="6" borderId="0" xfId="0" applyNumberFormat="1" applyFont="1" applyFill="1" applyAlignment="1">
      <alignment wrapText="1"/>
    </xf>
    <xf numFmtId="0" fontId="4" fillId="6" borderId="2" xfId="0" applyFont="1" applyFill="1" applyBorder="1" applyAlignment="1">
      <alignment horizontal="center" vertical="center" wrapText="1"/>
    </xf>
    <xf numFmtId="0" fontId="0" fillId="6" borderId="32" xfId="0" applyFill="1" applyBorder="1"/>
    <xf numFmtId="49" fontId="0" fillId="6" borderId="6" xfId="0" applyNumberFormat="1" applyFill="1" applyBorder="1" applyAlignment="1">
      <alignment vertical="top"/>
    </xf>
    <xf numFmtId="0" fontId="30" fillId="6" borderId="7" xfId="0" applyFont="1" applyFill="1" applyBorder="1"/>
    <xf numFmtId="0" fontId="30" fillId="6" borderId="7" xfId="0" applyFont="1" applyFill="1" applyBorder="1" applyAlignment="1">
      <alignment horizontal="center"/>
    </xf>
    <xf numFmtId="0" fontId="30" fillId="6" borderId="8" xfId="0" applyFont="1" applyFill="1" applyBorder="1"/>
    <xf numFmtId="49" fontId="0" fillId="6" borderId="9" xfId="0" applyNumberFormat="1" applyFill="1" applyBorder="1" applyAlignment="1">
      <alignment vertical="top"/>
    </xf>
    <xf numFmtId="0" fontId="29" fillId="6" borderId="0" xfId="0" applyFont="1" applyFill="1"/>
    <xf numFmtId="0" fontId="30" fillId="6" borderId="0" xfId="0" applyFont="1" applyFill="1" applyAlignment="1">
      <alignment horizontal="center"/>
    </xf>
    <xf numFmtId="0" fontId="30" fillId="6" borderId="10" xfId="0" applyFont="1" applyFill="1" applyBorder="1"/>
    <xf numFmtId="0" fontId="30" fillId="6" borderId="9" xfId="0" applyFont="1" applyFill="1" applyBorder="1" applyAlignment="1">
      <alignment horizontal="justify" vertical="center"/>
    </xf>
    <xf numFmtId="0" fontId="0" fillId="6" borderId="10" xfId="0" applyFill="1" applyBorder="1" applyAlignment="1">
      <alignment horizontal="justify" vertical="center"/>
    </xf>
    <xf numFmtId="0" fontId="0" fillId="6" borderId="9" xfId="0" applyFill="1" applyBorder="1" applyAlignment="1">
      <alignment horizontal="justify" vertical="center"/>
    </xf>
    <xf numFmtId="0" fontId="0" fillId="6" borderId="0" xfId="0" applyFill="1" applyAlignment="1">
      <alignment horizontal="justify" vertical="center"/>
    </xf>
    <xf numFmtId="0" fontId="0" fillId="6" borderId="9" xfId="0" applyFill="1" applyBorder="1"/>
    <xf numFmtId="0" fontId="0" fillId="6" borderId="0" xfId="0" applyFill="1" applyAlignment="1">
      <alignment horizontal="right" vertical="center" indent="1"/>
    </xf>
    <xf numFmtId="49" fontId="0" fillId="6" borderId="39" xfId="0" applyNumberFormat="1" applyFill="1" applyBorder="1" applyAlignment="1">
      <alignment vertical="top"/>
    </xf>
    <xf numFmtId="0" fontId="0" fillId="6" borderId="41" xfId="0" applyFill="1" applyBorder="1" applyAlignment="1">
      <alignment vertical="center"/>
    </xf>
    <xf numFmtId="0" fontId="0" fillId="6" borderId="41" xfId="0" applyFill="1" applyBorder="1"/>
    <xf numFmtId="0" fontId="0" fillId="6" borderId="40" xfId="0" applyFill="1" applyBorder="1"/>
    <xf numFmtId="2" fontId="4" fillId="6" borderId="0" xfId="0" applyNumberFormat="1" applyFont="1" applyFill="1" applyAlignment="1">
      <alignment horizontal="center" vertical="center"/>
    </xf>
    <xf numFmtId="0" fontId="0" fillId="6" borderId="10" xfId="0" applyFill="1" applyBorder="1"/>
    <xf numFmtId="0" fontId="30" fillId="6" borderId="9" xfId="0" applyFont="1" applyFill="1" applyBorder="1"/>
    <xf numFmtId="0" fontId="0" fillId="6" borderId="30" xfId="0" applyFill="1" applyBorder="1"/>
    <xf numFmtId="0" fontId="31" fillId="6" borderId="0" xfId="0" applyFont="1" applyFill="1" applyAlignment="1">
      <alignment horizontal="left"/>
    </xf>
    <xf numFmtId="0" fontId="32" fillId="6" borderId="0" xfId="0" applyFont="1" applyFill="1"/>
    <xf numFmtId="0" fontId="33" fillId="6" borderId="0" xfId="0" applyFont="1" applyFill="1"/>
    <xf numFmtId="0" fontId="0" fillId="6" borderId="84" xfId="0" applyFill="1" applyBorder="1"/>
    <xf numFmtId="0" fontId="0" fillId="6" borderId="86" xfId="0" applyFill="1" applyBorder="1"/>
    <xf numFmtId="0" fontId="0" fillId="6" borderId="87" xfId="0" applyFill="1" applyBorder="1"/>
    <xf numFmtId="0" fontId="0" fillId="6" borderId="88" xfId="0" applyFill="1" applyBorder="1"/>
    <xf numFmtId="0" fontId="0" fillId="6" borderId="58" xfId="0" applyFill="1" applyBorder="1" applyAlignment="1">
      <alignment wrapText="1"/>
    </xf>
    <xf numFmtId="0" fontId="0" fillId="6" borderId="89" xfId="0" applyFill="1" applyBorder="1"/>
    <xf numFmtId="0" fontId="0" fillId="0" borderId="63" xfId="0" applyBorder="1"/>
    <xf numFmtId="0" fontId="0" fillId="0" borderId="62" xfId="0" applyBorder="1" applyAlignment="1">
      <alignment wrapText="1"/>
    </xf>
    <xf numFmtId="0" fontId="4" fillId="0" borderId="63" xfId="0" applyFont="1" applyBorder="1" applyAlignment="1">
      <alignment horizontal="justify"/>
    </xf>
    <xf numFmtId="0" fontId="31" fillId="6" borderId="62" xfId="0" applyFont="1" applyFill="1" applyBorder="1" applyAlignment="1">
      <alignment horizontal="left"/>
    </xf>
    <xf numFmtId="0" fontId="1" fillId="6" borderId="87" xfId="0" applyFont="1" applyFill="1" applyBorder="1" applyAlignment="1">
      <alignment horizontal="left" vertical="top"/>
    </xf>
    <xf numFmtId="0" fontId="4" fillId="6" borderId="0" xfId="0" applyFont="1" applyFill="1" applyAlignment="1">
      <alignment horizontal="justify"/>
    </xf>
    <xf numFmtId="0" fontId="1" fillId="6" borderId="87" xfId="0" applyFont="1" applyFill="1" applyBorder="1"/>
    <xf numFmtId="0" fontId="4" fillId="6" borderId="87" xfId="0" applyFont="1" applyFill="1" applyBorder="1"/>
    <xf numFmtId="0" fontId="1" fillId="6" borderId="87" xfId="0" applyFont="1" applyFill="1" applyBorder="1" applyAlignment="1">
      <alignment horizontal="left"/>
    </xf>
    <xf numFmtId="0" fontId="48" fillId="6" borderId="0" xfId="0" applyFont="1" applyFill="1"/>
    <xf numFmtId="0" fontId="1" fillId="6" borderId="31" xfId="0" applyFont="1" applyFill="1" applyBorder="1" applyAlignment="1">
      <alignment horizontal="left"/>
    </xf>
    <xf numFmtId="0" fontId="4" fillId="6" borderId="0" xfId="0" applyFont="1" applyFill="1" applyAlignment="1">
      <alignment horizontal="justify" vertical="top"/>
    </xf>
    <xf numFmtId="0" fontId="4" fillId="6" borderId="31" xfId="0" applyFont="1" applyFill="1" applyBorder="1" applyAlignment="1">
      <alignment vertical="top"/>
    </xf>
    <xf numFmtId="0" fontId="4" fillId="6" borderId="0" xfId="0" applyFont="1" applyFill="1" applyAlignment="1">
      <alignment horizontal="justify" vertical="top" wrapText="1"/>
    </xf>
    <xf numFmtId="0" fontId="4" fillId="6" borderId="0" xfId="0" applyFont="1" applyFill="1" applyAlignment="1">
      <alignment horizontal="justify" wrapText="1"/>
    </xf>
    <xf numFmtId="0" fontId="12" fillId="6" borderId="0" xfId="0" applyFont="1" applyFill="1" applyAlignment="1">
      <alignment horizontal="left" vertical="top" wrapText="1"/>
    </xf>
    <xf numFmtId="0" fontId="0" fillId="6" borderId="31" xfId="0" applyFill="1" applyBorder="1" applyAlignment="1">
      <alignment horizontal="left" wrapText="1"/>
    </xf>
    <xf numFmtId="0" fontId="7" fillId="6" borderId="33" xfId="0" applyFont="1" applyFill="1" applyBorder="1" applyAlignment="1">
      <alignment horizontal="center" vertical="top"/>
    </xf>
    <xf numFmtId="0" fontId="16" fillId="6" borderId="33" xfId="0" applyFont="1" applyFill="1" applyBorder="1" applyAlignment="1">
      <alignment horizontal="left" wrapText="1"/>
    </xf>
    <xf numFmtId="0" fontId="0" fillId="6" borderId="34" xfId="0" applyFill="1" applyBorder="1" applyAlignment="1">
      <alignment horizontal="left" wrapText="1"/>
    </xf>
    <xf numFmtId="0" fontId="23" fillId="6" borderId="0" xfId="2" applyFont="1" applyFill="1" applyAlignment="1" applyProtection="1">
      <alignment horizontal="right" vertical="top"/>
    </xf>
    <xf numFmtId="0" fontId="23" fillId="6" borderId="31" xfId="2" applyFont="1" applyFill="1" applyBorder="1" applyAlignment="1" applyProtection="1">
      <alignment horizontal="right" vertical="top"/>
    </xf>
    <xf numFmtId="0" fontId="22" fillId="6" borderId="31" xfId="0" applyFont="1" applyFill="1" applyBorder="1" applyAlignment="1">
      <alignment vertical="center" wrapText="1"/>
    </xf>
    <xf numFmtId="0" fontId="44" fillId="6" borderId="0" xfId="0" applyFont="1" applyFill="1"/>
    <xf numFmtId="0" fontId="4" fillId="6" borderId="0" xfId="0" applyFont="1" applyFill="1" applyAlignment="1">
      <alignment wrapText="1"/>
    </xf>
    <xf numFmtId="0" fontId="16" fillId="6" borderId="33" xfId="0" applyFont="1" applyFill="1" applyBorder="1" applyAlignment="1">
      <alignment wrapText="1"/>
    </xf>
    <xf numFmtId="0" fontId="16" fillId="6" borderId="34" xfId="0" applyFont="1" applyFill="1" applyBorder="1" applyAlignment="1">
      <alignment wrapText="1"/>
    </xf>
    <xf numFmtId="3" fontId="4" fillId="10" borderId="81" xfId="0" applyNumberFormat="1" applyFont="1" applyFill="1" applyBorder="1" applyAlignment="1">
      <alignment horizontal="right" vertical="center" wrapText="1" indent="1"/>
    </xf>
    <xf numFmtId="0" fontId="4" fillId="10" borderId="82" xfId="0" applyFont="1" applyFill="1" applyBorder="1" applyAlignment="1">
      <alignment horizontal="left" vertical="center" indent="1"/>
    </xf>
    <xf numFmtId="0" fontId="4" fillId="10" borderId="83" xfId="0" applyFont="1" applyFill="1" applyBorder="1" applyAlignment="1">
      <alignment horizontal="left" vertical="center" indent="1"/>
    </xf>
    <xf numFmtId="3" fontId="11" fillId="10" borderId="81" xfId="0" applyNumberFormat="1" applyFont="1" applyFill="1" applyBorder="1" applyAlignment="1">
      <alignment horizontal="right" vertical="center" wrapText="1" indent="1"/>
    </xf>
    <xf numFmtId="3" fontId="11" fillId="10" borderId="82" xfId="0" applyNumberFormat="1" applyFont="1" applyFill="1" applyBorder="1" applyAlignment="1">
      <alignment horizontal="right" vertical="center" wrapText="1" indent="1"/>
    </xf>
    <xf numFmtId="0" fontId="15" fillId="10" borderId="81" xfId="0" applyFont="1" applyFill="1" applyBorder="1" applyAlignment="1">
      <alignment horizontal="left" vertical="center" wrapText="1" indent="1"/>
    </xf>
    <xf numFmtId="0" fontId="15" fillId="10" borderId="83" xfId="0" applyFont="1" applyFill="1" applyBorder="1" applyAlignment="1">
      <alignment horizontal="left" vertical="center" wrapText="1" indent="1"/>
    </xf>
    <xf numFmtId="4" fontId="0" fillId="10" borderId="43" xfId="0" applyNumberFormat="1" applyFill="1" applyBorder="1" applyAlignment="1">
      <alignment horizontal="right" indent="2"/>
    </xf>
    <xf numFmtId="167" fontId="15" fillId="10" borderId="41" xfId="0" applyNumberFormat="1" applyFont="1" applyFill="1" applyBorder="1" applyAlignment="1">
      <alignment horizontal="right" vertical="center" indent="2"/>
    </xf>
    <xf numFmtId="167" fontId="15" fillId="10" borderId="15" xfId="0" applyNumberFormat="1" applyFont="1" applyFill="1" applyBorder="1" applyAlignment="1">
      <alignment horizontal="right" vertical="center" indent="2"/>
    </xf>
    <xf numFmtId="168" fontId="11" fillId="3" borderId="1" xfId="3" applyNumberFormat="1" applyFont="1" applyFill="1" applyBorder="1" applyAlignment="1">
      <alignment horizontal="right" vertical="center" indent="2"/>
    </xf>
    <xf numFmtId="0" fontId="23" fillId="0" borderId="0" xfId="2" applyFont="1" applyAlignment="1" applyProtection="1">
      <alignment horizontal="right" vertical="top"/>
    </xf>
    <xf numFmtId="0" fontId="0" fillId="0" borderId="0" xfId="0" applyAlignment="1">
      <alignment horizontal="left" wrapText="1" indent="1"/>
    </xf>
    <xf numFmtId="0" fontId="16" fillId="0" borderId="0" xfId="0" applyFont="1"/>
    <xf numFmtId="0" fontId="16" fillId="0" borderId="0" xfId="0" applyFont="1" applyAlignment="1">
      <alignment vertical="top" wrapText="1"/>
    </xf>
    <xf numFmtId="0" fontId="0" fillId="0" borderId="0" xfId="0" applyAlignment="1">
      <alignment horizontal="center" vertical="center" wrapText="1"/>
    </xf>
    <xf numFmtId="0" fontId="22" fillId="0" borderId="0" xfId="0" applyFont="1" applyAlignment="1">
      <alignment vertical="center" wrapText="1"/>
    </xf>
    <xf numFmtId="0" fontId="4" fillId="6" borderId="58" xfId="0" applyFont="1" applyFill="1" applyBorder="1" applyAlignment="1">
      <alignment horizontal="left" indent="2"/>
    </xf>
    <xf numFmtId="165" fontId="2" fillId="0" borderId="0" xfId="1" applyNumberFormat="1" applyFont="1" applyAlignment="1">
      <alignment horizontal="center"/>
    </xf>
    <xf numFmtId="168" fontId="15" fillId="0" borderId="66" xfId="3" applyNumberFormat="1" applyFont="1" applyBorder="1" applyAlignment="1">
      <alignment horizontal="right" vertical="center" indent="2"/>
    </xf>
    <xf numFmtId="168" fontId="15" fillId="0" borderId="81" xfId="3" applyNumberFormat="1" applyFont="1" applyBorder="1" applyAlignment="1">
      <alignment horizontal="right" vertical="center" indent="1"/>
    </xf>
    <xf numFmtId="168" fontId="15" fillId="0" borderId="68" xfId="3" applyNumberFormat="1" applyFont="1" applyBorder="1" applyAlignment="1">
      <alignment horizontal="right" vertical="center" indent="2"/>
    </xf>
    <xf numFmtId="168" fontId="15" fillId="0" borderId="83" xfId="3" applyNumberFormat="1" applyFont="1" applyBorder="1" applyAlignment="1">
      <alignment horizontal="right" vertical="center" indent="1"/>
    </xf>
    <xf numFmtId="0" fontId="10" fillId="0" borderId="0" xfId="0" applyFont="1" applyAlignment="1">
      <alignment horizontal="left"/>
    </xf>
    <xf numFmtId="0" fontId="21" fillId="0" borderId="0" xfId="0" applyFont="1"/>
    <xf numFmtId="0" fontId="11" fillId="0" borderId="28" xfId="0" applyFont="1" applyBorder="1" applyAlignment="1">
      <alignment horizontal="left" indent="2"/>
    </xf>
    <xf numFmtId="0" fontId="11" fillId="0" borderId="0" xfId="0" applyFont="1" applyAlignment="1">
      <alignment horizontal="left" indent="2"/>
    </xf>
    <xf numFmtId="49" fontId="0" fillId="11" borderId="84" xfId="0" applyNumberFormat="1" applyFill="1" applyBorder="1" applyAlignment="1">
      <alignment vertical="top"/>
    </xf>
    <xf numFmtId="0" fontId="0" fillId="11" borderId="62" xfId="0" applyFill="1" applyBorder="1"/>
    <xf numFmtId="0" fontId="0" fillId="11" borderId="85" xfId="0" applyFill="1" applyBorder="1"/>
    <xf numFmtId="49" fontId="0" fillId="11" borderId="86" xfId="0" applyNumberFormat="1" applyFill="1" applyBorder="1" applyAlignment="1">
      <alignment vertical="top"/>
    </xf>
    <xf numFmtId="0" fontId="23" fillId="11" borderId="87" xfId="2" applyFont="1" applyFill="1" applyBorder="1" applyAlignment="1" applyProtection="1">
      <alignment horizontal="right" vertical="top"/>
    </xf>
    <xf numFmtId="49" fontId="0" fillId="11" borderId="88" xfId="0" applyNumberFormat="1" applyFill="1" applyBorder="1" applyAlignment="1">
      <alignment vertical="top"/>
    </xf>
    <xf numFmtId="0" fontId="23" fillId="11" borderId="89" xfId="2" applyFont="1" applyFill="1" applyBorder="1" applyAlignment="1" applyProtection="1">
      <alignment horizontal="right" vertical="top"/>
    </xf>
    <xf numFmtId="0" fontId="13" fillId="6" borderId="2" xfId="0" applyFont="1" applyFill="1" applyBorder="1" applyAlignment="1">
      <alignment vertical="center"/>
    </xf>
    <xf numFmtId="0" fontId="0" fillId="6" borderId="2" xfId="0" applyFill="1" applyBorder="1" applyAlignment="1">
      <alignment vertical="center"/>
    </xf>
    <xf numFmtId="0" fontId="0" fillId="6" borderId="2" xfId="0" applyFill="1" applyBorder="1"/>
    <xf numFmtId="0" fontId="50" fillId="6" borderId="28" xfId="0" applyFont="1" applyFill="1" applyBorder="1"/>
    <xf numFmtId="10" fontId="35" fillId="0" borderId="0" xfId="0" applyNumberFormat="1" applyFont="1" applyAlignment="1">
      <alignment horizontal="left"/>
    </xf>
    <xf numFmtId="0" fontId="27" fillId="0" borderId="0" xfId="0" applyFont="1"/>
    <xf numFmtId="0" fontId="30" fillId="6" borderId="0" xfId="0" applyFont="1" applyFill="1" applyAlignment="1">
      <alignment horizontal="left" vertical="center" indent="1"/>
    </xf>
    <xf numFmtId="0" fontId="1" fillId="10" borderId="43" xfId="0" applyFont="1" applyFill="1" applyBorder="1" applyAlignment="1">
      <alignment horizontal="left" indent="1"/>
    </xf>
    <xf numFmtId="10" fontId="4" fillId="6" borderId="0" xfId="0" applyNumberFormat="1" applyFont="1" applyFill="1" applyAlignment="1">
      <alignment horizontal="center"/>
    </xf>
    <xf numFmtId="166" fontId="4" fillId="6" borderId="0" xfId="0" applyNumberFormat="1" applyFont="1" applyFill="1" applyAlignment="1">
      <alignment horizontal="right" indent="1"/>
    </xf>
    <xf numFmtId="3" fontId="43" fillId="0" borderId="0" xfId="0" applyNumberFormat="1" applyFont="1" applyAlignment="1">
      <alignment wrapText="1"/>
    </xf>
    <xf numFmtId="166" fontId="43" fillId="0" borderId="0" xfId="1" applyNumberFormat="1" applyFont="1" applyAlignment="1">
      <alignment wrapText="1"/>
    </xf>
    <xf numFmtId="168" fontId="43" fillId="0" borderId="0" xfId="0" applyNumberFormat="1" applyFont="1" applyAlignment="1">
      <alignment wrapText="1"/>
    </xf>
    <xf numFmtId="168" fontId="43" fillId="0" borderId="0" xfId="3" applyNumberFormat="1" applyFont="1" applyAlignment="1">
      <alignment wrapText="1"/>
    </xf>
    <xf numFmtId="3" fontId="43" fillId="0" borderId="0" xfId="0" applyNumberFormat="1" applyFont="1" applyAlignment="1">
      <alignment horizontal="right" wrapText="1"/>
    </xf>
    <xf numFmtId="0" fontId="43" fillId="0" borderId="0" xfId="0" applyFont="1" applyAlignment="1">
      <alignment horizontal="right" wrapText="1"/>
    </xf>
    <xf numFmtId="0" fontId="43" fillId="0" borderId="0" xfId="0" applyFont="1" applyAlignment="1">
      <alignment horizontal="right"/>
    </xf>
    <xf numFmtId="43" fontId="43" fillId="0" borderId="0" xfId="1" applyFont="1"/>
    <xf numFmtId="43" fontId="43" fillId="0" borderId="0" xfId="0" applyNumberFormat="1" applyFont="1"/>
    <xf numFmtId="2" fontId="43" fillId="0" borderId="0" xfId="0" applyNumberFormat="1" applyFont="1"/>
    <xf numFmtId="167" fontId="4" fillId="6" borderId="0" xfId="0" applyNumberFormat="1" applyFont="1" applyFill="1" applyAlignment="1">
      <alignment horizontal="center"/>
    </xf>
    <xf numFmtId="4" fontId="4" fillId="0" borderId="0" xfId="1" applyNumberFormat="1" applyFont="1" applyAlignment="1">
      <alignment horizontal="left"/>
    </xf>
    <xf numFmtId="10" fontId="15" fillId="0" borderId="67" xfId="3" applyNumberFormat="1" applyFont="1" applyBorder="1" applyAlignment="1">
      <alignment horizontal="right" vertical="center" indent="2"/>
    </xf>
    <xf numFmtId="10" fontId="15" fillId="0" borderId="82" xfId="3" applyNumberFormat="1" applyFont="1" applyBorder="1" applyAlignment="1">
      <alignment horizontal="right" vertical="center" indent="2"/>
    </xf>
    <xf numFmtId="10" fontId="4" fillId="4" borderId="46" xfId="3" applyNumberFormat="1" applyFont="1" applyFill="1" applyBorder="1" applyAlignment="1">
      <alignment horizontal="center" vertical="center"/>
    </xf>
    <xf numFmtId="10" fontId="4" fillId="4" borderId="5" xfId="3" applyNumberFormat="1" applyFont="1" applyFill="1" applyBorder="1" applyAlignment="1">
      <alignment horizontal="center" vertical="center"/>
    </xf>
    <xf numFmtId="10" fontId="4" fillId="4" borderId="47" xfId="3" applyNumberFormat="1" applyFont="1" applyFill="1" applyBorder="1" applyAlignment="1">
      <alignment horizontal="center" vertical="center"/>
    </xf>
    <xf numFmtId="10" fontId="4" fillId="2" borderId="1" xfId="3" applyNumberFormat="1" applyFont="1" applyFill="1" applyBorder="1" applyAlignment="1">
      <alignment horizontal="center" vertical="center"/>
    </xf>
    <xf numFmtId="10" fontId="4" fillId="0" borderId="48" xfId="3" applyNumberFormat="1" applyFont="1" applyBorder="1" applyAlignment="1">
      <alignment horizontal="center" vertical="center"/>
    </xf>
    <xf numFmtId="0" fontId="4" fillId="10" borderId="82" xfId="0" applyFont="1" applyFill="1" applyBorder="1" applyAlignment="1">
      <alignment horizontal="left" vertical="center" wrapText="1" indent="1"/>
    </xf>
    <xf numFmtId="2" fontId="35" fillId="0" borderId="42" xfId="0" applyNumberFormat="1" applyFont="1" applyBorder="1" applyAlignment="1">
      <alignment horizontal="right" indent="1"/>
    </xf>
    <xf numFmtId="0" fontId="0" fillId="0" borderId="44" xfId="0" applyBorder="1"/>
    <xf numFmtId="0" fontId="11" fillId="0" borderId="58" xfId="0" applyFont="1" applyBorder="1"/>
    <xf numFmtId="0" fontId="52" fillId="0" borderId="0" xfId="0" applyFont="1"/>
    <xf numFmtId="3" fontId="4" fillId="0" borderId="5" xfId="0" applyNumberFormat="1" applyFont="1" applyBorder="1" applyAlignment="1">
      <alignment horizontal="right" vertical="center" indent="2"/>
    </xf>
    <xf numFmtId="3" fontId="4" fillId="0" borderId="47" xfId="0" applyNumberFormat="1" applyFont="1" applyBorder="1" applyAlignment="1">
      <alignment horizontal="right" vertical="center" indent="2"/>
    </xf>
    <xf numFmtId="168" fontId="15" fillId="0" borderId="46" xfId="0" applyNumberFormat="1" applyFont="1" applyBorder="1" applyAlignment="1">
      <alignment horizontal="right" vertical="center" wrapText="1" indent="2"/>
    </xf>
    <xf numFmtId="168" fontId="4" fillId="3" borderId="1" xfId="0" applyNumberFormat="1" applyFont="1" applyFill="1" applyBorder="1" applyAlignment="1">
      <alignment horizontal="right" vertical="center" wrapText="1" indent="2"/>
    </xf>
    <xf numFmtId="2" fontId="35" fillId="0" borderId="0" xfId="1" applyNumberFormat="1" applyFont="1" applyAlignment="1">
      <alignment horizontal="right" indent="2"/>
    </xf>
    <xf numFmtId="1" fontId="38" fillId="0" borderId="0" xfId="0" applyNumberFormat="1" applyFont="1" applyAlignment="1">
      <alignment horizontal="center"/>
    </xf>
    <xf numFmtId="0" fontId="38" fillId="0" borderId="0" xfId="0" applyFont="1"/>
    <xf numFmtId="0" fontId="43" fillId="0" borderId="0" xfId="0" applyFont="1" applyAlignment="1">
      <alignment horizontal="left"/>
    </xf>
    <xf numFmtId="168" fontId="15" fillId="0" borderId="47" xfId="0" applyNumberFormat="1" applyFont="1" applyBorder="1" applyAlignment="1">
      <alignment horizontal="right" vertical="center" wrapText="1" indent="1"/>
    </xf>
    <xf numFmtId="0" fontId="4" fillId="3" borderId="11" xfId="0" applyFont="1" applyFill="1" applyBorder="1" applyAlignment="1">
      <alignment horizontal="center" vertical="center" wrapText="1"/>
    </xf>
    <xf numFmtId="168" fontId="15" fillId="0" borderId="46" xfId="0" applyNumberFormat="1" applyFont="1" applyBorder="1" applyAlignment="1">
      <alignment horizontal="right" vertical="center" wrapText="1" indent="1"/>
    </xf>
    <xf numFmtId="168" fontId="15" fillId="0" borderId="5" xfId="0" applyNumberFormat="1" applyFont="1" applyBorder="1" applyAlignment="1">
      <alignment horizontal="right" vertical="center" wrapText="1" indent="1"/>
    </xf>
    <xf numFmtId="168" fontId="11" fillId="3" borderId="1" xfId="0" applyNumberFormat="1" applyFont="1" applyFill="1" applyBorder="1" applyAlignment="1">
      <alignment horizontal="right" vertical="center" indent="2"/>
    </xf>
    <xf numFmtId="0" fontId="4" fillId="6" borderId="0" xfId="0" applyFont="1" applyFill="1" applyAlignment="1">
      <alignment horizontal="center" vertical="center" wrapText="1"/>
    </xf>
    <xf numFmtId="0" fontId="28" fillId="6" borderId="28" xfId="0" applyFont="1" applyFill="1" applyBorder="1" applyAlignment="1">
      <alignment horizontal="right" vertical="top"/>
    </xf>
    <xf numFmtId="0" fontId="28" fillId="6" borderId="0" xfId="0" applyFont="1" applyFill="1" applyAlignment="1">
      <alignment horizontal="right" vertical="top"/>
    </xf>
    <xf numFmtId="0" fontId="18" fillId="6" borderId="28" xfId="0" applyFont="1" applyFill="1" applyBorder="1" applyAlignment="1">
      <alignment horizontal="right" vertical="top"/>
    </xf>
    <xf numFmtId="0" fontId="28" fillId="6" borderId="29" xfId="0" applyFont="1" applyFill="1" applyBorder="1" applyAlignment="1">
      <alignment horizontal="right" vertical="top"/>
    </xf>
    <xf numFmtId="0" fontId="28" fillId="6" borderId="31" xfId="0" applyFont="1" applyFill="1" applyBorder="1" applyAlignment="1">
      <alignment horizontal="right" vertical="top"/>
    </xf>
    <xf numFmtId="0" fontId="41" fillId="6" borderId="31" xfId="0" applyFont="1" applyFill="1" applyBorder="1"/>
    <xf numFmtId="0" fontId="20" fillId="6" borderId="0" xfId="0" applyFont="1" applyFill="1"/>
    <xf numFmtId="0" fontId="4" fillId="6" borderId="31" xfId="0" applyFont="1" applyFill="1" applyBorder="1" applyAlignment="1">
      <alignment horizontal="justify"/>
    </xf>
    <xf numFmtId="0" fontId="4" fillId="6" borderId="31" xfId="0" applyFont="1" applyFill="1" applyBorder="1"/>
    <xf numFmtId="4" fontId="12" fillId="6" borderId="0" xfId="1" applyNumberFormat="1" applyFont="1" applyFill="1" applyBorder="1" applyAlignment="1">
      <alignment horizontal="left"/>
    </xf>
    <xf numFmtId="4" fontId="4" fillId="6" borderId="0" xfId="1" applyNumberFormat="1" applyFont="1" applyFill="1" applyBorder="1" applyAlignment="1">
      <alignment horizontal="center"/>
    </xf>
    <xf numFmtId="0" fontId="16" fillId="0" borderId="30" xfId="0" applyFont="1" applyBorder="1"/>
    <xf numFmtId="0" fontId="0" fillId="0" borderId="30" xfId="0" applyBorder="1" applyAlignment="1">
      <alignment horizontal="center"/>
    </xf>
    <xf numFmtId="0" fontId="16" fillId="0" borderId="30" xfId="0" applyFont="1" applyBorder="1" applyAlignment="1">
      <alignment vertical="top" wrapText="1"/>
    </xf>
    <xf numFmtId="0" fontId="0" fillId="6" borderId="0" xfId="0" applyFill="1" applyAlignment="1">
      <alignment vertical="center" wrapText="1"/>
    </xf>
    <xf numFmtId="0" fontId="4" fillId="6" borderId="0" xfId="0" applyFont="1" applyFill="1" applyAlignment="1">
      <alignment horizontal="left" vertical="center"/>
    </xf>
    <xf numFmtId="0" fontId="11" fillId="6" borderId="0" xfId="0" applyFont="1" applyFill="1" applyAlignment="1">
      <alignment horizontal="left" vertical="center"/>
    </xf>
    <xf numFmtId="0" fontId="0" fillId="6" borderId="0" xfId="0" applyFill="1" applyAlignment="1">
      <alignment vertical="center"/>
    </xf>
    <xf numFmtId="0" fontId="11" fillId="6" borderId="0" xfId="0" applyFont="1" applyFill="1" applyAlignment="1">
      <alignment horizontal="right" vertical="center"/>
    </xf>
    <xf numFmtId="43" fontId="11" fillId="6" borderId="0" xfId="1" applyFont="1" applyFill="1" applyBorder="1" applyAlignment="1">
      <alignment horizontal="center" vertical="center"/>
    </xf>
    <xf numFmtId="0" fontId="0" fillId="6" borderId="31" xfId="0" applyFill="1" applyBorder="1" applyAlignment="1">
      <alignment vertical="center"/>
    </xf>
    <xf numFmtId="0" fontId="4" fillId="6" borderId="0" xfId="0" applyFont="1" applyFill="1" applyAlignment="1">
      <alignment horizontal="left" vertical="center" wrapText="1" indent="3"/>
    </xf>
    <xf numFmtId="168" fontId="11" fillId="6" borderId="0" xfId="0" applyNumberFormat="1" applyFont="1" applyFill="1" applyAlignment="1">
      <alignment horizontal="right" vertical="center" indent="2"/>
    </xf>
    <xf numFmtId="3" fontId="11" fillId="6" borderId="0" xfId="0" applyNumberFormat="1" applyFont="1" applyFill="1" applyAlignment="1">
      <alignment horizontal="right" vertical="center" indent="3"/>
    </xf>
    <xf numFmtId="1" fontId="11" fillId="6" borderId="0" xfId="0" applyNumberFormat="1" applyFont="1" applyFill="1" applyAlignment="1">
      <alignment horizontal="right" vertical="center" indent="2"/>
    </xf>
    <xf numFmtId="0" fontId="0" fillId="6" borderId="59" xfId="0" applyFill="1" applyBorder="1"/>
    <xf numFmtId="0" fontId="12" fillId="3" borderId="1" xfId="0" applyFont="1" applyFill="1" applyBorder="1" applyAlignment="1">
      <alignment horizontal="left" vertical="center" indent="2"/>
    </xf>
    <xf numFmtId="167" fontId="12" fillId="3" borderId="1" xfId="0" applyNumberFormat="1" applyFont="1" applyFill="1" applyBorder="1" applyAlignment="1">
      <alignment horizontal="right" vertical="center" indent="2"/>
    </xf>
    <xf numFmtId="3" fontId="11" fillId="6" borderId="0" xfId="0" applyNumberFormat="1" applyFont="1" applyFill="1" applyAlignment="1">
      <alignment horizontal="right" vertical="center" indent="1"/>
    </xf>
    <xf numFmtId="0" fontId="11" fillId="6" borderId="0" xfId="0" applyFont="1" applyFill="1" applyAlignment="1">
      <alignment horizontal="right" indent="1"/>
    </xf>
    <xf numFmtId="0" fontId="15" fillId="6" borderId="0" xfId="0" applyFont="1" applyFill="1" applyAlignment="1">
      <alignment horizontal="right" vertical="center" indent="1"/>
    </xf>
    <xf numFmtId="168" fontId="4" fillId="9" borderId="48" xfId="0" applyNumberFormat="1" applyFont="1" applyFill="1" applyBorder="1" applyAlignment="1">
      <alignment horizontal="right" vertical="center" indent="1"/>
    </xf>
    <xf numFmtId="0" fontId="14" fillId="3" borderId="51" xfId="0" applyFont="1" applyFill="1" applyBorder="1" applyAlignment="1">
      <alignment horizontal="right" vertical="center" indent="2"/>
    </xf>
    <xf numFmtId="167" fontId="4" fillId="0" borderId="49" xfId="0" applyNumberFormat="1" applyFont="1" applyBorder="1" applyAlignment="1">
      <alignment horizontal="right" vertical="center" indent="3"/>
    </xf>
    <xf numFmtId="0" fontId="16" fillId="6" borderId="0" xfId="0" applyFont="1" applyFill="1" applyAlignment="1">
      <alignment horizontal="left" vertical="top" indent="1"/>
    </xf>
    <xf numFmtId="0" fontId="4" fillId="0" borderId="0" xfId="0" applyFont="1" applyAlignment="1">
      <alignment horizontal="right" indent="1"/>
    </xf>
    <xf numFmtId="10" fontId="4" fillId="6" borderId="0" xfId="0" applyNumberFormat="1" applyFont="1" applyFill="1" applyAlignment="1">
      <alignment horizontal="right" indent="1"/>
    </xf>
    <xf numFmtId="0" fontId="27" fillId="7" borderId="0" xfId="0" applyFont="1" applyFill="1" applyAlignment="1">
      <alignment horizontal="right" indent="1"/>
    </xf>
    <xf numFmtId="166" fontId="12" fillId="7" borderId="0" xfId="1" applyNumberFormat="1" applyFont="1" applyFill="1" applyAlignment="1">
      <alignment horizontal="center"/>
    </xf>
    <xf numFmtId="0" fontId="12" fillId="7" borderId="0" xfId="0" applyFont="1" applyFill="1" applyAlignment="1">
      <alignment horizontal="left" indent="9"/>
    </xf>
    <xf numFmtId="2" fontId="35" fillId="0" borderId="0" xfId="1" applyNumberFormat="1" applyFont="1" applyAlignment="1">
      <alignment horizontal="right" indent="1"/>
    </xf>
    <xf numFmtId="0" fontId="23" fillId="0" borderId="0" xfId="2" applyFont="1" applyFill="1" applyBorder="1" applyAlignment="1" applyProtection="1">
      <alignment horizontal="right" vertical="top"/>
    </xf>
    <xf numFmtId="0" fontId="0" fillId="0" borderId="0" xfId="0" applyAlignment="1">
      <alignment vertical="center" wrapText="1"/>
    </xf>
    <xf numFmtId="0" fontId="1" fillId="0" borderId="0" xfId="0" applyFont="1" applyAlignment="1">
      <alignment vertical="top"/>
    </xf>
    <xf numFmtId="0" fontId="50" fillId="0" borderId="0" xfId="0" applyFont="1"/>
    <xf numFmtId="0" fontId="24" fillId="0" borderId="0" xfId="0" applyFont="1"/>
    <xf numFmtId="3" fontId="4" fillId="10" borderId="83" xfId="0" applyNumberFormat="1" applyFont="1" applyFill="1" applyBorder="1" applyAlignment="1">
      <alignment horizontal="right" vertical="center" wrapText="1" indent="1"/>
    </xf>
    <xf numFmtId="168" fontId="4" fillId="9" borderId="5" xfId="0" applyNumberFormat="1" applyFont="1" applyFill="1" applyBorder="1" applyAlignment="1">
      <alignment horizontal="right" indent="2"/>
    </xf>
    <xf numFmtId="168" fontId="4" fillId="9" borderId="21" xfId="0" applyNumberFormat="1" applyFont="1" applyFill="1" applyBorder="1" applyAlignment="1">
      <alignment horizontal="right" indent="1"/>
    </xf>
    <xf numFmtId="9" fontId="4" fillId="9" borderId="49" xfId="0" applyNumberFormat="1" applyFont="1" applyFill="1" applyBorder="1" applyAlignment="1">
      <alignment horizontal="right" vertical="center" indent="1"/>
    </xf>
    <xf numFmtId="0" fontId="4" fillId="0" borderId="0" xfId="0" applyFont="1" applyAlignment="1">
      <alignment horizontal="center" vertical="center"/>
    </xf>
    <xf numFmtId="0" fontId="4" fillId="0" borderId="0" xfId="0" applyFont="1" applyAlignment="1">
      <alignment horizontal="left" vertical="center" indent="1"/>
    </xf>
    <xf numFmtId="3" fontId="4" fillId="0" borderId="0" xfId="0" applyNumberFormat="1" applyFont="1" applyAlignment="1">
      <alignment horizontal="center" vertical="center"/>
    </xf>
    <xf numFmtId="1" fontId="12" fillId="6" borderId="0" xfId="0" applyNumberFormat="1" applyFont="1" applyFill="1" applyAlignment="1">
      <alignment horizontal="center"/>
    </xf>
    <xf numFmtId="0" fontId="4" fillId="6" borderId="0" xfId="0" applyFont="1" applyFill="1" applyAlignment="1">
      <alignment horizontal="right" vertical="center"/>
    </xf>
    <xf numFmtId="0" fontId="4" fillId="0" borderId="0" xfId="0" applyFont="1" applyAlignment="1">
      <alignment horizontal="left" wrapText="1" indent="1"/>
    </xf>
    <xf numFmtId="10" fontId="12" fillId="12" borderId="5" xfId="1" applyNumberFormat="1" applyFont="1" applyFill="1" applyBorder="1" applyAlignment="1">
      <alignment horizontal="center" vertical="center"/>
    </xf>
    <xf numFmtId="0" fontId="53" fillId="0" borderId="0" xfId="0" applyFont="1" applyAlignment="1">
      <alignment vertical="top"/>
    </xf>
    <xf numFmtId="0" fontId="4" fillId="0" borderId="0" xfId="0" applyFont="1" applyAlignment="1">
      <alignment horizontal="left" vertical="top" wrapText="1"/>
    </xf>
    <xf numFmtId="0" fontId="24" fillId="6" borderId="0" xfId="0" applyFont="1" applyFill="1"/>
    <xf numFmtId="167" fontId="15" fillId="0" borderId="46" xfId="0" applyNumberFormat="1" applyFont="1" applyBorder="1" applyAlignment="1">
      <alignment horizontal="right" vertical="center" wrapText="1" indent="2"/>
    </xf>
    <xf numFmtId="168" fontId="15" fillId="0" borderId="46" xfId="3" applyNumberFormat="1" applyFont="1" applyFill="1" applyBorder="1" applyAlignment="1">
      <alignment horizontal="right" indent="1"/>
    </xf>
    <xf numFmtId="168" fontId="15" fillId="0" borderId="20" xfId="0" applyNumberFormat="1" applyFont="1" applyBorder="1" applyAlignment="1">
      <alignment horizontal="right" indent="1"/>
    </xf>
    <xf numFmtId="167" fontId="15" fillId="0" borderId="5" xfId="0" applyNumberFormat="1" applyFont="1" applyBorder="1" applyAlignment="1">
      <alignment horizontal="right" vertical="center" wrapText="1" indent="2"/>
    </xf>
    <xf numFmtId="168" fontId="15" fillId="0" borderId="5" xfId="3" applyNumberFormat="1" applyFont="1" applyFill="1" applyBorder="1" applyAlignment="1">
      <alignment horizontal="right" indent="1"/>
    </xf>
    <xf numFmtId="168" fontId="15" fillId="0" borderId="21" xfId="0" applyNumberFormat="1" applyFont="1" applyBorder="1" applyAlignment="1">
      <alignment horizontal="right" indent="1"/>
    </xf>
    <xf numFmtId="167" fontId="15" fillId="6" borderId="17" xfId="0" applyNumberFormat="1" applyFont="1" applyFill="1" applyBorder="1" applyAlignment="1">
      <alignment horizontal="right" indent="2"/>
    </xf>
    <xf numFmtId="167" fontId="15" fillId="6" borderId="41" xfId="0" applyNumberFormat="1" applyFont="1" applyFill="1" applyBorder="1"/>
    <xf numFmtId="0" fontId="15" fillId="6" borderId="0" xfId="0" applyFont="1" applyFill="1" applyAlignment="1">
      <alignment horizontal="center" vertical="top"/>
    </xf>
    <xf numFmtId="0" fontId="15" fillId="6" borderId="0" xfId="0" applyFont="1" applyFill="1"/>
    <xf numFmtId="0" fontId="15" fillId="0" borderId="36" xfId="0" applyFont="1" applyBorder="1" applyAlignment="1">
      <alignment horizontal="left" vertical="center" indent="2"/>
    </xf>
    <xf numFmtId="167" fontId="15" fillId="0" borderId="5" xfId="1" applyNumberFormat="1" applyFont="1" applyBorder="1" applyAlignment="1">
      <alignment horizontal="right" vertical="center" indent="2"/>
    </xf>
    <xf numFmtId="0" fontId="15" fillId="0" borderId="37" xfId="0" applyFont="1" applyBorder="1" applyAlignment="1">
      <alignment horizontal="left" vertical="center" indent="2"/>
    </xf>
    <xf numFmtId="43" fontId="0" fillId="0" borderId="0" xfId="1" applyFont="1"/>
    <xf numFmtId="0" fontId="34" fillId="0" borderId="0" xfId="0" applyFont="1" applyAlignment="1">
      <alignment horizontal="center" vertical="center"/>
    </xf>
    <xf numFmtId="0" fontId="0" fillId="0" borderId="10" xfId="0" applyBorder="1"/>
    <xf numFmtId="0" fontId="0" fillId="0" borderId="0" xfId="0" applyAlignment="1">
      <alignment horizontal="justify"/>
    </xf>
    <xf numFmtId="0" fontId="64" fillId="0" borderId="0" xfId="0" applyFont="1" applyAlignment="1">
      <alignment horizontal="center" vertical="center"/>
    </xf>
    <xf numFmtId="0" fontId="12" fillId="0" borderId="0" xfId="0" applyFont="1" applyAlignment="1">
      <alignment horizontal="right" vertical="center"/>
    </xf>
    <xf numFmtId="4" fontId="0" fillId="0" borderId="44" xfId="0" applyNumberFormat="1" applyBorder="1" applyAlignment="1">
      <alignment horizontal="right" indent="2"/>
    </xf>
    <xf numFmtId="4" fontId="0" fillId="10" borderId="44" xfId="0" applyNumberFormat="1" applyFill="1" applyBorder="1" applyAlignment="1">
      <alignment horizontal="right" indent="2"/>
    </xf>
    <xf numFmtId="0" fontId="0" fillId="0" borderId="0" xfId="0" applyAlignment="1">
      <alignment horizontal="right"/>
    </xf>
    <xf numFmtId="4" fontId="0" fillId="0" borderId="0" xfId="0" applyNumberFormat="1" applyAlignment="1">
      <alignment horizontal="center"/>
    </xf>
    <xf numFmtId="4" fontId="1" fillId="10" borderId="43" xfId="0" applyNumberFormat="1" applyFont="1" applyFill="1" applyBorder="1" applyAlignment="1">
      <alignment horizontal="right" indent="2"/>
    </xf>
    <xf numFmtId="0" fontId="65" fillId="0" borderId="0" xfId="2" applyFont="1" applyAlignment="1" applyProtection="1">
      <alignment horizontal="right" vertical="top"/>
    </xf>
    <xf numFmtId="1" fontId="4" fillId="0" borderId="41" xfId="0" applyNumberFormat="1" applyFont="1" applyBorder="1" applyAlignment="1">
      <alignment horizontal="right" indent="2"/>
    </xf>
    <xf numFmtId="1" fontId="4" fillId="0" borderId="44" xfId="0" applyNumberFormat="1" applyFont="1" applyBorder="1" applyAlignment="1">
      <alignment horizontal="right" indent="2"/>
    </xf>
    <xf numFmtId="168" fontId="4" fillId="0" borderId="44" xfId="0" applyNumberFormat="1" applyFont="1" applyBorder="1" applyAlignment="1">
      <alignment horizontal="right" indent="1"/>
    </xf>
    <xf numFmtId="1" fontId="4" fillId="0" borderId="96" xfId="0" applyNumberFormat="1" applyFont="1" applyBorder="1" applyAlignment="1">
      <alignment horizontal="right" indent="2"/>
    </xf>
    <xf numFmtId="1" fontId="4" fillId="0" borderId="97" xfId="0" applyNumberFormat="1" applyFont="1" applyBorder="1" applyAlignment="1">
      <alignment horizontal="right" indent="2"/>
    </xf>
    <xf numFmtId="168" fontId="4" fillId="0" borderId="96" xfId="0" applyNumberFormat="1" applyFont="1" applyBorder="1" applyAlignment="1">
      <alignment horizontal="right" indent="1"/>
    </xf>
    <xf numFmtId="1" fontId="4" fillId="0" borderId="99" xfId="0" applyNumberFormat="1" applyFont="1" applyBorder="1" applyAlignment="1">
      <alignment horizontal="right" indent="2"/>
    </xf>
    <xf numFmtId="1" fontId="4" fillId="0" borderId="100" xfId="0" applyNumberFormat="1" applyFont="1" applyBorder="1" applyAlignment="1">
      <alignment horizontal="right" indent="2"/>
    </xf>
    <xf numFmtId="168" fontId="4" fillId="0" borderId="99" xfId="0" applyNumberFormat="1" applyFont="1" applyBorder="1" applyAlignment="1">
      <alignment horizontal="right" indent="1"/>
    </xf>
    <xf numFmtId="167" fontId="4" fillId="0" borderId="96" xfId="0" applyNumberFormat="1" applyFont="1" applyBorder="1" applyAlignment="1">
      <alignment horizontal="right" indent="2"/>
    </xf>
    <xf numFmtId="167" fontId="4" fillId="0" borderId="99" xfId="0" applyNumberFormat="1" applyFont="1" applyBorder="1" applyAlignment="1">
      <alignment horizontal="right" indent="2"/>
    </xf>
    <xf numFmtId="167" fontId="4" fillId="0" borderId="44" xfId="0" applyNumberFormat="1" applyFont="1" applyBorder="1" applyAlignment="1">
      <alignment horizontal="right" indent="2"/>
    </xf>
    <xf numFmtId="0" fontId="4" fillId="0" borderId="91" xfId="0" applyFont="1" applyBorder="1" applyAlignment="1">
      <alignment horizontal="left" indent="1"/>
    </xf>
    <xf numFmtId="0" fontId="4" fillId="0" borderId="92" xfId="0" applyFont="1" applyBorder="1" applyAlignment="1">
      <alignment horizontal="left" indent="1"/>
    </xf>
    <xf numFmtId="0" fontId="4" fillId="0" borderId="93" xfId="0" applyFont="1" applyBorder="1" applyAlignment="1">
      <alignment horizontal="left" indent="1"/>
    </xf>
    <xf numFmtId="167" fontId="4" fillId="0" borderId="98" xfId="0" applyNumberFormat="1" applyFont="1" applyBorder="1" applyAlignment="1">
      <alignment horizontal="right" indent="2"/>
    </xf>
    <xf numFmtId="167" fontId="4" fillId="0" borderId="101" xfId="0" applyNumberFormat="1" applyFont="1" applyBorder="1" applyAlignment="1">
      <alignment horizontal="right" indent="2"/>
    </xf>
    <xf numFmtId="167" fontId="4" fillId="0" borderId="95" xfId="0" applyNumberFormat="1" applyFont="1" applyBorder="1" applyAlignment="1">
      <alignment horizontal="right" indent="2"/>
    </xf>
    <xf numFmtId="0" fontId="4" fillId="9" borderId="76" xfId="0" applyFont="1" applyFill="1" applyBorder="1" applyAlignment="1">
      <alignment horizontal="center" vertical="center"/>
    </xf>
    <xf numFmtId="0" fontId="4" fillId="9" borderId="14" xfId="0" applyFont="1" applyFill="1" applyBorder="1" applyAlignment="1">
      <alignment horizontal="center" vertical="center"/>
    </xf>
    <xf numFmtId="0" fontId="4" fillId="9" borderId="5" xfId="0" applyFont="1" applyFill="1" applyBorder="1" applyAlignment="1">
      <alignment horizontal="center" vertical="center"/>
    </xf>
    <xf numFmtId="168" fontId="15" fillId="0" borderId="5" xfId="0" applyNumberFormat="1" applyFont="1" applyBorder="1" applyAlignment="1">
      <alignment horizontal="right" vertical="center" wrapText="1" indent="2"/>
    </xf>
    <xf numFmtId="168" fontId="15" fillId="0" borderId="44" xfId="0" applyNumberFormat="1" applyFont="1" applyBorder="1" applyAlignment="1">
      <alignment horizontal="right" vertical="center" wrapText="1" indent="2"/>
    </xf>
    <xf numFmtId="0" fontId="12" fillId="9" borderId="26" xfId="0" applyFont="1" applyFill="1" applyBorder="1" applyAlignment="1">
      <alignment horizontal="left" vertical="center" indent="3"/>
    </xf>
    <xf numFmtId="1" fontId="12" fillId="9" borderId="47" xfId="0" applyNumberFormat="1" applyFont="1" applyFill="1" applyBorder="1" applyAlignment="1">
      <alignment horizontal="right" vertical="center" indent="2"/>
    </xf>
    <xf numFmtId="168" fontId="12" fillId="9" borderId="47" xfId="0" applyNumberFormat="1" applyFont="1" applyFill="1" applyBorder="1" applyAlignment="1">
      <alignment horizontal="right" vertical="center" indent="1"/>
    </xf>
    <xf numFmtId="167" fontId="12" fillId="9" borderId="94" xfId="0" applyNumberFormat="1" applyFont="1" applyFill="1" applyBorder="1" applyAlignment="1">
      <alignment horizontal="right" vertical="center" indent="2"/>
    </xf>
    <xf numFmtId="0" fontId="4" fillId="0" borderId="103" xfId="0" applyFont="1" applyBorder="1" applyAlignment="1">
      <alignment horizontal="left" indent="1"/>
    </xf>
    <xf numFmtId="1" fontId="4" fillId="0" borderId="104" xfId="0" applyNumberFormat="1" applyFont="1" applyBorder="1" applyAlignment="1">
      <alignment horizontal="right" indent="2"/>
    </xf>
    <xf numFmtId="1" fontId="4" fillId="0" borderId="105" xfId="0" applyNumberFormat="1" applyFont="1" applyBorder="1" applyAlignment="1">
      <alignment horizontal="right" indent="2"/>
    </xf>
    <xf numFmtId="167" fontId="4" fillId="0" borderId="104" xfId="0" applyNumberFormat="1" applyFont="1" applyBorder="1" applyAlignment="1">
      <alignment horizontal="right" indent="2"/>
    </xf>
    <xf numFmtId="168" fontId="4" fillId="0" borderId="104" xfId="0" applyNumberFormat="1" applyFont="1" applyBorder="1" applyAlignment="1">
      <alignment horizontal="right" indent="1"/>
    </xf>
    <xf numFmtId="167" fontId="4" fillId="0" borderId="106" xfId="0" applyNumberFormat="1" applyFont="1" applyBorder="1" applyAlignment="1">
      <alignment horizontal="right" indent="2"/>
    </xf>
    <xf numFmtId="1" fontId="4" fillId="0" borderId="96" xfId="0" applyNumberFormat="1" applyFont="1" applyBorder="1" applyAlignment="1">
      <alignment horizontal="right" vertical="center" indent="2"/>
    </xf>
    <xf numFmtId="168" fontId="4" fillId="0" borderId="96" xfId="0" applyNumberFormat="1" applyFont="1" applyBorder="1" applyAlignment="1">
      <alignment horizontal="right" vertical="center" indent="1"/>
    </xf>
    <xf numFmtId="167" fontId="4" fillId="0" borderId="98" xfId="0" applyNumberFormat="1" applyFont="1" applyBorder="1" applyAlignment="1">
      <alignment horizontal="right" vertical="center" indent="2"/>
    </xf>
    <xf numFmtId="0" fontId="4" fillId="0" borderId="102" xfId="0" applyFont="1" applyBorder="1" applyAlignment="1">
      <alignment horizontal="left" vertical="center" indent="1"/>
    </xf>
    <xf numFmtId="0" fontId="0" fillId="0" borderId="0" xfId="0" applyAlignment="1">
      <alignment horizontal="left"/>
    </xf>
    <xf numFmtId="49" fontId="11" fillId="6" borderId="84" xfId="0" applyNumberFormat="1" applyFont="1" applyFill="1" applyBorder="1" applyAlignment="1">
      <alignment vertical="top"/>
    </xf>
    <xf numFmtId="0" fontId="14" fillId="6" borderId="62" xfId="0" applyFont="1" applyFill="1" applyBorder="1" applyAlignment="1">
      <alignment horizontal="center" vertical="center"/>
    </xf>
    <xf numFmtId="3" fontId="24" fillId="6" borderId="62" xfId="0" applyNumberFormat="1" applyFont="1" applyFill="1" applyBorder="1" applyAlignment="1">
      <alignment horizontal="center" vertical="center"/>
    </xf>
    <xf numFmtId="0" fontId="24" fillId="6" borderId="62" xfId="0" applyFont="1" applyFill="1" applyBorder="1" applyAlignment="1">
      <alignment horizontal="center" vertical="center"/>
    </xf>
    <xf numFmtId="0" fontId="24" fillId="6" borderId="85" xfId="0" applyFont="1" applyFill="1" applyBorder="1" applyAlignment="1">
      <alignment horizontal="center" vertical="center"/>
    </xf>
    <xf numFmtId="49" fontId="11" fillId="6" borderId="86" xfId="0" applyNumberFormat="1" applyFont="1" applyFill="1" applyBorder="1" applyAlignment="1">
      <alignment vertical="top"/>
    </xf>
    <xf numFmtId="0" fontId="4" fillId="6" borderId="0" xfId="0" applyFont="1" applyFill="1" applyAlignment="1">
      <alignment horizontal="left"/>
    </xf>
    <xf numFmtId="0" fontId="4" fillId="6" borderId="87" xfId="0" applyFont="1" applyFill="1" applyBorder="1" applyAlignment="1">
      <alignment vertical="center"/>
    </xf>
    <xf numFmtId="49" fontId="11" fillId="6" borderId="88" xfId="0" applyNumberFormat="1" applyFont="1" applyFill="1" applyBorder="1" applyAlignment="1">
      <alignment vertical="top"/>
    </xf>
    <xf numFmtId="0" fontId="4" fillId="6" borderId="58" xfId="0" applyFont="1" applyFill="1" applyBorder="1" applyAlignment="1">
      <alignment horizontal="left" vertical="center" wrapText="1"/>
    </xf>
    <xf numFmtId="0" fontId="4" fillId="6" borderId="58" xfId="0" applyFont="1" applyFill="1" applyBorder="1" applyAlignment="1">
      <alignment vertical="center" wrapText="1"/>
    </xf>
    <xf numFmtId="0" fontId="4" fillId="6" borderId="89" xfId="0" applyFont="1" applyFill="1" applyBorder="1" applyAlignment="1">
      <alignment vertical="center" wrapText="1"/>
    </xf>
    <xf numFmtId="168" fontId="14" fillId="6" borderId="0" xfId="3" applyNumberFormat="1" applyFont="1" applyFill="1" applyBorder="1" applyAlignment="1">
      <alignment horizontal="center" vertical="center"/>
    </xf>
    <xf numFmtId="0" fontId="4" fillId="6" borderId="0" xfId="0" applyFont="1" applyFill="1" applyAlignment="1">
      <alignment horizontal="left" vertical="center" indent="2"/>
    </xf>
    <xf numFmtId="0" fontId="40" fillId="6" borderId="62" xfId="0" applyFont="1" applyFill="1" applyBorder="1" applyAlignment="1">
      <alignment horizontal="left" vertical="center"/>
    </xf>
    <xf numFmtId="0" fontId="0" fillId="6" borderId="0" xfId="0" applyFill="1" applyAlignment="1">
      <alignment horizontal="left" vertical="center"/>
    </xf>
    <xf numFmtId="0" fontId="0" fillId="6" borderId="87" xfId="0" applyFill="1" applyBorder="1" applyAlignment="1">
      <alignment horizontal="left" vertical="center"/>
    </xf>
    <xf numFmtId="0" fontId="12" fillId="6" borderId="0" xfId="0" applyFont="1" applyFill="1" applyAlignment="1">
      <alignment horizontal="center" vertical="center"/>
    </xf>
    <xf numFmtId="0" fontId="1" fillId="6" borderId="0" xfId="0" applyFont="1" applyFill="1" applyAlignment="1">
      <alignment horizontal="center" vertical="center"/>
    </xf>
    <xf numFmtId="0" fontId="4" fillId="6" borderId="87" xfId="0" applyFont="1" applyFill="1" applyBorder="1" applyAlignment="1">
      <alignment horizontal="left" vertical="center" wrapText="1"/>
    </xf>
    <xf numFmtId="9" fontId="4" fillId="6" borderId="0" xfId="0" applyNumberFormat="1" applyFont="1" applyFill="1" applyAlignment="1">
      <alignment horizontal="center" vertical="center" wrapText="1"/>
    </xf>
    <xf numFmtId="0" fontId="0" fillId="6" borderId="0" xfId="0" applyFill="1" applyAlignment="1">
      <alignment horizontal="justify" wrapText="1"/>
    </xf>
    <xf numFmtId="0" fontId="27" fillId="7" borderId="7" xfId="0" applyFont="1" applyFill="1" applyBorder="1" applyAlignment="1">
      <alignment horizontal="right" indent="3"/>
    </xf>
    <xf numFmtId="0" fontId="4" fillId="0" borderId="0" xfId="0" applyFont="1" applyAlignment="1">
      <alignment horizontal="right"/>
    </xf>
    <xf numFmtId="168" fontId="38" fillId="0" borderId="0" xfId="3" applyNumberFormat="1" applyFont="1" applyBorder="1" applyAlignment="1">
      <alignment horizontal="center" vertical="center"/>
    </xf>
    <xf numFmtId="165" fontId="35" fillId="0" borderId="0" xfId="1" applyNumberFormat="1" applyFont="1" applyAlignment="1">
      <alignment horizontal="left"/>
    </xf>
    <xf numFmtId="0" fontId="68" fillId="0" borderId="0" xfId="0" applyFont="1"/>
    <xf numFmtId="9" fontId="12" fillId="12" borderId="5" xfId="0" applyNumberFormat="1" applyFont="1" applyFill="1" applyBorder="1" applyAlignment="1">
      <alignment horizontal="center" vertical="center" wrapText="1"/>
    </xf>
    <xf numFmtId="0" fontId="4" fillId="6" borderId="0" xfId="0" applyFont="1" applyFill="1" applyAlignment="1">
      <alignment horizontal="left" indent="2"/>
    </xf>
    <xf numFmtId="1" fontId="12" fillId="12" borderId="5" xfId="0" applyNumberFormat="1" applyFont="1" applyFill="1" applyBorder="1" applyAlignment="1">
      <alignment horizontal="right" vertical="center" indent="1"/>
    </xf>
    <xf numFmtId="1" fontId="12" fillId="6" borderId="0" xfId="0" applyNumberFormat="1" applyFont="1" applyFill="1" applyAlignment="1">
      <alignment horizontal="right" vertical="center" indent="1"/>
    </xf>
    <xf numFmtId="0" fontId="4" fillId="6" borderId="0" xfId="0" applyFont="1" applyFill="1" applyAlignment="1">
      <alignment horizontal="right" vertical="center" indent="1"/>
    </xf>
    <xf numFmtId="0" fontId="15" fillId="6" borderId="0" xfId="0" applyFont="1" applyFill="1" applyAlignment="1">
      <alignment vertical="center"/>
    </xf>
    <xf numFmtId="0" fontId="71" fillId="6" borderId="0" xfId="0" applyFont="1" applyFill="1" applyAlignment="1">
      <alignment vertical="center"/>
    </xf>
    <xf numFmtId="0" fontId="72" fillId="6" borderId="0" xfId="0" applyFont="1" applyFill="1"/>
    <xf numFmtId="1" fontId="4" fillId="0" borderId="0" xfId="0" applyNumberFormat="1" applyFont="1" applyAlignment="1">
      <alignment horizontal="right" indent="2"/>
    </xf>
    <xf numFmtId="1" fontId="12" fillId="6" borderId="0" xfId="1" applyNumberFormat="1" applyFont="1" applyFill="1" applyBorder="1" applyAlignment="1">
      <alignment horizontal="right" vertical="center" indent="1"/>
    </xf>
    <xf numFmtId="3" fontId="15" fillId="0" borderId="41" xfId="0" applyNumberFormat="1" applyFont="1" applyBorder="1" applyAlignment="1">
      <alignment horizontal="right" indent="2"/>
    </xf>
    <xf numFmtId="3" fontId="15" fillId="0" borderId="0" xfId="0" applyNumberFormat="1" applyFont="1" applyAlignment="1">
      <alignment horizontal="right" indent="2"/>
    </xf>
    <xf numFmtId="169" fontId="15" fillId="0" borderId="0" xfId="0" applyNumberFormat="1" applyFont="1" applyAlignment="1">
      <alignment horizontal="right" indent="1"/>
    </xf>
    <xf numFmtId="3" fontId="15" fillId="0" borderId="0" xfId="0" applyNumberFormat="1" applyFont="1" applyAlignment="1">
      <alignment horizontal="right" indent="1"/>
    </xf>
    <xf numFmtId="3" fontId="15" fillId="0" borderId="6" xfId="0" applyNumberFormat="1" applyFont="1" applyBorder="1" applyAlignment="1">
      <alignment horizontal="right"/>
    </xf>
    <xf numFmtId="3" fontId="15" fillId="0" borderId="7" xfId="0" applyNumberFormat="1" applyFont="1" applyBorder="1" applyAlignment="1">
      <alignment horizontal="right" indent="2"/>
    </xf>
    <xf numFmtId="169" fontId="15" fillId="0" borderId="7" xfId="0" applyNumberFormat="1" applyFont="1" applyBorder="1" applyAlignment="1">
      <alignment horizontal="right" indent="1"/>
    </xf>
    <xf numFmtId="3" fontId="15" fillId="0" borderId="7" xfId="0" applyNumberFormat="1" applyFont="1" applyBorder="1" applyAlignment="1">
      <alignment horizontal="right" indent="1"/>
    </xf>
    <xf numFmtId="3" fontId="15" fillId="0" borderId="9" xfId="0" applyNumberFormat="1" applyFont="1" applyBorder="1" applyAlignment="1">
      <alignment horizontal="right"/>
    </xf>
    <xf numFmtId="3" fontId="15" fillId="0" borderId="39" xfId="0" applyNumberFormat="1" applyFont="1" applyBorder="1" applyAlignment="1">
      <alignment horizontal="right"/>
    </xf>
    <xf numFmtId="172" fontId="15" fillId="0" borderId="9" xfId="0" applyNumberFormat="1" applyFont="1" applyBorder="1" applyAlignment="1">
      <alignment horizontal="right"/>
    </xf>
    <xf numFmtId="167" fontId="15" fillId="0" borderId="0" xfId="0" applyNumberFormat="1" applyFont="1" applyAlignment="1">
      <alignment horizontal="right" indent="1"/>
    </xf>
    <xf numFmtId="0" fontId="15" fillId="0" borderId="0" xfId="0" applyFont="1" applyAlignment="1">
      <alignment horizontal="right" indent="2"/>
    </xf>
    <xf numFmtId="0" fontId="15" fillId="0" borderId="0" xfId="0" applyFont="1" applyAlignment="1">
      <alignment horizontal="right" indent="1"/>
    </xf>
    <xf numFmtId="0" fontId="2" fillId="0" borderId="0" xfId="0" applyFont="1" applyAlignment="1">
      <alignment horizontal="right" vertical="top"/>
    </xf>
    <xf numFmtId="0" fontId="15" fillId="7" borderId="42" xfId="0" applyFont="1" applyFill="1" applyBorder="1" applyAlignment="1">
      <alignment horizontal="left" indent="1"/>
    </xf>
    <xf numFmtId="0" fontId="15" fillId="7" borderId="43" xfId="0" applyFont="1" applyFill="1" applyBorder="1" applyAlignment="1">
      <alignment horizontal="left" indent="1"/>
    </xf>
    <xf numFmtId="0" fontId="15" fillId="7" borderId="43" xfId="0" applyFont="1" applyFill="1" applyBorder="1" applyAlignment="1">
      <alignment horizontal="left" indent="3"/>
    </xf>
    <xf numFmtId="0" fontId="15" fillId="7" borderId="44" xfId="0" applyFont="1" applyFill="1" applyBorder="1" applyAlignment="1">
      <alignment horizontal="left" vertical="center" indent="3"/>
    </xf>
    <xf numFmtId="0" fontId="15" fillId="11" borderId="14" xfId="0" applyFont="1" applyFill="1" applyBorder="1" applyAlignment="1">
      <alignment horizontal="center"/>
    </xf>
    <xf numFmtId="0" fontId="15" fillId="11" borderId="15" xfId="0" applyFont="1" applyFill="1" applyBorder="1" applyAlignment="1">
      <alignment horizontal="center"/>
    </xf>
    <xf numFmtId="0" fontId="15" fillId="11" borderId="16" xfId="0" applyFont="1" applyFill="1" applyBorder="1" applyAlignment="1">
      <alignment horizontal="center"/>
    </xf>
    <xf numFmtId="0" fontId="15" fillId="7" borderId="14" xfId="0" applyFont="1" applyFill="1" applyBorder="1" applyAlignment="1">
      <alignment horizontal="center"/>
    </xf>
    <xf numFmtId="0" fontId="15" fillId="7" borderId="15" xfId="0" applyFont="1" applyFill="1" applyBorder="1" applyAlignment="1">
      <alignment horizontal="center"/>
    </xf>
    <xf numFmtId="0" fontId="15" fillId="7" borderId="16" xfId="0" applyFont="1" applyFill="1" applyBorder="1" applyAlignment="1">
      <alignment horizontal="center"/>
    </xf>
    <xf numFmtId="0" fontId="41" fillId="0" borderId="6" xfId="0" applyFont="1" applyBorder="1" applyAlignment="1">
      <alignment horizontal="center"/>
    </xf>
    <xf numFmtId="0" fontId="41" fillId="0" borderId="9" xfId="0" applyFont="1" applyBorder="1" applyAlignment="1">
      <alignment horizontal="center"/>
    </xf>
    <xf numFmtId="0" fontId="41" fillId="0" borderId="39" xfId="0" applyFont="1" applyBorder="1" applyAlignment="1">
      <alignment horizontal="center"/>
    </xf>
    <xf numFmtId="0" fontId="15" fillId="0" borderId="9" xfId="0" applyFont="1" applyBorder="1"/>
    <xf numFmtId="172" fontId="15" fillId="7" borderId="14" xfId="0" applyNumberFormat="1" applyFont="1" applyFill="1" applyBorder="1" applyAlignment="1">
      <alignment horizontal="right" vertical="center"/>
    </xf>
    <xf numFmtId="172" fontId="15" fillId="7" borderId="15" xfId="0" applyNumberFormat="1" applyFont="1" applyFill="1" applyBorder="1" applyAlignment="1">
      <alignment horizontal="right" vertical="center" indent="2"/>
    </xf>
    <xf numFmtId="0" fontId="15" fillId="11" borderId="14" xfId="0" applyFont="1" applyFill="1" applyBorder="1" applyAlignment="1">
      <alignment vertical="center"/>
    </xf>
    <xf numFmtId="173" fontId="15" fillId="11" borderId="15" xfId="0" applyNumberFormat="1" applyFont="1" applyFill="1" applyBorder="1" applyAlignment="1">
      <alignment horizontal="right" vertical="center" indent="1"/>
    </xf>
    <xf numFmtId="172" fontId="15" fillId="11" borderId="15" xfId="0" applyNumberFormat="1" applyFont="1" applyFill="1" applyBorder="1" applyAlignment="1">
      <alignment horizontal="center" vertical="center"/>
    </xf>
    <xf numFmtId="172" fontId="15" fillId="11" borderId="15" xfId="0" applyNumberFormat="1" applyFont="1" applyFill="1" applyBorder="1" applyAlignment="1">
      <alignment horizontal="right" vertical="center" indent="1"/>
    </xf>
    <xf numFmtId="0" fontId="15" fillId="0" borderId="0" xfId="0" applyFont="1" applyAlignment="1">
      <alignment vertical="center"/>
    </xf>
    <xf numFmtId="0" fontId="15" fillId="7" borderId="0" xfId="0" applyFont="1" applyFill="1" applyAlignment="1">
      <alignment horizontal="center"/>
    </xf>
    <xf numFmtId="0" fontId="15" fillId="11" borderId="0" xfId="0" applyFont="1" applyFill="1" applyAlignment="1">
      <alignment horizontal="center"/>
    </xf>
    <xf numFmtId="0" fontId="15" fillId="11" borderId="0" xfId="0" applyFont="1" applyFill="1" applyAlignment="1">
      <alignment horizontal="center" vertical="top"/>
    </xf>
    <xf numFmtId="0" fontId="0" fillId="11" borderId="0" xfId="0" applyFill="1"/>
    <xf numFmtId="0" fontId="1" fillId="11" borderId="0" xfId="0" applyFont="1" applyFill="1" applyAlignment="1">
      <alignment horizontal="center" vertical="top"/>
    </xf>
    <xf numFmtId="0" fontId="15" fillId="7" borderId="41" xfId="0" applyFont="1" applyFill="1" applyBorder="1" applyAlignment="1">
      <alignment horizontal="center"/>
    </xf>
    <xf numFmtId="0" fontId="4" fillId="0" borderId="0" xfId="0" applyFont="1" applyAlignment="1">
      <alignment horizontal="left" wrapText="1"/>
    </xf>
    <xf numFmtId="9" fontId="15" fillId="11" borderId="16" xfId="3" applyFont="1" applyFill="1" applyBorder="1" applyAlignment="1">
      <alignment horizontal="right" vertical="center" indent="1"/>
    </xf>
    <xf numFmtId="168" fontId="15" fillId="0" borderId="8" xfId="3" applyNumberFormat="1" applyFont="1" applyBorder="1" applyAlignment="1">
      <alignment horizontal="right" indent="1"/>
    </xf>
    <xf numFmtId="168" fontId="15" fillId="0" borderId="10" xfId="3" applyNumberFormat="1" applyFont="1" applyBorder="1" applyAlignment="1">
      <alignment horizontal="right" indent="1"/>
    </xf>
    <xf numFmtId="168" fontId="15" fillId="0" borderId="40" xfId="3" applyNumberFormat="1" applyFont="1" applyBorder="1" applyAlignment="1">
      <alignment horizontal="right" indent="1"/>
    </xf>
    <xf numFmtId="168" fontId="15" fillId="0" borderId="0" xfId="3" applyNumberFormat="1" applyFont="1" applyBorder="1" applyAlignment="1">
      <alignment horizontal="right" indent="1"/>
    </xf>
    <xf numFmtId="168" fontId="15" fillId="0" borderId="0" xfId="0" applyNumberFormat="1" applyFont="1" applyAlignment="1">
      <alignment horizontal="right" indent="1"/>
    </xf>
    <xf numFmtId="168" fontId="15" fillId="7" borderId="15" xfId="0" applyNumberFormat="1" applyFont="1" applyFill="1" applyBorder="1" applyAlignment="1">
      <alignment horizontal="right" vertical="center" indent="1"/>
    </xf>
    <xf numFmtId="168" fontId="15" fillId="0" borderId="0" xfId="3" applyNumberFormat="1" applyFont="1" applyAlignment="1">
      <alignment horizontal="right" indent="1"/>
    </xf>
    <xf numFmtId="168" fontId="15" fillId="7" borderId="15" xfId="3" applyNumberFormat="1" applyFont="1" applyFill="1" applyBorder="1" applyAlignment="1">
      <alignment horizontal="right" indent="1"/>
    </xf>
    <xf numFmtId="166" fontId="15" fillId="0" borderId="46" xfId="1" applyNumberFormat="1" applyFont="1" applyBorder="1" applyAlignment="1">
      <alignment horizontal="left" vertical="center"/>
    </xf>
    <xf numFmtId="166" fontId="15" fillId="0" borderId="5" xfId="1" applyNumberFormat="1" applyFont="1" applyBorder="1" applyAlignment="1">
      <alignment horizontal="left" vertical="center"/>
    </xf>
    <xf numFmtId="168" fontId="15" fillId="0" borderId="7" xfId="0" applyNumberFormat="1" applyFont="1" applyBorder="1" applyAlignment="1">
      <alignment horizontal="right" indent="1"/>
    </xf>
    <xf numFmtId="168" fontId="15" fillId="0" borderId="8" xfId="0" applyNumberFormat="1" applyFont="1" applyBorder="1" applyAlignment="1">
      <alignment horizontal="right" indent="1"/>
    </xf>
    <xf numFmtId="168" fontId="15" fillId="0" borderId="10" xfId="0" applyNumberFormat="1" applyFont="1" applyBorder="1" applyAlignment="1">
      <alignment horizontal="right" indent="1"/>
    </xf>
    <xf numFmtId="168" fontId="15" fillId="0" borderId="41" xfId="0" applyNumberFormat="1" applyFont="1" applyBorder="1" applyAlignment="1">
      <alignment horizontal="right" indent="1"/>
    </xf>
    <xf numFmtId="168" fontId="15" fillId="0" borderId="40" xfId="0" applyNumberFormat="1" applyFont="1" applyBorder="1" applyAlignment="1">
      <alignment horizontal="right" indent="1"/>
    </xf>
    <xf numFmtId="10" fontId="4" fillId="0" borderId="0" xfId="0" applyNumberFormat="1" applyFont="1" applyAlignment="1">
      <alignment horizontal="right" indent="1"/>
    </xf>
    <xf numFmtId="9" fontId="4" fillId="0" borderId="0" xfId="0" applyNumberFormat="1" applyFont="1" applyAlignment="1">
      <alignment horizontal="right" indent="1"/>
    </xf>
    <xf numFmtId="0" fontId="2" fillId="0" borderId="0" xfId="0" applyFont="1" applyAlignment="1">
      <alignment horizontal="right"/>
    </xf>
    <xf numFmtId="0" fontId="73" fillId="6" borderId="62" xfId="0" applyFont="1" applyFill="1" applyBorder="1" applyAlignment="1">
      <alignment horizontal="left"/>
    </xf>
    <xf numFmtId="0" fontId="49" fillId="6" borderId="0" xfId="0" applyFont="1" applyFill="1" applyAlignment="1">
      <alignment horizontal="left" indent="1"/>
    </xf>
    <xf numFmtId="0" fontId="0" fillId="0" borderId="86" xfId="0" applyBorder="1"/>
    <xf numFmtId="0" fontId="74" fillId="0" borderId="0" xfId="0" applyFont="1" applyAlignment="1">
      <alignment vertical="center"/>
    </xf>
    <xf numFmtId="0" fontId="69" fillId="0" borderId="0" xfId="0" applyFont="1" applyAlignment="1">
      <alignment horizontal="left" vertical="center"/>
    </xf>
    <xf numFmtId="167" fontId="4" fillId="0" borderId="1" xfId="0" applyNumberFormat="1" applyFont="1" applyBorder="1" applyAlignment="1">
      <alignment horizontal="right" vertical="center" indent="3"/>
    </xf>
    <xf numFmtId="0" fontId="4" fillId="0" borderId="0" xfId="0" applyFont="1" applyAlignment="1">
      <alignment horizontal="left" vertical="center" indent="6"/>
    </xf>
    <xf numFmtId="0" fontId="49" fillId="6" borderId="0" xfId="0" applyFont="1" applyFill="1" applyAlignment="1">
      <alignment horizontal="left" indent="5"/>
    </xf>
    <xf numFmtId="0" fontId="4" fillId="6" borderId="0" xfId="0" quotePrefix="1" applyFont="1" applyFill="1" applyAlignment="1">
      <alignment horizontal="left" vertical="center"/>
    </xf>
    <xf numFmtId="0" fontId="0" fillId="6" borderId="71" xfId="0" applyFill="1" applyBorder="1"/>
    <xf numFmtId="0" fontId="4" fillId="6" borderId="71" xfId="0" applyFont="1" applyFill="1" applyBorder="1"/>
    <xf numFmtId="0" fontId="66" fillId="6" borderId="71" xfId="0" applyFont="1" applyFill="1" applyBorder="1" applyAlignment="1">
      <alignment horizontal="right"/>
    </xf>
    <xf numFmtId="3" fontId="28" fillId="6" borderId="71" xfId="0" applyNumberFormat="1" applyFont="1" applyFill="1" applyBorder="1" applyAlignment="1">
      <alignment horizontal="center"/>
    </xf>
    <xf numFmtId="0" fontId="66" fillId="6" borderId="71" xfId="0" applyFont="1" applyFill="1" applyBorder="1"/>
    <xf numFmtId="0" fontId="53" fillId="6" borderId="71" xfId="0" applyFont="1" applyFill="1" applyBorder="1" applyAlignment="1">
      <alignment vertical="top"/>
    </xf>
    <xf numFmtId="0" fontId="12" fillId="3" borderId="1" xfId="0" applyFont="1" applyFill="1" applyBorder="1" applyAlignment="1">
      <alignment horizontal="left" vertical="center" wrapText="1" indent="3"/>
    </xf>
    <xf numFmtId="0" fontId="1" fillId="6" borderId="33" xfId="0" quotePrefix="1" applyFont="1" applyFill="1" applyBorder="1" applyAlignment="1">
      <alignment vertical="top"/>
    </xf>
    <xf numFmtId="9" fontId="0" fillId="0" borderId="0" xfId="3" applyFont="1"/>
    <xf numFmtId="0" fontId="1" fillId="6" borderId="71" xfId="0" applyFont="1" applyFill="1" applyBorder="1" applyAlignment="1">
      <alignment horizontal="center" vertical="top"/>
    </xf>
    <xf numFmtId="0" fontId="1" fillId="6" borderId="0" xfId="0" applyFont="1" applyFill="1" applyAlignment="1">
      <alignment horizontal="center" vertical="top"/>
    </xf>
    <xf numFmtId="0" fontId="15" fillId="6" borderId="0" xfId="0" applyFont="1" applyFill="1" applyAlignment="1">
      <alignment horizontal="left" vertical="top" indent="1"/>
    </xf>
    <xf numFmtId="0" fontId="1" fillId="0" borderId="0" xfId="0" applyFont="1" applyAlignment="1">
      <alignment horizontal="center" vertical="center"/>
    </xf>
    <xf numFmtId="0" fontId="4" fillId="6" borderId="0" xfId="0" applyFont="1" applyFill="1" applyAlignment="1">
      <alignment horizontal="left" vertical="center" indent="7"/>
    </xf>
    <xf numFmtId="3" fontId="15" fillId="0" borderId="22" xfId="0" applyNumberFormat="1" applyFont="1" applyBorder="1" applyAlignment="1">
      <alignment horizontal="right" indent="3"/>
    </xf>
    <xf numFmtId="0" fontId="15" fillId="0" borderId="23" xfId="0" applyFont="1" applyBorder="1"/>
    <xf numFmtId="0" fontId="15" fillId="0" borderId="24" xfId="0" applyFont="1" applyBorder="1"/>
    <xf numFmtId="168" fontId="15" fillId="0" borderId="5" xfId="3" applyNumberFormat="1" applyFont="1" applyBorder="1" applyAlignment="1">
      <alignment horizontal="right" indent="2"/>
    </xf>
    <xf numFmtId="168" fontId="15" fillId="0" borderId="21" xfId="3" applyNumberFormat="1" applyFont="1" applyBorder="1" applyAlignment="1">
      <alignment horizontal="right" indent="2"/>
    </xf>
    <xf numFmtId="168" fontId="15" fillId="0" borderId="5" xfId="0" applyNumberFormat="1" applyFont="1" applyBorder="1" applyAlignment="1">
      <alignment horizontal="right" vertical="center" wrapText="1" indent="1"/>
    </xf>
    <xf numFmtId="168" fontId="15" fillId="0" borderId="5" xfId="0" applyNumberFormat="1" applyFont="1" applyBorder="1" applyAlignment="1">
      <alignment horizontal="right" vertical="center" wrapText="1"/>
    </xf>
    <xf numFmtId="0" fontId="70" fillId="7" borderId="0" xfId="0" applyFont="1" applyFill="1" applyAlignment="1">
      <alignment horizontal="center" vertical="center" wrapText="1"/>
    </xf>
    <xf numFmtId="0" fontId="70" fillId="0" borderId="0" xfId="0" applyFont="1" applyAlignment="1">
      <alignment horizontal="center" vertical="center" wrapText="1"/>
    </xf>
    <xf numFmtId="0" fontId="0" fillId="0" borderId="0" xfId="0" applyAlignment="1">
      <alignment wrapText="1"/>
    </xf>
    <xf numFmtId="0" fontId="4" fillId="0" borderId="0" xfId="0" applyFont="1" applyAlignment="1">
      <alignment vertical="center" wrapText="1"/>
    </xf>
    <xf numFmtId="0" fontId="0" fillId="0" borderId="0" xfId="0" applyAlignment="1">
      <alignment vertical="center" wrapText="1"/>
    </xf>
    <xf numFmtId="49" fontId="4" fillId="6" borderId="9" xfId="0" applyNumberFormat="1" applyFont="1" applyFill="1" applyBorder="1" applyAlignment="1">
      <alignment horizontal="left" vertical="center" wrapText="1" indent="1"/>
    </xf>
    <xf numFmtId="0" fontId="0" fillId="0" borderId="0" xfId="0" applyAlignment="1">
      <alignment horizontal="left" vertical="center" wrapText="1" indent="1"/>
    </xf>
    <xf numFmtId="0" fontId="0" fillId="0" borderId="10" xfId="0" applyBorder="1" applyAlignment="1">
      <alignment horizontal="left" vertical="center" wrapText="1" indent="1"/>
    </xf>
    <xf numFmtId="0" fontId="0" fillId="0" borderId="9" xfId="0" applyBorder="1" applyAlignment="1">
      <alignment horizontal="left" vertical="center" wrapText="1" indent="1"/>
    </xf>
    <xf numFmtId="0" fontId="0" fillId="0" borderId="39" xfId="0" applyBorder="1" applyAlignment="1">
      <alignment horizontal="left" vertical="center" wrapText="1" indent="1"/>
    </xf>
    <xf numFmtId="0" fontId="0" fillId="0" borderId="41" xfId="0" applyBorder="1" applyAlignment="1">
      <alignment horizontal="left" vertical="center" wrapText="1" indent="1"/>
    </xf>
    <xf numFmtId="0" fontId="0" fillId="0" borderId="40" xfId="0" applyBorder="1" applyAlignment="1">
      <alignment horizontal="left" vertical="center" wrapText="1" indent="1"/>
    </xf>
    <xf numFmtId="0" fontId="50" fillId="0" borderId="0" xfId="0" applyFont="1" applyAlignment="1">
      <alignment wrapText="1"/>
    </xf>
    <xf numFmtId="1" fontId="15" fillId="0" borderId="14" xfId="0" applyNumberFormat="1" applyFont="1" applyBorder="1" applyAlignment="1">
      <alignment horizontal="right" vertical="center" wrapText="1" indent="2"/>
    </xf>
    <xf numFmtId="1" fontId="15" fillId="0" borderId="16" xfId="0" applyNumberFormat="1" applyFont="1" applyBorder="1" applyAlignment="1">
      <alignment horizontal="right" vertical="center" wrapText="1" indent="2"/>
    </xf>
    <xf numFmtId="0" fontId="4" fillId="6" borderId="0" xfId="0" applyFont="1" applyFill="1" applyAlignment="1">
      <alignment horizontal="justify" wrapText="1"/>
    </xf>
    <xf numFmtId="4" fontId="24" fillId="10" borderId="14" xfId="0" applyNumberFormat="1" applyFont="1" applyFill="1" applyBorder="1" applyAlignment="1">
      <alignment horizontal="center" vertical="center"/>
    </xf>
    <xf numFmtId="0" fontId="24" fillId="10" borderId="16" xfId="0" applyFont="1" applyFill="1" applyBorder="1" applyAlignment="1">
      <alignment horizontal="center" vertical="center"/>
    </xf>
    <xf numFmtId="172" fontId="11" fillId="10" borderId="67" xfId="0" applyNumberFormat="1" applyFont="1" applyFill="1" applyBorder="1" applyAlignment="1">
      <alignment horizontal="right" vertical="center" wrapText="1" indent="3"/>
    </xf>
    <xf numFmtId="0" fontId="0" fillId="10" borderId="15" xfId="0" applyFill="1" applyBorder="1" applyAlignment="1">
      <alignment horizontal="right" vertical="center" wrapText="1" indent="3"/>
    </xf>
    <xf numFmtId="0" fontId="0" fillId="10" borderId="53" xfId="0" applyFill="1" applyBorder="1" applyAlignment="1">
      <alignment horizontal="right" vertical="center" wrapText="1" indent="3"/>
    </xf>
    <xf numFmtId="0" fontId="15" fillId="9" borderId="66" xfId="0" applyFont="1" applyFill="1" applyBorder="1" applyAlignment="1">
      <alignment horizontal="center" vertical="center" wrapText="1"/>
    </xf>
    <xf numFmtId="0" fontId="15" fillId="9" borderId="56" xfId="0" applyFont="1" applyFill="1" applyBorder="1" applyAlignment="1">
      <alignment horizontal="center" vertical="center" wrapText="1"/>
    </xf>
    <xf numFmtId="0" fontId="15" fillId="9" borderId="90" xfId="0" applyFont="1" applyFill="1" applyBorder="1" applyAlignment="1">
      <alignment horizontal="center" vertical="center" wrapText="1"/>
    </xf>
    <xf numFmtId="0" fontId="15" fillId="9" borderId="80" xfId="0" applyFont="1" applyFill="1" applyBorder="1" applyAlignment="1">
      <alignment horizontal="center" vertical="center" wrapText="1"/>
    </xf>
    <xf numFmtId="0" fontId="12" fillId="6" borderId="22" xfId="0" applyFont="1" applyFill="1" applyBorder="1" applyAlignment="1">
      <alignment horizontal="center" wrapText="1"/>
    </xf>
    <xf numFmtId="0" fontId="12" fillId="0" borderId="24" xfId="0" applyFont="1" applyBorder="1" applyAlignment="1">
      <alignment horizontal="center" wrapText="1"/>
    </xf>
    <xf numFmtId="0" fontId="0" fillId="0" borderId="0" xfId="0" applyAlignment="1">
      <alignment horizontal="justify" wrapText="1"/>
    </xf>
    <xf numFmtId="0" fontId="15" fillId="6" borderId="0" xfId="0" applyFont="1" applyFill="1" applyAlignment="1">
      <alignment horizontal="justify" wrapText="1"/>
    </xf>
    <xf numFmtId="0" fontId="15" fillId="0" borderId="0" xfId="0" applyFont="1" applyAlignment="1">
      <alignment horizontal="justify" wrapText="1"/>
    </xf>
    <xf numFmtId="0" fontId="4" fillId="6" borderId="0" xfId="0" applyFont="1" applyFill="1" applyAlignment="1">
      <alignment vertical="center" wrapText="1"/>
    </xf>
    <xf numFmtId="3" fontId="15" fillId="0" borderId="14" xfId="0" applyNumberFormat="1" applyFont="1" applyBorder="1" applyAlignment="1">
      <alignment horizontal="right" indent="3"/>
    </xf>
    <xf numFmtId="0" fontId="15" fillId="0" borderId="15" xfId="0" applyFont="1" applyBorder="1"/>
    <xf numFmtId="0" fontId="15" fillId="0" borderId="16" xfId="0" applyFont="1" applyBorder="1"/>
    <xf numFmtId="0" fontId="4" fillId="6" borderId="0" xfId="0" applyFont="1" applyFill="1" applyAlignment="1">
      <alignment horizontal="left" vertical="center" wrapText="1" indent="1"/>
    </xf>
    <xf numFmtId="0" fontId="4" fillId="6" borderId="33" xfId="0" applyFont="1" applyFill="1" applyBorder="1" applyAlignment="1">
      <alignment horizontal="left" vertical="center" wrapText="1" indent="1"/>
    </xf>
    <xf numFmtId="0" fontId="4" fillId="3" borderId="70" xfId="0" applyFont="1" applyFill="1" applyBorder="1" applyAlignment="1">
      <alignment horizontal="center" vertical="center" wrapText="1"/>
    </xf>
    <xf numFmtId="0" fontId="0" fillId="0" borderId="71" xfId="0" applyBorder="1" applyAlignment="1">
      <alignment horizontal="center" vertical="center" wrapText="1"/>
    </xf>
    <xf numFmtId="0" fontId="0" fillId="0" borderId="75"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167" fontId="15" fillId="0" borderId="5" xfId="0" applyNumberFormat="1" applyFont="1" applyBorder="1" applyAlignment="1">
      <alignment horizontal="center" vertical="center" wrapText="1"/>
    </xf>
    <xf numFmtId="167" fontId="15" fillId="0" borderId="14" xfId="0" applyNumberFormat="1" applyFont="1" applyBorder="1" applyAlignment="1">
      <alignment horizontal="center" vertical="center" wrapText="1"/>
    </xf>
    <xf numFmtId="167" fontId="15" fillId="0" borderId="15" xfId="0" applyNumberFormat="1" applyFont="1" applyBorder="1"/>
    <xf numFmtId="3" fontId="4" fillId="10" borderId="66" xfId="0" applyNumberFormat="1" applyFont="1" applyFill="1" applyBorder="1" applyAlignment="1">
      <alignment horizontal="right" vertical="center" wrapText="1" indent="3"/>
    </xf>
    <xf numFmtId="0" fontId="0" fillId="10" borderId="18" xfId="0" applyFill="1" applyBorder="1" applyAlignment="1">
      <alignment horizontal="right" vertical="center" wrapText="1" indent="3"/>
    </xf>
    <xf numFmtId="0" fontId="0" fillId="10" borderId="56" xfId="0" applyFill="1" applyBorder="1" applyAlignment="1">
      <alignment horizontal="right" vertical="center" wrapText="1" indent="3"/>
    </xf>
    <xf numFmtId="0" fontId="4" fillId="6" borderId="0" xfId="0" applyFont="1" applyFill="1" applyAlignment="1">
      <alignment horizontal="justify"/>
    </xf>
    <xf numFmtId="0" fontId="4" fillId="9" borderId="20" xfId="0" applyFont="1" applyFill="1" applyBorder="1" applyAlignment="1">
      <alignment horizontal="center" vertical="center" wrapText="1"/>
    </xf>
    <xf numFmtId="0" fontId="0" fillId="9" borderId="90" xfId="0" applyFill="1" applyBorder="1" applyAlignment="1">
      <alignment wrapText="1"/>
    </xf>
    <xf numFmtId="167" fontId="4" fillId="9" borderId="51" xfId="0" applyNumberFormat="1" applyFont="1" applyFill="1" applyBorder="1" applyAlignment="1">
      <alignment horizontal="right" vertical="center" indent="4"/>
    </xf>
    <xf numFmtId="0" fontId="0" fillId="9" borderId="48" xfId="0" applyFill="1" applyBorder="1" applyAlignment="1">
      <alignment horizontal="right" vertical="center" indent="4"/>
    </xf>
    <xf numFmtId="0" fontId="4" fillId="9" borderId="1" xfId="0" applyFont="1" applyFill="1" applyBorder="1" applyAlignment="1">
      <alignment horizontal="center" vertical="center" wrapText="1"/>
    </xf>
    <xf numFmtId="0" fontId="0" fillId="9" borderId="1" xfId="0" applyFill="1" applyBorder="1" applyAlignment="1">
      <alignment horizontal="center" vertical="center"/>
    </xf>
    <xf numFmtId="0" fontId="12" fillId="10" borderId="11" xfId="0" applyFont="1" applyFill="1" applyBorder="1" applyAlignment="1">
      <alignment horizontal="left" vertical="center" wrapText="1"/>
    </xf>
    <xf numFmtId="0" fontId="0" fillId="10" borderId="12" xfId="0" applyFill="1" applyBorder="1" applyAlignment="1">
      <alignment horizontal="left" vertical="center" wrapText="1"/>
    </xf>
    <xf numFmtId="0" fontId="0" fillId="0" borderId="13" xfId="0" applyBorder="1" applyAlignment="1">
      <alignment wrapText="1"/>
    </xf>
    <xf numFmtId="0" fontId="6" fillId="6" borderId="54" xfId="0" applyFont="1" applyFill="1" applyBorder="1" applyAlignment="1">
      <alignment horizontal="left" wrapText="1"/>
    </xf>
    <xf numFmtId="0" fontId="6" fillId="0" borderId="31" xfId="0" applyFont="1" applyBorder="1" applyAlignment="1">
      <alignment horizontal="left" wrapText="1"/>
    </xf>
    <xf numFmtId="167" fontId="15" fillId="0" borderId="46" xfId="0" applyNumberFormat="1" applyFont="1" applyBorder="1" applyAlignment="1">
      <alignment horizontal="center" vertical="center" wrapText="1"/>
    </xf>
    <xf numFmtId="0" fontId="35" fillId="0" borderId="5" xfId="0" applyFont="1" applyBorder="1" applyAlignment="1">
      <alignment horizontal="center" vertical="center" wrapText="1"/>
    </xf>
    <xf numFmtId="0" fontId="0" fillId="0" borderId="5" xfId="0" applyBorder="1" applyAlignment="1">
      <alignment wrapText="1"/>
    </xf>
    <xf numFmtId="0" fontId="30" fillId="6" borderId="0" xfId="0" applyFont="1" applyFill="1" applyAlignment="1">
      <alignment horizontal="justify" vertical="center" wrapText="1"/>
    </xf>
    <xf numFmtId="0" fontId="0" fillId="6" borderId="0" xfId="0" applyFill="1" applyAlignment="1">
      <alignment horizontal="justify" vertical="center" wrapText="1"/>
    </xf>
    <xf numFmtId="168" fontId="15" fillId="0" borderId="46" xfId="0" applyNumberFormat="1" applyFont="1" applyBorder="1" applyAlignment="1">
      <alignment horizontal="right" vertical="center" wrapText="1" indent="1"/>
    </xf>
    <xf numFmtId="168" fontId="15" fillId="0" borderId="46" xfId="0" applyNumberFormat="1" applyFont="1" applyBorder="1" applyAlignment="1">
      <alignment horizontal="right" vertical="center" wrapText="1"/>
    </xf>
    <xf numFmtId="1" fontId="15" fillId="0" borderId="46" xfId="0" applyNumberFormat="1" applyFont="1" applyBorder="1" applyAlignment="1">
      <alignment horizontal="right" vertical="center" wrapText="1" indent="2"/>
    </xf>
    <xf numFmtId="1" fontId="15" fillId="0" borderId="46" xfId="0" applyNumberFormat="1" applyFont="1" applyBorder="1" applyAlignment="1">
      <alignment horizontal="right" indent="2"/>
    </xf>
    <xf numFmtId="0" fontId="1" fillId="0" borderId="14" xfId="0" applyFont="1" applyBorder="1" applyAlignment="1">
      <alignment horizontal="center" vertical="center"/>
    </xf>
    <xf numFmtId="0" fontId="0" fillId="0" borderId="16" xfId="0" applyBorder="1" applyAlignment="1">
      <alignment horizontal="center" vertical="center"/>
    </xf>
    <xf numFmtId="1" fontId="12" fillId="3" borderId="11" xfId="0" applyNumberFormat="1" applyFont="1" applyFill="1" applyBorder="1" applyAlignment="1">
      <alignment horizontal="center" vertical="center" wrapText="1"/>
    </xf>
    <xf numFmtId="1" fontId="12" fillId="3" borderId="13" xfId="0" applyNumberFormat="1" applyFont="1" applyFill="1" applyBorder="1"/>
    <xf numFmtId="3" fontId="15" fillId="0" borderId="5" xfId="1" applyNumberFormat="1" applyFont="1" applyBorder="1" applyAlignment="1">
      <alignment horizontal="right" vertical="center" indent="2"/>
    </xf>
    <xf numFmtId="0" fontId="15" fillId="0" borderId="5" xfId="0" applyFont="1" applyBorder="1" applyAlignment="1">
      <alignment horizontal="right" vertical="center" indent="2"/>
    </xf>
    <xf numFmtId="0" fontId="52" fillId="0" borderId="42"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44" xfId="0" applyFont="1" applyBorder="1" applyAlignment="1">
      <alignment wrapText="1"/>
    </xf>
    <xf numFmtId="0" fontId="0" fillId="0" borderId="44" xfId="0" applyBorder="1" applyAlignment="1">
      <alignment wrapText="1"/>
    </xf>
    <xf numFmtId="0" fontId="1" fillId="0" borderId="42" xfId="0" applyFont="1" applyBorder="1" applyAlignment="1">
      <alignment horizontal="center" vertical="center" wrapText="1"/>
    </xf>
    <xf numFmtId="0" fontId="0" fillId="0" borderId="43" xfId="0" applyBorder="1" applyAlignment="1">
      <alignment horizontal="center" vertical="center" wrapText="1"/>
    </xf>
    <xf numFmtId="0" fontId="4" fillId="6" borderId="0" xfId="0" applyFont="1" applyFill="1" applyAlignment="1">
      <alignment horizontal="right" vertical="center" wrapText="1"/>
    </xf>
    <xf numFmtId="0" fontId="0" fillId="6" borderId="0" xfId="0" applyFill="1" applyAlignment="1">
      <alignment horizontal="right" vertical="center" wrapText="1"/>
    </xf>
    <xf numFmtId="0" fontId="4" fillId="6" borderId="0" xfId="0" applyFont="1" applyFill="1" applyAlignment="1">
      <alignment horizontal="left" wrapText="1" indent="1"/>
    </xf>
    <xf numFmtId="0" fontId="4" fillId="9" borderId="66"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2" fontId="4" fillId="9" borderId="46" xfId="0" applyNumberFormat="1" applyFont="1" applyFill="1" applyBorder="1" applyAlignment="1">
      <alignment horizontal="center" vertical="center" wrapText="1"/>
    </xf>
    <xf numFmtId="0" fontId="0" fillId="9" borderId="42" xfId="0" applyFill="1" applyBorder="1" applyAlignment="1">
      <alignment wrapText="1"/>
    </xf>
    <xf numFmtId="0" fontId="4" fillId="9" borderId="46" xfId="0" applyFont="1" applyFill="1" applyBorder="1" applyAlignment="1">
      <alignment horizontal="center" vertical="center" wrapText="1"/>
    </xf>
    <xf numFmtId="0" fontId="0" fillId="0" borderId="5" xfId="0" applyBorder="1"/>
    <xf numFmtId="3" fontId="4" fillId="3" borderId="11" xfId="0" applyNumberFormat="1" applyFont="1" applyFill="1" applyBorder="1" applyAlignment="1">
      <alignment horizontal="right" vertical="center" indent="3"/>
    </xf>
    <xf numFmtId="3" fontId="4" fillId="3" borderId="12" xfId="0" applyNumberFormat="1" applyFont="1" applyFill="1" applyBorder="1" applyAlignment="1">
      <alignment horizontal="right" vertical="center" indent="3"/>
    </xf>
    <xf numFmtId="3" fontId="4" fillId="3" borderId="13" xfId="0" applyNumberFormat="1" applyFont="1" applyFill="1" applyBorder="1" applyAlignment="1">
      <alignment horizontal="right" vertical="center" indent="3"/>
    </xf>
    <xf numFmtId="168" fontId="15" fillId="0" borderId="46" xfId="3" applyNumberFormat="1" applyFont="1" applyBorder="1" applyAlignment="1">
      <alignment horizontal="right" indent="2"/>
    </xf>
    <xf numFmtId="168" fontId="15" fillId="0" borderId="20" xfId="3" applyNumberFormat="1" applyFont="1" applyBorder="1" applyAlignment="1">
      <alignment horizontal="right" indent="2"/>
    </xf>
    <xf numFmtId="0" fontId="58" fillId="0" borderId="5" xfId="0" applyFont="1" applyBorder="1" applyAlignment="1">
      <alignment horizontal="center" vertical="center" wrapText="1"/>
    </xf>
    <xf numFmtId="0" fontId="6" fillId="0" borderId="5" xfId="0" applyFont="1" applyBorder="1" applyAlignment="1">
      <alignment wrapText="1"/>
    </xf>
    <xf numFmtId="168" fontId="4" fillId="3" borderId="11" xfId="0" applyNumberFormat="1" applyFont="1" applyFill="1" applyBorder="1" applyAlignment="1">
      <alignment horizontal="right" vertical="center" wrapText="1" indent="1"/>
    </xf>
    <xf numFmtId="168" fontId="0" fillId="3" borderId="12" xfId="0" applyNumberFormat="1" applyFill="1" applyBorder="1" applyAlignment="1">
      <alignment horizontal="right" vertical="center" wrapText="1"/>
    </xf>
    <xf numFmtId="168" fontId="0" fillId="3" borderId="13" xfId="0" applyNumberFormat="1" applyFill="1" applyBorder="1" applyAlignment="1">
      <alignment horizontal="right" vertical="center" wrapText="1"/>
    </xf>
    <xf numFmtId="0" fontId="35" fillId="0" borderId="0" xfId="0" applyFont="1" applyAlignment="1">
      <alignment horizontal="center" wrapText="1"/>
    </xf>
    <xf numFmtId="0" fontId="4" fillId="6" borderId="0" xfId="0" applyFont="1" applyFill="1" applyAlignment="1">
      <alignment horizontal="left" wrapText="1"/>
    </xf>
    <xf numFmtId="49" fontId="4" fillId="6" borderId="27" xfId="0" applyNumberFormat="1" applyFont="1" applyFill="1" applyBorder="1" applyAlignment="1">
      <alignment horizontal="left" vertical="center" wrapText="1"/>
    </xf>
    <xf numFmtId="0" fontId="0" fillId="6" borderId="28" xfId="0" applyFill="1" applyBorder="1" applyAlignment="1">
      <alignment horizontal="left" vertical="center" wrapText="1"/>
    </xf>
    <xf numFmtId="49" fontId="4" fillId="6" borderId="30" xfId="0" applyNumberFormat="1" applyFont="1" applyFill="1" applyBorder="1" applyAlignment="1">
      <alignment horizontal="left" vertical="center" wrapText="1"/>
    </xf>
    <xf numFmtId="0" fontId="0" fillId="6" borderId="0" xfId="0" applyFill="1" applyAlignment="1">
      <alignment horizontal="left" vertical="center" wrapText="1"/>
    </xf>
    <xf numFmtId="0" fontId="0" fillId="6" borderId="30" xfId="0" applyFill="1" applyBorder="1" applyAlignment="1">
      <alignment horizontal="left" vertical="center" wrapText="1"/>
    </xf>
    <xf numFmtId="2" fontId="4" fillId="3" borderId="74" xfId="0" applyNumberFormat="1" applyFont="1" applyFill="1" applyBorder="1" applyAlignment="1">
      <alignment horizontal="center" vertical="center" wrapText="1"/>
    </xf>
    <xf numFmtId="0" fontId="0" fillId="0" borderId="76" xfId="0" applyBorder="1" applyAlignment="1">
      <alignment wrapText="1"/>
    </xf>
    <xf numFmtId="0" fontId="0" fillId="0" borderId="77" xfId="0" applyBorder="1" applyAlignment="1">
      <alignment wrapText="1"/>
    </xf>
    <xf numFmtId="0" fontId="4" fillId="3" borderId="72" xfId="0" applyFont="1" applyFill="1" applyBorder="1" applyAlignment="1">
      <alignment horizontal="center" vertical="center" wrapText="1"/>
    </xf>
    <xf numFmtId="0" fontId="0" fillId="0" borderId="73" xfId="0" applyBorder="1" applyAlignment="1">
      <alignment wrapText="1"/>
    </xf>
    <xf numFmtId="0" fontId="0" fillId="0" borderId="80" xfId="0" applyBorder="1" applyAlignment="1">
      <alignment wrapText="1"/>
    </xf>
    <xf numFmtId="0" fontId="52" fillId="0" borderId="78" xfId="0" applyFont="1" applyBorder="1" applyAlignment="1">
      <alignment horizontal="center" vertical="center"/>
    </xf>
    <xf numFmtId="0" fontId="52" fillId="0" borderId="2" xfId="0" applyFont="1" applyBorder="1" applyAlignment="1">
      <alignment horizontal="center" vertical="center"/>
    </xf>
    <xf numFmtId="0" fontId="52" fillId="0" borderId="79" xfId="0" applyFont="1" applyBorder="1" applyAlignment="1">
      <alignment horizontal="center" vertical="center"/>
    </xf>
    <xf numFmtId="0" fontId="59" fillId="6" borderId="0" xfId="0" applyFont="1" applyFill="1" applyAlignment="1">
      <alignment horizontal="center" wrapText="1"/>
    </xf>
    <xf numFmtId="0" fontId="0" fillId="6" borderId="0" xfId="0" applyFill="1" applyAlignment="1">
      <alignment horizontal="center" wrapText="1"/>
    </xf>
    <xf numFmtId="0" fontId="18" fillId="0" borderId="0" xfId="0" applyFont="1" applyAlignment="1">
      <alignment horizontal="center" wrapText="1"/>
    </xf>
    <xf numFmtId="0" fontId="13" fillId="0" borderId="0" xfId="0" applyFont="1" applyAlignment="1">
      <alignment horizontal="center" wrapText="1"/>
    </xf>
    <xf numFmtId="2" fontId="4" fillId="3" borderId="4" xfId="0" applyNumberFormat="1" applyFont="1" applyFill="1" applyBorder="1" applyAlignment="1">
      <alignment horizontal="center" vertical="center" wrapText="1"/>
    </xf>
    <xf numFmtId="0" fontId="0" fillId="0" borderId="54" xfId="0" applyBorder="1" applyAlignment="1">
      <alignment horizontal="center" vertical="center" wrapText="1"/>
    </xf>
    <xf numFmtId="0" fontId="0" fillId="0" borderId="26" xfId="0" applyBorder="1" applyAlignment="1">
      <alignment horizontal="center" vertical="center" wrapText="1"/>
    </xf>
    <xf numFmtId="10" fontId="4" fillId="3" borderId="4" xfId="0" applyNumberFormat="1" applyFont="1" applyFill="1" applyBorder="1" applyAlignment="1">
      <alignment horizontal="center" vertical="center" wrapText="1"/>
    </xf>
    <xf numFmtId="0" fontId="0" fillId="3" borderId="57" xfId="0" applyFill="1" applyBorder="1" applyAlignment="1">
      <alignment horizontal="center" vertical="center" wrapText="1"/>
    </xf>
    <xf numFmtId="0" fontId="0" fillId="0" borderId="3" xfId="0" applyBorder="1" applyAlignment="1">
      <alignment horizontal="center" vertical="center" wrapText="1"/>
    </xf>
    <xf numFmtId="0" fontId="0" fillId="0" borderId="50" xfId="0" applyBorder="1" applyAlignment="1">
      <alignment horizontal="center" vertical="center" wrapText="1"/>
    </xf>
    <xf numFmtId="0" fontId="4" fillId="9" borderId="71" xfId="0" applyFont="1" applyFill="1" applyBorder="1" applyAlignment="1">
      <alignment horizontal="center" vertical="center" wrapText="1"/>
    </xf>
    <xf numFmtId="0" fontId="0" fillId="9" borderId="57" xfId="0" applyFill="1" applyBorder="1"/>
    <xf numFmtId="0" fontId="0" fillId="9" borderId="0" xfId="0" applyFill="1"/>
    <xf numFmtId="0" fontId="0" fillId="9" borderId="3" xfId="0" applyFill="1" applyBorder="1"/>
    <xf numFmtId="0" fontId="15" fillId="9" borderId="54" xfId="0" applyFont="1" applyFill="1" applyBorder="1" applyAlignment="1">
      <alignment horizontal="center" vertical="center" wrapText="1"/>
    </xf>
    <xf numFmtId="3" fontId="11" fillId="3" borderId="1" xfId="0" applyNumberFormat="1" applyFont="1" applyFill="1" applyBorder="1" applyAlignment="1">
      <alignment horizontal="right" vertical="center" indent="3"/>
    </xf>
    <xf numFmtId="168" fontId="15" fillId="0" borderId="47" xfId="0" applyNumberFormat="1" applyFont="1" applyBorder="1" applyAlignment="1">
      <alignment horizontal="right" vertical="center" wrapText="1" indent="1"/>
    </xf>
    <xf numFmtId="168" fontId="15" fillId="0" borderId="47" xfId="0" applyNumberFormat="1" applyFont="1" applyBorder="1" applyAlignment="1">
      <alignment horizontal="right" vertical="center" wrapText="1"/>
    </xf>
    <xf numFmtId="3" fontId="15" fillId="0" borderId="47" xfId="1" applyNumberFormat="1" applyFont="1" applyBorder="1" applyAlignment="1">
      <alignment horizontal="right" vertical="center" indent="2"/>
    </xf>
    <xf numFmtId="0" fontId="15" fillId="0" borderId="47" xfId="0" applyFont="1" applyBorder="1" applyAlignment="1">
      <alignment horizontal="right" vertical="center" indent="2"/>
    </xf>
    <xf numFmtId="1" fontId="15" fillId="6" borderId="18" xfId="0" applyNumberFormat="1" applyFont="1" applyFill="1" applyBorder="1" applyAlignment="1">
      <alignment horizontal="center" vertical="center" wrapText="1"/>
    </xf>
    <xf numFmtId="1" fontId="15" fillId="6" borderId="18" xfId="0" applyNumberFormat="1" applyFont="1" applyFill="1" applyBorder="1"/>
    <xf numFmtId="167" fontId="11" fillId="6" borderId="54" xfId="0" applyNumberFormat="1" applyFont="1" applyFill="1" applyBorder="1" applyAlignment="1">
      <alignment horizontal="center"/>
    </xf>
    <xf numFmtId="167" fontId="0" fillId="6" borderId="0" xfId="0" applyNumberFormat="1" applyFill="1" applyAlignment="1">
      <alignment horizontal="center"/>
    </xf>
    <xf numFmtId="1" fontId="4" fillId="3" borderId="11" xfId="0" applyNumberFormat="1" applyFont="1" applyFill="1" applyBorder="1" applyAlignment="1">
      <alignment horizontal="right" vertical="center" wrapText="1" indent="2"/>
    </xf>
    <xf numFmtId="1" fontId="0" fillId="3" borderId="13" xfId="0" applyNumberFormat="1" applyFill="1" applyBorder="1" applyAlignment="1">
      <alignment horizontal="right" indent="2"/>
    </xf>
    <xf numFmtId="0" fontId="4" fillId="3" borderId="11" xfId="0" applyFont="1"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1" fillId="0" borderId="0" xfId="0" applyFont="1" applyAlignment="1">
      <alignment wrapText="1"/>
    </xf>
    <xf numFmtId="0" fontId="4" fillId="6" borderId="0" xfId="0" applyFont="1" applyFill="1" applyAlignment="1">
      <alignment horizontal="justify" vertical="top" wrapText="1"/>
    </xf>
    <xf numFmtId="0" fontId="0" fillId="0" borderId="0" xfId="0" applyAlignment="1">
      <alignment horizontal="justify" vertical="top" wrapText="1"/>
    </xf>
    <xf numFmtId="0" fontId="0" fillId="0" borderId="31" xfId="0" applyBorder="1" applyAlignment="1">
      <alignment wrapText="1"/>
    </xf>
    <xf numFmtId="3" fontId="15" fillId="0" borderId="17" xfId="0" applyNumberFormat="1" applyFont="1" applyBorder="1" applyAlignment="1">
      <alignment horizontal="right" indent="3"/>
    </xf>
    <xf numFmtId="0" fontId="15" fillId="0" borderId="18" xfId="0" applyFont="1" applyBorder="1"/>
    <xf numFmtId="0" fontId="15" fillId="0" borderId="19" xfId="0" applyFont="1" applyBorder="1"/>
    <xf numFmtId="168" fontId="15" fillId="0" borderId="47" xfId="3" applyNumberFormat="1" applyFont="1" applyBorder="1" applyAlignment="1">
      <alignment horizontal="right" indent="2"/>
    </xf>
    <xf numFmtId="168" fontId="15" fillId="0" borderId="25" xfId="3" applyNumberFormat="1" applyFont="1" applyBorder="1" applyAlignment="1">
      <alignment horizontal="right" indent="2"/>
    </xf>
    <xf numFmtId="168" fontId="11" fillId="3" borderId="1" xfId="0" applyNumberFormat="1" applyFont="1" applyFill="1" applyBorder="1" applyAlignment="1">
      <alignment horizontal="right" vertical="center" indent="2"/>
    </xf>
    <xf numFmtId="0" fontId="75" fillId="0" borderId="9" xfId="0" applyFont="1" applyBorder="1" applyAlignment="1">
      <alignment horizontal="left" wrapText="1"/>
    </xf>
    <xf numFmtId="0" fontId="75" fillId="0" borderId="0" xfId="0" applyFont="1" applyAlignment="1">
      <alignment horizontal="left" wrapText="1"/>
    </xf>
    <xf numFmtId="0" fontId="53" fillId="0" borderId="9" xfId="0" applyFont="1" applyBorder="1" applyAlignment="1">
      <alignment wrapText="1"/>
    </xf>
    <xf numFmtId="0" fontId="53" fillId="0" borderId="0" xfId="0" applyFont="1" applyAlignment="1">
      <alignment wrapText="1"/>
    </xf>
    <xf numFmtId="0" fontId="26" fillId="11" borderId="86" xfId="0" applyFont="1" applyFill="1" applyBorder="1" applyAlignment="1">
      <alignment horizontal="center" vertical="center"/>
    </xf>
    <xf numFmtId="0" fontId="53" fillId="11" borderId="0" xfId="0" applyFont="1" applyFill="1" applyAlignment="1">
      <alignment horizontal="center" vertical="center"/>
    </xf>
    <xf numFmtId="0" fontId="53" fillId="11" borderId="0" xfId="0" applyFont="1" applyFill="1"/>
    <xf numFmtId="0" fontId="0" fillId="0" borderId="0" xfId="0"/>
    <xf numFmtId="0" fontId="0" fillId="0" borderId="87" xfId="0" applyBorder="1"/>
    <xf numFmtId="0" fontId="4" fillId="11" borderId="0" xfId="0" applyFont="1" applyFill="1" applyAlignment="1">
      <alignment horizontal="justify" vertical="center" wrapText="1"/>
    </xf>
    <xf numFmtId="0" fontId="1" fillId="11" borderId="0" xfId="0" applyFont="1" applyFill="1" applyAlignment="1">
      <alignment horizontal="justify" vertical="center" wrapText="1"/>
    </xf>
    <xf numFmtId="0" fontId="29" fillId="6" borderId="0" xfId="0" applyFont="1" applyFill="1"/>
    <xf numFmtId="0" fontId="4" fillId="11" borderId="58" xfId="0" applyFont="1" applyFill="1" applyBorder="1" applyAlignment="1">
      <alignment horizontal="justify" wrapText="1"/>
    </xf>
    <xf numFmtId="0" fontId="1" fillId="11" borderId="58" xfId="0" applyFont="1" applyFill="1" applyBorder="1" applyAlignment="1">
      <alignment horizontal="justify" wrapText="1"/>
    </xf>
    <xf numFmtId="0" fontId="4" fillId="11" borderId="0" xfId="0" applyFont="1" applyFill="1" applyAlignment="1">
      <alignment horizontal="justify" wrapText="1"/>
    </xf>
    <xf numFmtId="0" fontId="47" fillId="11" borderId="0" xfId="0" applyFont="1" applyFill="1" applyAlignment="1">
      <alignment horizontal="justify" wrapText="1"/>
    </xf>
    <xf numFmtId="0" fontId="57" fillId="6" borderId="0" xfId="0" quotePrefix="1" applyFont="1" applyFill="1" applyAlignment="1">
      <alignment horizontal="center" vertical="center"/>
    </xf>
    <xf numFmtId="0" fontId="57" fillId="6" borderId="0" xfId="0" applyFont="1" applyFill="1" applyAlignment="1">
      <alignment horizontal="center" vertical="center"/>
    </xf>
    <xf numFmtId="172" fontId="11" fillId="0" borderId="67" xfId="0" applyNumberFormat="1" applyFont="1" applyBorder="1" applyAlignment="1">
      <alignment horizontal="right" vertical="center" wrapText="1" indent="3"/>
    </xf>
    <xf numFmtId="0" fontId="0" fillId="0" borderId="15" xfId="0" applyBorder="1" applyAlignment="1">
      <alignment horizontal="right" vertical="center" wrapText="1" indent="3"/>
    </xf>
    <xf numFmtId="0" fontId="0" fillId="0" borderId="53" xfId="0" applyBorder="1" applyAlignment="1">
      <alignment horizontal="right" vertical="center" wrapText="1" indent="3"/>
    </xf>
    <xf numFmtId="3" fontId="4" fillId="0" borderId="68" xfId="0" applyNumberFormat="1" applyFont="1" applyBorder="1" applyAlignment="1">
      <alignment horizontal="right" vertical="center" indent="3"/>
    </xf>
    <xf numFmtId="0" fontId="0" fillId="0" borderId="23" xfId="0" applyBorder="1" applyAlignment="1">
      <alignment horizontal="right" vertical="center" indent="3"/>
    </xf>
    <xf numFmtId="0" fontId="0" fillId="0" borderId="69" xfId="0" applyBorder="1" applyAlignment="1">
      <alignment horizontal="right" vertical="center" indent="3"/>
    </xf>
    <xf numFmtId="3" fontId="14" fillId="3" borderId="11" xfId="0" applyNumberFormat="1" applyFont="1" applyFill="1" applyBorder="1" applyAlignment="1">
      <alignment horizontal="right" vertical="center" indent="3"/>
    </xf>
    <xf numFmtId="3" fontId="14" fillId="3" borderId="12" xfId="0" applyNumberFormat="1" applyFont="1" applyFill="1" applyBorder="1" applyAlignment="1">
      <alignment horizontal="right" vertical="center" indent="3"/>
    </xf>
    <xf numFmtId="3" fontId="14" fillId="3" borderId="13" xfId="0" applyNumberFormat="1" applyFont="1" applyFill="1" applyBorder="1" applyAlignment="1">
      <alignment horizontal="right" vertical="center" indent="3"/>
    </xf>
    <xf numFmtId="0" fontId="4" fillId="6" borderId="0" xfId="0" applyFont="1" applyFill="1" applyAlignment="1">
      <alignment horizontal="justify" vertical="center" wrapText="1"/>
    </xf>
    <xf numFmtId="0" fontId="51" fillId="0" borderId="26"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50" xfId="0" applyFont="1" applyBorder="1" applyAlignment="1">
      <alignment horizontal="center" vertical="center" wrapText="1"/>
    </xf>
    <xf numFmtId="0" fontId="4" fillId="3" borderId="71" xfId="0" applyFont="1" applyFill="1" applyBorder="1" applyAlignment="1">
      <alignment horizontal="center" vertical="center" wrapText="1"/>
    </xf>
    <xf numFmtId="0" fontId="0" fillId="0" borderId="57" xfId="0" applyBorder="1" applyAlignment="1">
      <alignment horizontal="center" vertical="center" wrapText="1"/>
    </xf>
    <xf numFmtId="0" fontId="66" fillId="6" borderId="0" xfId="0" applyFont="1" applyFill="1" applyAlignment="1">
      <alignment horizontal="left" wrapText="1" indent="1"/>
    </xf>
    <xf numFmtId="0" fontId="17" fillId="6" borderId="0" xfId="0" applyFont="1" applyFill="1" applyAlignment="1">
      <alignment horizontal="left" indent="1"/>
    </xf>
    <xf numFmtId="0" fontId="4" fillId="6" borderId="0" xfId="0" applyFont="1" applyFill="1" applyAlignment="1">
      <alignment wrapText="1"/>
    </xf>
    <xf numFmtId="0" fontId="12" fillId="6" borderId="0" xfId="0" applyFont="1" applyFill="1" applyAlignment="1">
      <alignment horizontal="justify" vertical="top" wrapText="1"/>
    </xf>
    <xf numFmtId="0" fontId="11" fillId="10" borderId="66" xfId="0" applyFont="1" applyFill="1" applyBorder="1" applyAlignment="1">
      <alignment horizontal="right" vertical="center" wrapText="1" indent="3"/>
    </xf>
    <xf numFmtId="171" fontId="4" fillId="6" borderId="12" xfId="0" applyNumberFormat="1" applyFont="1" applyFill="1" applyBorder="1" applyAlignment="1">
      <alignment horizontal="right" vertical="center" indent="3"/>
    </xf>
    <xf numFmtId="0" fontId="11" fillId="3" borderId="38" xfId="0" applyFont="1" applyFill="1" applyBorder="1" applyAlignment="1">
      <alignment horizontal="center" vertical="center" wrapText="1"/>
    </xf>
    <xf numFmtId="0" fontId="0" fillId="0" borderId="45" xfId="0" applyBorder="1" applyAlignment="1">
      <alignment horizontal="center" vertical="center" wrapText="1"/>
    </xf>
    <xf numFmtId="0" fontId="26" fillId="5" borderId="9"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justify" vertical="center" wrapText="1"/>
    </xf>
    <xf numFmtId="0" fontId="4" fillId="6" borderId="58" xfId="0" applyFont="1" applyFill="1" applyBorder="1" applyAlignment="1">
      <alignment horizontal="justify" vertical="top" wrapText="1"/>
    </xf>
    <xf numFmtId="0" fontId="0" fillId="0" borderId="58" xfId="0" applyBorder="1" applyAlignment="1">
      <alignment horizontal="justify" wrapText="1"/>
    </xf>
    <xf numFmtId="0" fontId="67" fillId="0" borderId="58" xfId="2" applyFont="1" applyBorder="1" applyAlignment="1" applyProtection="1">
      <alignment horizontal="right" vertical="center"/>
    </xf>
    <xf numFmtId="0" fontId="56" fillId="0" borderId="58" xfId="0" applyFont="1" applyBorder="1" applyAlignment="1">
      <alignment horizontal="right" vertical="center"/>
    </xf>
    <xf numFmtId="0" fontId="4" fillId="0" borderId="0" xfId="0" applyFont="1" applyAlignment="1">
      <alignment horizontal="right"/>
    </xf>
    <xf numFmtId="0" fontId="26" fillId="0" borderId="7" xfId="0" applyFont="1" applyBorder="1" applyAlignment="1">
      <alignment horizontal="center" vertical="center"/>
    </xf>
    <xf numFmtId="0" fontId="15" fillId="0" borderId="0" xfId="0" applyFont="1" applyAlignment="1">
      <alignment vertical="center" wrapText="1"/>
    </xf>
    <xf numFmtId="0" fontId="12" fillId="0" borderId="0" xfId="0" applyFont="1" applyAlignment="1">
      <alignment vertical="center" wrapText="1"/>
    </xf>
    <xf numFmtId="0" fontId="15" fillId="7" borderId="5" xfId="0" applyFont="1" applyFill="1" applyBorder="1" applyAlignment="1">
      <alignment horizontal="center" vertical="center" wrapText="1"/>
    </xf>
    <xf numFmtId="0" fontId="4" fillId="0" borderId="0" xfId="0" applyFont="1" applyAlignment="1">
      <alignment wrapText="1"/>
    </xf>
    <xf numFmtId="0" fontId="41" fillId="11" borderId="14" xfId="0" applyFont="1" applyFill="1" applyBorder="1" applyAlignment="1">
      <alignment horizontal="center" vertical="center" wrapText="1"/>
    </xf>
    <xf numFmtId="0" fontId="41" fillId="11" borderId="15" xfId="0" applyFont="1" applyFill="1" applyBorder="1" applyAlignment="1">
      <alignment horizontal="center" vertical="center" wrapText="1"/>
    </xf>
    <xf numFmtId="0" fontId="41" fillId="11" borderId="16"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41" fillId="7" borderId="14" xfId="0" quotePrefix="1" applyFont="1" applyFill="1" applyBorder="1" applyAlignment="1">
      <alignment horizontal="center" vertical="center"/>
    </xf>
    <xf numFmtId="0" fontId="0" fillId="7" borderId="15" xfId="0" applyFill="1" applyBorder="1" applyAlignment="1">
      <alignment horizontal="center" vertical="center"/>
    </xf>
    <xf numFmtId="0" fontId="0" fillId="0" borderId="15" xfId="0" applyBorder="1"/>
    <xf numFmtId="0" fontId="15" fillId="11" borderId="5" xfId="0" applyFont="1" applyFill="1" applyBorder="1" applyAlignment="1">
      <alignment horizontal="center" vertical="center" wrapText="1"/>
    </xf>
    <xf numFmtId="0" fontId="14" fillId="9" borderId="64" xfId="0" applyFont="1" applyFill="1" applyBorder="1" applyAlignment="1">
      <alignment horizontal="left" vertical="center" wrapText="1" indent="1"/>
    </xf>
    <xf numFmtId="0" fontId="14" fillId="9" borderId="65" xfId="0" applyFont="1" applyFill="1" applyBorder="1" applyAlignment="1">
      <alignment horizontal="left" vertical="center" wrapText="1" indent="1"/>
    </xf>
    <xf numFmtId="0" fontId="4" fillId="3" borderId="38"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0" fillId="3" borderId="50" xfId="0" applyFill="1" applyBorder="1" applyAlignment="1">
      <alignment horizontal="center" vertical="center" wrapText="1"/>
    </xf>
    <xf numFmtId="0" fontId="4" fillId="0" borderId="0" xfId="0" applyFont="1" applyAlignment="1">
      <alignment horizontal="left" wrapText="1"/>
    </xf>
    <xf numFmtId="0" fontId="54" fillId="0" borderId="0" xfId="0" applyFont="1" applyAlignment="1">
      <alignment horizontal="center" vertical="center" wrapText="1" readingOrder="1"/>
    </xf>
    <xf numFmtId="0" fontId="55" fillId="0" borderId="2" xfId="0" applyFont="1" applyBorder="1" applyAlignment="1">
      <alignment horizontal="center" vertical="center" readingOrder="1"/>
    </xf>
    <xf numFmtId="0" fontId="0" fillId="0" borderId="2" xfId="0" applyBorder="1" applyAlignment="1">
      <alignment horizontal="center" vertical="center"/>
    </xf>
    <xf numFmtId="0" fontId="42" fillId="0" borderId="0" xfId="0" applyFont="1" applyAlignment="1">
      <alignment wrapText="1"/>
    </xf>
    <xf numFmtId="0" fontId="18" fillId="6" borderId="0" xfId="0" applyFont="1" applyFill="1" applyAlignment="1">
      <alignment horizontal="left" wrapText="1" indent="1"/>
    </xf>
    <xf numFmtId="0" fontId="0" fillId="6" borderId="0" xfId="0" applyFill="1" applyAlignment="1">
      <alignment horizontal="left" wrapText="1" indent="1"/>
    </xf>
    <xf numFmtId="0" fontId="0" fillId="6" borderId="0" xfId="0" applyFill="1" applyAlignment="1">
      <alignment horizontal="left" vertical="center" wrapText="1" indent="1"/>
    </xf>
  </cellXfs>
  <cellStyles count="4">
    <cellStyle name="Comma" xfId="1" builtinId="3"/>
    <cellStyle name="Hyperlink" xfId="2" builtinId="8"/>
    <cellStyle name="Normal" xfId="0" builtinId="0"/>
    <cellStyle name="Percent" xfId="3" builtinId="5"/>
  </cellStyles>
  <dxfs count="0"/>
  <tableStyles count="0" defaultTableStyle="TableStyleMedium9" defaultPivotStyle="PivotStyleLight16"/>
  <colors>
    <mruColors>
      <color rgb="FFFFFFCC"/>
      <color rgb="FFCCECFF"/>
      <color rgb="FF00CC00"/>
      <color rgb="FF0000CC"/>
      <color rgb="FF3333FF"/>
      <color rgb="FFCCFFFF"/>
      <color rgb="FFCCFFCC"/>
      <color rgb="FF000000"/>
      <color rgb="FF92D050"/>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792480</xdr:colOff>
      <xdr:row>252</xdr:row>
      <xdr:rowOff>0</xdr:rowOff>
    </xdr:from>
    <xdr:to>
      <xdr:col>18</xdr:col>
      <xdr:colOff>807720</xdr:colOff>
      <xdr:row>254</xdr:row>
      <xdr:rowOff>0</xdr:rowOff>
    </xdr:to>
    <xdr:cxnSp macro="">
      <xdr:nvCxnSpPr>
        <xdr:cNvPr id="12" name="Straight Arrow Connector 11">
          <a:extLst>
            <a:ext uri="{FF2B5EF4-FFF2-40B4-BE49-F238E27FC236}">
              <a16:creationId xmlns:a16="http://schemas.microsoft.com/office/drawing/2014/main" id="{1CB5F42F-C2A1-4F8C-AFEB-DC71D491B3A6}"/>
            </a:ext>
          </a:extLst>
        </xdr:cNvPr>
        <xdr:cNvCxnSpPr/>
      </xdr:nvCxnSpPr>
      <xdr:spPr>
        <a:xfrm flipH="1" flipV="1">
          <a:off x="10629900" y="55626000"/>
          <a:ext cx="15240" cy="3200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229930</xdr:colOff>
      <xdr:row>58</xdr:row>
      <xdr:rowOff>66454</xdr:rowOff>
    </xdr:from>
    <xdr:to>
      <xdr:col>20</xdr:col>
      <xdr:colOff>343343</xdr:colOff>
      <xdr:row>60</xdr:row>
      <xdr:rowOff>30568</xdr:rowOff>
    </xdr:to>
    <xdr:cxnSp macro="">
      <xdr:nvCxnSpPr>
        <xdr:cNvPr id="6" name="Straight Arrow Connector 5">
          <a:extLst>
            <a:ext uri="{FF2B5EF4-FFF2-40B4-BE49-F238E27FC236}">
              <a16:creationId xmlns:a16="http://schemas.microsoft.com/office/drawing/2014/main" id="{03C79C55-2DCE-45CB-9D09-9573610D16E2}"/>
            </a:ext>
          </a:extLst>
        </xdr:cNvPr>
        <xdr:cNvCxnSpPr/>
      </xdr:nvCxnSpPr>
      <xdr:spPr>
        <a:xfrm flipV="1">
          <a:off x="13343418" y="16624448"/>
          <a:ext cx="113413" cy="506818"/>
        </a:xfrm>
        <a:prstGeom prst="straightConnector1">
          <a:avLst/>
        </a:prstGeom>
        <a:ln w="12700">
          <a:solidFill>
            <a:srgbClr val="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387646</xdr:colOff>
      <xdr:row>58</xdr:row>
      <xdr:rowOff>11076</xdr:rowOff>
    </xdr:from>
    <xdr:to>
      <xdr:col>21</xdr:col>
      <xdr:colOff>387646</xdr:colOff>
      <xdr:row>59</xdr:row>
      <xdr:rowOff>33227</xdr:rowOff>
    </xdr:to>
    <xdr:cxnSp macro="">
      <xdr:nvCxnSpPr>
        <xdr:cNvPr id="7" name="Straight Arrow Connector 6">
          <a:extLst>
            <a:ext uri="{FF2B5EF4-FFF2-40B4-BE49-F238E27FC236}">
              <a16:creationId xmlns:a16="http://schemas.microsoft.com/office/drawing/2014/main" id="{BCE6A635-6EDD-400E-90EB-233E2D1117E7}"/>
            </a:ext>
          </a:extLst>
        </xdr:cNvPr>
        <xdr:cNvCxnSpPr/>
      </xdr:nvCxnSpPr>
      <xdr:spPr>
        <a:xfrm flipV="1">
          <a:off x="14298576" y="16569070"/>
          <a:ext cx="0" cy="254738"/>
        </a:xfrm>
        <a:prstGeom prst="straightConnector1">
          <a:avLst/>
        </a:prstGeom>
        <a:ln w="12700">
          <a:solidFill>
            <a:srgbClr val="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1803327</xdr:colOff>
      <xdr:row>59</xdr:row>
      <xdr:rowOff>179426</xdr:rowOff>
    </xdr:from>
    <xdr:to>
      <xdr:col>19</xdr:col>
      <xdr:colOff>144206</xdr:colOff>
      <xdr:row>62</xdr:row>
      <xdr:rowOff>9525</xdr:rowOff>
    </xdr:to>
    <xdr:sp macro="" textlink="">
      <xdr:nvSpPr>
        <xdr:cNvPr id="9" name="TextBox 8">
          <a:extLst>
            <a:ext uri="{FF2B5EF4-FFF2-40B4-BE49-F238E27FC236}">
              <a16:creationId xmlns:a16="http://schemas.microsoft.com/office/drawing/2014/main" id="{92AC48F2-5C2C-4D51-81AE-7F3AA8A60D51}"/>
            </a:ext>
          </a:extLst>
        </xdr:cNvPr>
        <xdr:cNvSpPr txBox="1"/>
      </xdr:nvSpPr>
      <xdr:spPr>
        <a:xfrm>
          <a:off x="10962833" y="16970007"/>
          <a:ext cx="1630326" cy="6053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CA" sz="1100"/>
            <a:t>District seats + Top-Up seats for </a:t>
          </a:r>
          <a:r>
            <a:rPr lang="en-CA" sz="1000">
              <a:latin typeface="Arial" panose="020B0604020202020204" pitchFamily="34" charset="0"/>
              <a:cs typeface="Arial" panose="020B0604020202020204" pitchFamily="34" charset="0"/>
            </a:rPr>
            <a:t>under-represented</a:t>
          </a:r>
          <a:r>
            <a:rPr lang="en-CA" sz="1100"/>
            <a:t> parties (+/- rounding)</a:t>
          </a:r>
        </a:p>
      </xdr:txBody>
    </xdr:sp>
    <xdr:clientData/>
  </xdr:twoCellAnchor>
  <xdr:twoCellAnchor>
    <xdr:from>
      <xdr:col>18</xdr:col>
      <xdr:colOff>542704</xdr:colOff>
      <xdr:row>58</xdr:row>
      <xdr:rowOff>22151</xdr:rowOff>
    </xdr:from>
    <xdr:to>
      <xdr:col>19</xdr:col>
      <xdr:colOff>252744</xdr:colOff>
      <xdr:row>59</xdr:row>
      <xdr:rowOff>254739</xdr:rowOff>
    </xdr:to>
    <xdr:cxnSp macro="">
      <xdr:nvCxnSpPr>
        <xdr:cNvPr id="10" name="Straight Arrow Connector 9">
          <a:extLst>
            <a:ext uri="{FF2B5EF4-FFF2-40B4-BE49-F238E27FC236}">
              <a16:creationId xmlns:a16="http://schemas.microsoft.com/office/drawing/2014/main" id="{C5147BFF-F3E2-4358-AFC3-6C7B9F6BE08F}"/>
            </a:ext>
          </a:extLst>
        </xdr:cNvPr>
        <xdr:cNvCxnSpPr/>
      </xdr:nvCxnSpPr>
      <xdr:spPr>
        <a:xfrm flipV="1">
          <a:off x="12393576" y="16580145"/>
          <a:ext cx="308121" cy="465175"/>
        </a:xfrm>
        <a:prstGeom prst="straightConnector1">
          <a:avLst/>
        </a:prstGeom>
        <a:ln w="12700">
          <a:solidFill>
            <a:srgbClr val="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354419</xdr:colOff>
      <xdr:row>60</xdr:row>
      <xdr:rowOff>11076</xdr:rowOff>
    </xdr:from>
    <xdr:to>
      <xdr:col>21</xdr:col>
      <xdr:colOff>719914</xdr:colOff>
      <xdr:row>63</xdr:row>
      <xdr:rowOff>121832</xdr:rowOff>
    </xdr:to>
    <xdr:sp macro="" textlink="">
      <xdr:nvSpPr>
        <xdr:cNvPr id="3" name="TextBox 2">
          <a:extLst>
            <a:ext uri="{FF2B5EF4-FFF2-40B4-BE49-F238E27FC236}">
              <a16:creationId xmlns:a16="http://schemas.microsoft.com/office/drawing/2014/main" id="{6729B29E-42B3-4F2A-1E0A-CFD103C80911}"/>
            </a:ext>
          </a:extLst>
        </xdr:cNvPr>
        <xdr:cNvSpPr txBox="1"/>
      </xdr:nvSpPr>
      <xdr:spPr>
        <a:xfrm>
          <a:off x="12803372" y="17111774"/>
          <a:ext cx="1827472" cy="7863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a:t>Votes are added to under-represented political parties to produce proportional representation.</a:t>
          </a:r>
        </a:p>
      </xdr:txBody>
    </xdr:sp>
    <xdr:clientData/>
  </xdr:twoCellAnchor>
  <xdr:twoCellAnchor>
    <xdr:from>
      <xdr:col>11</xdr:col>
      <xdr:colOff>575930</xdr:colOff>
      <xdr:row>47</xdr:row>
      <xdr:rowOff>0</xdr:rowOff>
    </xdr:from>
    <xdr:to>
      <xdr:col>15</xdr:col>
      <xdr:colOff>254738</xdr:colOff>
      <xdr:row>51</xdr:row>
      <xdr:rowOff>99680</xdr:rowOff>
    </xdr:to>
    <xdr:sp macro="" textlink="">
      <xdr:nvSpPr>
        <xdr:cNvPr id="13" name="Arrow: Right 12">
          <a:extLst>
            <a:ext uri="{FF2B5EF4-FFF2-40B4-BE49-F238E27FC236}">
              <a16:creationId xmlns:a16="http://schemas.microsoft.com/office/drawing/2014/main" id="{82DBACFA-A1C7-C8F4-690D-DA10F2E1BEA5}"/>
            </a:ext>
          </a:extLst>
        </xdr:cNvPr>
        <xdr:cNvSpPr/>
      </xdr:nvSpPr>
      <xdr:spPr>
        <a:xfrm>
          <a:off x="8085174" y="14132442"/>
          <a:ext cx="952500" cy="919273"/>
        </a:xfrm>
        <a:prstGeom prst="rightArrow">
          <a:avLst/>
        </a:prstGeom>
        <a:solidFill>
          <a:srgbClr val="FFFFCC"/>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11</xdr:col>
      <xdr:colOff>577260</xdr:colOff>
      <xdr:row>48</xdr:row>
      <xdr:rowOff>19050</xdr:rowOff>
    </xdr:from>
    <xdr:to>
      <xdr:col>15</xdr:col>
      <xdr:colOff>45632</xdr:colOff>
      <xdr:row>50</xdr:row>
      <xdr:rowOff>107655</xdr:rowOff>
    </xdr:to>
    <xdr:sp macro="" textlink="">
      <xdr:nvSpPr>
        <xdr:cNvPr id="14" name="TextBox 13">
          <a:extLst>
            <a:ext uri="{FF2B5EF4-FFF2-40B4-BE49-F238E27FC236}">
              <a16:creationId xmlns:a16="http://schemas.microsoft.com/office/drawing/2014/main" id="{41F0A5B8-03ED-1AFA-805E-75DE188EB9B9}"/>
            </a:ext>
          </a:extLst>
        </xdr:cNvPr>
        <xdr:cNvSpPr txBox="1"/>
      </xdr:nvSpPr>
      <xdr:spPr>
        <a:xfrm>
          <a:off x="8063910" y="14373225"/>
          <a:ext cx="754247" cy="507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en-CA" sz="1400"/>
            <a:t>Quick Results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285751</xdr:colOff>
      <xdr:row>94</xdr:row>
      <xdr:rowOff>7327</xdr:rowOff>
    </xdr:from>
    <xdr:to>
      <xdr:col>13</xdr:col>
      <xdr:colOff>200465</xdr:colOff>
      <xdr:row>96</xdr:row>
      <xdr:rowOff>51289</xdr:rowOff>
    </xdr:to>
    <xdr:sp macro="" textlink="">
      <xdr:nvSpPr>
        <xdr:cNvPr id="7175" name="Text Box 7">
          <a:extLst>
            <a:ext uri="{FF2B5EF4-FFF2-40B4-BE49-F238E27FC236}">
              <a16:creationId xmlns:a16="http://schemas.microsoft.com/office/drawing/2014/main" id="{00000000-0008-0000-0100-0000071C0000}"/>
            </a:ext>
          </a:extLst>
        </xdr:cNvPr>
        <xdr:cNvSpPr txBox="1">
          <a:spLocks noChangeArrowheads="1"/>
        </xdr:cNvSpPr>
      </xdr:nvSpPr>
      <xdr:spPr bwMode="auto">
        <a:xfrm>
          <a:off x="8916866" y="27769039"/>
          <a:ext cx="1511984" cy="395654"/>
        </a:xfrm>
        <a:prstGeom prst="rect">
          <a:avLst/>
        </a:prstGeom>
        <a:solidFill>
          <a:schemeClr val="accent6">
            <a:lumMod val="20000"/>
            <a:lumOff val="80000"/>
          </a:schemeClr>
        </a:solidFill>
        <a:ln w="9525">
          <a:noFill/>
          <a:miter lim="800000"/>
          <a:headEnd/>
          <a:tailEnd/>
        </a:ln>
      </xdr:spPr>
      <xdr:txBody>
        <a:bodyPr vertOverflow="clip" wrap="square" lIns="36576" tIns="27432" rIns="0" bIns="0" anchor="t" upright="1"/>
        <a:lstStyle/>
        <a:p>
          <a:pPr algn="ctr" rtl="0">
            <a:defRPr sz="1000"/>
          </a:pPr>
          <a:r>
            <a:rPr lang="en-US" sz="1100" b="0" i="0" u="none" strike="noStrike" baseline="0">
              <a:solidFill>
                <a:srgbClr val="000000"/>
              </a:solidFill>
              <a:latin typeface="Arial"/>
              <a:cs typeface="Arial"/>
            </a:rPr>
            <a:t>Entitlement div. by number of Members</a:t>
          </a:r>
        </a:p>
        <a:p>
          <a:pPr algn="ctr" rtl="0">
            <a:defRPr sz="1000"/>
          </a:pPr>
          <a:r>
            <a:rPr lang="en-US" sz="1100" b="0" i="0" u="none" strike="noStrike" baseline="0">
              <a:solidFill>
                <a:srgbClr val="000000"/>
              </a:solidFill>
              <a:latin typeface="Arial"/>
              <a:cs typeface="Arial"/>
            </a:rPr>
            <a:t>s. </a:t>
          </a:r>
        </a:p>
      </xdr:txBody>
    </xdr:sp>
    <xdr:clientData/>
  </xdr:twoCellAnchor>
  <xdr:twoCellAnchor>
    <xdr:from>
      <xdr:col>12</xdr:col>
      <xdr:colOff>309050</xdr:colOff>
      <xdr:row>93</xdr:row>
      <xdr:rowOff>15240</xdr:rowOff>
    </xdr:from>
    <xdr:to>
      <xdr:col>12</xdr:col>
      <xdr:colOff>405766</xdr:colOff>
      <xdr:row>94</xdr:row>
      <xdr:rowOff>7327</xdr:rowOff>
    </xdr:to>
    <xdr:cxnSp macro="">
      <xdr:nvCxnSpPr>
        <xdr:cNvPr id="4" name="Straight Arrow Connector 3">
          <a:extLst>
            <a:ext uri="{FF2B5EF4-FFF2-40B4-BE49-F238E27FC236}">
              <a16:creationId xmlns:a16="http://schemas.microsoft.com/office/drawing/2014/main" id="{D5C77F72-B999-4B03-A6DE-395B0059E224}"/>
            </a:ext>
          </a:extLst>
        </xdr:cNvPr>
        <xdr:cNvCxnSpPr>
          <a:stCxn id="7175" idx="0"/>
        </xdr:cNvCxnSpPr>
      </xdr:nvCxnSpPr>
      <xdr:spPr>
        <a:xfrm flipV="1">
          <a:off x="9672858" y="27579125"/>
          <a:ext cx="96716" cy="189914"/>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makedemocracybetter.com/" TargetMode="External"/><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69"/>
  <sheetViews>
    <sheetView showGridLines="0" tabSelected="1" zoomScaleNormal="100" workbookViewId="0">
      <pane ySplit="1" topLeftCell="A36" activePane="bottomLeft" state="frozen"/>
      <selection pane="bottomLeft" activeCell="N39" sqref="N39"/>
    </sheetView>
  </sheetViews>
  <sheetFormatPr defaultRowHeight="12.75" x14ac:dyDescent="0.2"/>
  <cols>
    <col min="1" max="1" width="4.42578125" customWidth="1"/>
    <col min="2" max="2" width="2.28515625" customWidth="1"/>
    <col min="3" max="3" width="2" style="1" customWidth="1"/>
    <col min="4" max="4" width="7.85546875" customWidth="1"/>
    <col min="5" max="5" width="35.140625" customWidth="1"/>
    <col min="6" max="6" width="16.140625" customWidth="1"/>
    <col min="7" max="7" width="3.42578125" customWidth="1"/>
    <col min="8" max="8" width="10.28515625" customWidth="1"/>
    <col min="9" max="9" width="3.28515625" customWidth="1"/>
    <col min="10" max="10" width="14.7109375" customWidth="1"/>
    <col min="11" max="11" width="12.7109375" customWidth="1"/>
    <col min="12" max="12" width="11" customWidth="1"/>
    <col min="13" max="13" width="3.140625" customWidth="1"/>
    <col min="14" max="15" width="2.5703125" customWidth="1"/>
    <col min="16" max="16" width="5.5703125" customWidth="1"/>
    <col min="17" max="17" width="28.7109375" customWidth="1"/>
    <col min="18" max="18" width="11.5703125" customWidth="1"/>
    <col min="19" max="19" width="9" customWidth="1"/>
    <col min="20" max="20" width="10" customWidth="1"/>
    <col min="21" max="21" width="12" customWidth="1"/>
    <col min="22" max="22" width="12.42578125" customWidth="1"/>
    <col min="23" max="23" width="11" customWidth="1"/>
    <col min="24" max="24" width="12.7109375" customWidth="1"/>
    <col min="25" max="25" width="12" customWidth="1"/>
    <col min="26" max="26" width="11.140625" customWidth="1"/>
    <col min="27" max="27" width="14.140625" customWidth="1"/>
    <col min="28" max="28" width="11.140625" customWidth="1"/>
    <col min="29" max="29" width="12.5703125" customWidth="1"/>
    <col min="30" max="30" width="12" customWidth="1"/>
    <col min="31" max="31" width="11.42578125" customWidth="1"/>
    <col min="32" max="32" width="11.140625" customWidth="1"/>
    <col min="33" max="33" width="12" customWidth="1"/>
    <col min="34" max="34" width="12.42578125" customWidth="1"/>
    <col min="35" max="35" width="11.42578125" customWidth="1"/>
    <col min="36" max="36" width="10.42578125" bestFit="1" customWidth="1"/>
    <col min="37" max="38" width="11.7109375" customWidth="1"/>
    <col min="40" max="40" width="11.28515625" customWidth="1"/>
    <col min="41" max="41" width="11.42578125" customWidth="1"/>
    <col min="44" max="44" width="11.85546875" customWidth="1"/>
    <col min="45" max="45" width="12.5703125" customWidth="1"/>
    <col min="47" max="47" width="2.28515625" customWidth="1"/>
    <col min="48" max="48" width="11.42578125" customWidth="1"/>
    <col min="49" max="49" width="10.5703125" customWidth="1"/>
  </cols>
  <sheetData>
    <row r="1" spans="1:26" ht="27" customHeight="1" x14ac:dyDescent="0.2">
      <c r="E1" s="674" t="s">
        <v>43</v>
      </c>
    </row>
    <row r="2" spans="1:26" ht="14.25" customHeight="1" thickBot="1" x14ac:dyDescent="0.25"/>
    <row r="3" spans="1:26" ht="12.75" customHeight="1" x14ac:dyDescent="0.2">
      <c r="A3" t="s">
        <v>41</v>
      </c>
      <c r="C3" s="394"/>
      <c r="D3" s="395" t="s">
        <v>1</v>
      </c>
      <c r="E3" s="395"/>
      <c r="F3" s="395"/>
      <c r="G3" s="395"/>
      <c r="H3" s="395"/>
      <c r="I3" s="395"/>
      <c r="J3" s="395"/>
      <c r="K3" s="395"/>
      <c r="L3" s="395"/>
      <c r="M3" s="395"/>
      <c r="N3" s="396"/>
    </row>
    <row r="4" spans="1:26" ht="26.25" x14ac:dyDescent="0.2">
      <c r="A4" s="63" t="s">
        <v>1</v>
      </c>
      <c r="B4" s="63"/>
      <c r="C4" s="862" t="s">
        <v>165</v>
      </c>
      <c r="D4" s="863"/>
      <c r="E4" s="863"/>
      <c r="F4" s="863"/>
      <c r="G4" s="863"/>
      <c r="H4" s="863"/>
      <c r="I4" s="863"/>
      <c r="J4" s="864"/>
      <c r="K4" s="864"/>
      <c r="L4" s="865"/>
      <c r="M4" s="865"/>
      <c r="N4" s="866"/>
    </row>
    <row r="5" spans="1:26" ht="81.75" customHeight="1" x14ac:dyDescent="0.4">
      <c r="A5" s="63"/>
      <c r="B5" s="63"/>
      <c r="C5" s="397"/>
      <c r="D5" s="872" t="s">
        <v>237</v>
      </c>
      <c r="E5" s="873"/>
      <c r="F5" s="873"/>
      <c r="G5" s="873"/>
      <c r="H5" s="873"/>
      <c r="I5" s="873"/>
      <c r="J5" s="873"/>
      <c r="K5" s="873"/>
      <c r="L5" s="873"/>
      <c r="M5" s="873"/>
      <c r="N5" s="398"/>
      <c r="O5" s="490"/>
      <c r="P5" s="490"/>
      <c r="Q5" s="533"/>
      <c r="R5" s="22"/>
      <c r="S5" s="13"/>
    </row>
    <row r="6" spans="1:26" ht="66" customHeight="1" x14ac:dyDescent="0.4">
      <c r="A6" s="63"/>
      <c r="B6" s="63"/>
      <c r="C6" s="397"/>
      <c r="D6" s="867" t="s">
        <v>238</v>
      </c>
      <c r="E6" s="868"/>
      <c r="F6" s="868"/>
      <c r="G6" s="868"/>
      <c r="H6" s="868"/>
      <c r="I6" s="868"/>
      <c r="J6" s="868"/>
      <c r="K6" s="868"/>
      <c r="L6" s="868"/>
      <c r="M6" s="868"/>
      <c r="N6" s="398"/>
      <c r="O6" s="490"/>
      <c r="P6" s="490"/>
      <c r="Q6" s="378"/>
      <c r="R6" s="22"/>
      <c r="S6" s="13"/>
    </row>
    <row r="7" spans="1:26" ht="53.25" customHeight="1" thickBot="1" x14ac:dyDescent="0.45">
      <c r="A7" s="63"/>
      <c r="B7" s="63"/>
      <c r="C7" s="399"/>
      <c r="D7" s="870" t="s">
        <v>162</v>
      </c>
      <c r="E7" s="871"/>
      <c r="F7" s="871"/>
      <c r="G7" s="871"/>
      <c r="H7" s="871"/>
      <c r="I7" s="871"/>
      <c r="J7" s="871"/>
      <c r="K7" s="871"/>
      <c r="L7" s="871"/>
      <c r="M7" s="871"/>
      <c r="N7" s="400"/>
      <c r="O7" s="490"/>
      <c r="P7" s="490"/>
      <c r="Q7" s="378"/>
      <c r="R7" s="22"/>
      <c r="S7" s="13"/>
    </row>
    <row r="8" spans="1:26" ht="21.75" customHeight="1" thickBot="1" x14ac:dyDescent="0.45">
      <c r="A8" s="63"/>
      <c r="B8" s="63"/>
      <c r="C8" s="228"/>
      <c r="D8" s="229"/>
      <c r="E8" s="230"/>
      <c r="F8" s="230"/>
      <c r="G8" s="230"/>
      <c r="H8" s="230"/>
      <c r="I8" s="230"/>
      <c r="J8" s="230"/>
      <c r="K8" s="230"/>
      <c r="L8" s="230"/>
      <c r="M8" s="230"/>
      <c r="N8" s="231"/>
      <c r="O8" s="490"/>
      <c r="P8" s="490"/>
      <c r="Q8" s="378"/>
      <c r="R8" s="22"/>
      <c r="S8" s="13"/>
    </row>
    <row r="9" spans="1:26" ht="36" customHeight="1" thickTop="1" x14ac:dyDescent="0.35">
      <c r="C9" s="296"/>
      <c r="D9" s="874" t="s">
        <v>106</v>
      </c>
      <c r="E9" s="875"/>
      <c r="F9" s="875"/>
      <c r="G9" s="875"/>
      <c r="H9" s="875"/>
      <c r="I9" s="875"/>
      <c r="J9" s="875"/>
      <c r="K9" s="875"/>
      <c r="L9" s="875"/>
      <c r="M9" s="360"/>
      <c r="N9" s="361"/>
      <c r="O9" s="490"/>
      <c r="P9" s="490"/>
      <c r="Q9" s="378"/>
      <c r="R9" s="23"/>
      <c r="S9" s="3"/>
    </row>
    <row r="10" spans="1:26" ht="43.5" customHeight="1" x14ac:dyDescent="0.35">
      <c r="A10" t="s">
        <v>1</v>
      </c>
      <c r="C10" s="296"/>
      <c r="D10" s="885" t="s">
        <v>172</v>
      </c>
      <c r="E10" s="716"/>
      <c r="F10" s="716"/>
      <c r="G10" s="716"/>
      <c r="H10" s="716"/>
      <c r="I10" s="716"/>
      <c r="J10" s="716"/>
      <c r="K10" s="716"/>
      <c r="L10" s="716"/>
      <c r="M10" s="716"/>
      <c r="N10" s="362"/>
      <c r="O10" s="383"/>
      <c r="P10" s="383"/>
      <c r="Q10" s="383"/>
      <c r="R10" s="23"/>
      <c r="S10" s="3"/>
    </row>
    <row r="11" spans="1:26" ht="21.75" customHeight="1" x14ac:dyDescent="0.3">
      <c r="C11" s="296"/>
      <c r="D11" s="363" t="s">
        <v>38</v>
      </c>
      <c r="E11" s="243"/>
      <c r="F11" s="243"/>
      <c r="G11" s="243"/>
      <c r="H11" s="243"/>
      <c r="I11" s="243"/>
      <c r="J11" s="243"/>
      <c r="K11" s="243"/>
      <c r="L11" s="243"/>
      <c r="M11" s="243"/>
      <c r="N11" s="240"/>
    </row>
    <row r="12" spans="1:26" ht="4.5" customHeight="1" x14ac:dyDescent="0.2">
      <c r="C12" s="296"/>
      <c r="D12" s="243"/>
      <c r="E12" s="243"/>
      <c r="F12" s="243"/>
      <c r="G12" s="243"/>
      <c r="H12" s="243"/>
      <c r="I12" s="243"/>
      <c r="J12" s="243"/>
      <c r="K12" s="243"/>
      <c r="L12" s="243"/>
      <c r="M12" s="243"/>
      <c r="N12" s="240"/>
    </row>
    <row r="13" spans="1:26" ht="46.5" customHeight="1" x14ac:dyDescent="0.2">
      <c r="C13" s="330"/>
      <c r="D13" s="716" t="s">
        <v>270</v>
      </c>
      <c r="E13" s="716"/>
      <c r="F13" s="716"/>
      <c r="G13" s="716"/>
      <c r="H13" s="716"/>
      <c r="I13" s="716"/>
      <c r="J13" s="716"/>
      <c r="K13" s="716"/>
      <c r="L13" s="716"/>
      <c r="M13" s="893"/>
      <c r="N13" s="242"/>
      <c r="O13" s="11"/>
      <c r="P13" s="11"/>
      <c r="Q13" s="11"/>
    </row>
    <row r="14" spans="1:26" ht="35.25" customHeight="1" x14ac:dyDescent="0.2">
      <c r="C14" s="330"/>
      <c r="D14" s="716" t="s">
        <v>108</v>
      </c>
      <c r="E14" s="749"/>
      <c r="F14" s="749"/>
      <c r="G14" s="749"/>
      <c r="H14" s="749"/>
      <c r="I14" s="749"/>
      <c r="J14" s="749"/>
      <c r="K14" s="749"/>
      <c r="L14" s="749"/>
      <c r="M14" s="364"/>
      <c r="N14" s="242"/>
      <c r="O14" s="11"/>
      <c r="P14" s="11"/>
      <c r="Q14" s="11"/>
    </row>
    <row r="15" spans="1:26" ht="41.25" customHeight="1" x14ac:dyDescent="0.25">
      <c r="C15" s="239"/>
      <c r="D15" s="891" t="s">
        <v>271</v>
      </c>
      <c r="E15" s="892"/>
      <c r="F15" s="892"/>
      <c r="G15" s="892"/>
      <c r="H15" s="892"/>
      <c r="I15" s="892"/>
      <c r="J15" s="892"/>
      <c r="K15" s="892"/>
      <c r="L15" s="892"/>
      <c r="M15" s="892"/>
      <c r="N15" s="268"/>
      <c r="O15" s="4"/>
      <c r="P15" s="4"/>
      <c r="Q15" s="4"/>
      <c r="S15" s="4"/>
      <c r="T15" s="4"/>
      <c r="U15" s="4"/>
      <c r="Z15" s="4"/>
    </row>
    <row r="16" spans="1:26" ht="8.25" customHeight="1" thickBot="1" x14ac:dyDescent="0.35">
      <c r="C16" s="248"/>
      <c r="D16" s="358"/>
      <c r="E16" s="365"/>
      <c r="F16" s="365"/>
      <c r="G16" s="365"/>
      <c r="H16" s="365"/>
      <c r="I16" s="365"/>
      <c r="J16" s="365"/>
      <c r="K16" s="365"/>
      <c r="L16" s="365"/>
      <c r="M16" s="365"/>
      <c r="N16" s="366"/>
      <c r="O16" s="34"/>
      <c r="P16" s="34"/>
      <c r="Q16" s="34"/>
      <c r="R16" s="11"/>
      <c r="S16" s="11"/>
    </row>
    <row r="17" spans="3:19" ht="11.25" customHeight="1" thickTop="1" thickBot="1" x14ac:dyDescent="0.35">
      <c r="C17" s="5"/>
      <c r="D17" s="32"/>
      <c r="E17" s="34"/>
      <c r="F17" s="34"/>
      <c r="G17" s="34"/>
      <c r="H17" s="34"/>
      <c r="I17" s="34"/>
      <c r="J17" s="34"/>
      <c r="K17" s="34"/>
      <c r="L17" s="34"/>
      <c r="M17" s="34"/>
      <c r="N17" s="34"/>
      <c r="O17" s="34"/>
      <c r="P17" s="34"/>
      <c r="Q17" s="34"/>
      <c r="R17" s="11"/>
      <c r="S17" s="11"/>
    </row>
    <row r="18" spans="3:19" ht="9.75" customHeight="1" thickTop="1" x14ac:dyDescent="0.3">
      <c r="C18" s="235"/>
      <c r="D18" s="236"/>
      <c r="E18" s="237"/>
      <c r="F18" s="237"/>
      <c r="G18" s="237"/>
      <c r="H18" s="237"/>
      <c r="I18" s="237"/>
      <c r="J18" s="237"/>
      <c r="K18" s="237"/>
      <c r="L18" s="237"/>
      <c r="M18" s="237"/>
      <c r="N18" s="238"/>
      <c r="O18" s="34"/>
      <c r="P18" s="34"/>
      <c r="Q18" s="34"/>
      <c r="R18" s="11"/>
      <c r="S18" s="11"/>
    </row>
    <row r="19" spans="3:19" ht="16.5" customHeight="1" x14ac:dyDescent="0.2">
      <c r="C19" s="239"/>
      <c r="D19" s="894" t="s">
        <v>272</v>
      </c>
      <c r="E19" s="716"/>
      <c r="F19" s="716"/>
      <c r="G19" s="716"/>
      <c r="H19" s="716"/>
      <c r="I19" s="716"/>
      <c r="J19" s="716"/>
      <c r="K19" s="716"/>
      <c r="L19" s="893"/>
      <c r="M19" s="893"/>
      <c r="N19" s="240"/>
    </row>
    <row r="20" spans="3:19" ht="33.75" customHeight="1" x14ac:dyDescent="0.2">
      <c r="C20" s="239"/>
      <c r="D20" s="716"/>
      <c r="E20" s="716"/>
      <c r="F20" s="716"/>
      <c r="G20" s="716"/>
      <c r="H20" s="716"/>
      <c r="I20" s="716"/>
      <c r="J20" s="716"/>
      <c r="K20" s="716"/>
      <c r="L20" s="893"/>
      <c r="M20" s="893"/>
      <c r="N20" s="240"/>
    </row>
    <row r="21" spans="3:19" ht="7.5" customHeight="1" x14ac:dyDescent="0.2">
      <c r="C21" s="239"/>
      <c r="D21" s="241"/>
      <c r="E21" s="241"/>
      <c r="F21" s="241"/>
      <c r="G21" s="241"/>
      <c r="H21" s="241"/>
      <c r="I21" s="241"/>
      <c r="J21" s="241"/>
      <c r="K21" s="241"/>
      <c r="L21" s="232"/>
      <c r="M21" s="232"/>
      <c r="N21" s="240"/>
    </row>
    <row r="22" spans="3:19" ht="46.5" customHeight="1" x14ac:dyDescent="0.2">
      <c r="C22" s="239"/>
      <c r="D22" s="784" t="s">
        <v>273</v>
      </c>
      <c r="E22" s="784"/>
      <c r="F22" s="784"/>
      <c r="G22" s="784"/>
      <c r="H22" s="784"/>
      <c r="I22" s="784"/>
      <c r="J22" s="784"/>
      <c r="K22" s="784"/>
      <c r="L22" s="784"/>
      <c r="M22" s="784"/>
      <c r="N22" s="240"/>
    </row>
    <row r="23" spans="3:19" ht="6.75" customHeight="1" thickBot="1" x14ac:dyDescent="0.25">
      <c r="C23" s="248"/>
      <c r="D23" s="261"/>
      <c r="E23" s="282"/>
      <c r="F23" s="282"/>
      <c r="G23" s="282"/>
      <c r="H23" s="282"/>
      <c r="I23" s="282"/>
      <c r="J23" s="282"/>
      <c r="K23" s="282"/>
      <c r="L23" s="262"/>
      <c r="M23" s="262"/>
      <c r="N23" s="263"/>
      <c r="O23" s="2"/>
      <c r="P23" s="2"/>
    </row>
    <row r="24" spans="3:19" ht="19.5" customHeight="1" thickTop="1" x14ac:dyDescent="0.3">
      <c r="C24" s="5"/>
      <c r="D24" s="16"/>
      <c r="E24" s="53"/>
      <c r="F24" s="128"/>
      <c r="G24" s="54"/>
      <c r="H24" s="54"/>
      <c r="I24" s="54"/>
      <c r="J24" s="54"/>
      <c r="K24" s="54"/>
      <c r="L24" s="54"/>
      <c r="M24" s="54"/>
      <c r="R24" s="406"/>
    </row>
    <row r="25" spans="3:19" ht="9.75" customHeight="1" thickBot="1" x14ac:dyDescent="0.35">
      <c r="C25" s="5"/>
      <c r="D25" s="16"/>
      <c r="E25" s="53"/>
      <c r="F25" s="128"/>
      <c r="G25" s="54"/>
      <c r="H25" s="54"/>
      <c r="I25" s="54"/>
      <c r="J25" s="54"/>
      <c r="K25" s="54"/>
      <c r="L25" s="54"/>
      <c r="M25" s="54"/>
      <c r="R25" s="406"/>
    </row>
    <row r="26" spans="3:19" ht="21" customHeight="1" x14ac:dyDescent="0.3">
      <c r="C26" s="572"/>
      <c r="D26" s="586" t="s">
        <v>159</v>
      </c>
      <c r="E26" s="573"/>
      <c r="F26" s="574"/>
      <c r="G26" s="575"/>
      <c r="H26" s="575"/>
      <c r="I26" s="575"/>
      <c r="J26" s="575"/>
      <c r="K26" s="575"/>
      <c r="L26" s="576"/>
      <c r="M26" s="54"/>
      <c r="R26" s="406"/>
    </row>
    <row r="27" spans="3:19" ht="19.5" customHeight="1" x14ac:dyDescent="0.3">
      <c r="C27" s="577"/>
      <c r="D27" s="464" t="s">
        <v>130</v>
      </c>
      <c r="E27" s="587"/>
      <c r="F27" s="587"/>
      <c r="G27" s="587"/>
      <c r="H27" s="587"/>
      <c r="I27" s="587"/>
      <c r="J27" s="587"/>
      <c r="K27" s="587"/>
      <c r="L27" s="588"/>
      <c r="M27" s="571"/>
      <c r="R27" s="406"/>
    </row>
    <row r="28" spans="3:19" ht="19.5" customHeight="1" x14ac:dyDescent="0.3">
      <c r="C28" s="577"/>
      <c r="D28" s="782" t="s">
        <v>145</v>
      </c>
      <c r="E28" s="783"/>
      <c r="F28" s="505">
        <v>0.03</v>
      </c>
      <c r="G28" s="679" t="s">
        <v>274</v>
      </c>
      <c r="H28" s="589"/>
      <c r="I28" s="464"/>
      <c r="J28" s="590"/>
      <c r="K28" s="590"/>
      <c r="L28" s="591"/>
      <c r="M28" s="504"/>
      <c r="R28" s="406"/>
    </row>
    <row r="29" spans="3:19" ht="19.5" customHeight="1" x14ac:dyDescent="0.3">
      <c r="C29" s="577"/>
      <c r="D29" s="232"/>
      <c r="E29" s="232"/>
      <c r="F29" s="503"/>
      <c r="G29" s="503" t="s">
        <v>183</v>
      </c>
      <c r="H29" s="608">
        <v>435</v>
      </c>
      <c r="I29" s="232"/>
      <c r="J29" s="232"/>
      <c r="K29" s="464"/>
      <c r="L29" s="591"/>
      <c r="M29" s="504"/>
      <c r="R29" s="406"/>
    </row>
    <row r="30" spans="3:19" ht="18" customHeight="1" x14ac:dyDescent="0.3">
      <c r="C30" s="577"/>
      <c r="D30" s="803" t="s">
        <v>187</v>
      </c>
      <c r="E30" s="703"/>
      <c r="F30" s="703"/>
      <c r="G30" s="703"/>
      <c r="H30" s="703"/>
      <c r="I30" s="703"/>
      <c r="J30" s="232"/>
      <c r="K30" s="244"/>
      <c r="L30" s="579"/>
      <c r="M30" s="54"/>
      <c r="R30" s="406"/>
    </row>
    <row r="31" spans="3:19" ht="18" customHeight="1" x14ac:dyDescent="0.3">
      <c r="C31" s="577"/>
      <c r="D31" s="703"/>
      <c r="E31" s="703"/>
      <c r="F31" s="703"/>
      <c r="G31" s="703"/>
      <c r="H31" s="703"/>
      <c r="I31" s="703"/>
      <c r="J31" s="232"/>
      <c r="K31" s="244"/>
      <c r="L31" s="579"/>
      <c r="M31" s="54"/>
      <c r="R31" s="406"/>
    </row>
    <row r="32" spans="3:19" ht="18" customHeight="1" x14ac:dyDescent="0.3">
      <c r="C32" s="577"/>
      <c r="D32" s="232"/>
      <c r="E32" s="600" t="s">
        <v>182</v>
      </c>
      <c r="F32" s="244"/>
      <c r="G32" s="244"/>
      <c r="H32" s="601">
        <v>20</v>
      </c>
      <c r="I32" s="604" t="s">
        <v>185</v>
      </c>
      <c r="J32" s="244"/>
      <c r="K32" s="244"/>
      <c r="L32" s="579"/>
      <c r="M32" s="54"/>
      <c r="O32" s="63"/>
      <c r="R32" s="406"/>
    </row>
    <row r="33" spans="1:28" ht="18" customHeight="1" x14ac:dyDescent="0.3">
      <c r="C33" s="577"/>
      <c r="D33" s="578"/>
      <c r="E33" s="232"/>
      <c r="F33" s="605"/>
      <c r="G33" s="603" t="s">
        <v>188</v>
      </c>
      <c r="H33" s="601">
        <f>H32+H29</f>
        <v>455</v>
      </c>
      <c r="I33" s="604" t="s">
        <v>186</v>
      </c>
      <c r="J33" s="244"/>
      <c r="K33" s="244"/>
      <c r="L33" s="579"/>
      <c r="M33" s="54"/>
      <c r="R33" s="406"/>
    </row>
    <row r="34" spans="1:28" ht="18" customHeight="1" x14ac:dyDescent="0.3">
      <c r="C34" s="577"/>
      <c r="D34" s="578"/>
      <c r="E34" s="232"/>
      <c r="F34" s="606"/>
      <c r="G34" s="603" t="s">
        <v>184</v>
      </c>
      <c r="H34" s="602">
        <f>H33-H32</f>
        <v>435</v>
      </c>
      <c r="I34" s="244"/>
      <c r="J34" s="244"/>
      <c r="K34" s="244"/>
      <c r="L34" s="579"/>
      <c r="M34" s="54"/>
      <c r="R34" s="406"/>
    </row>
    <row r="35" spans="1:28" ht="20.25" customHeight="1" x14ac:dyDescent="0.3">
      <c r="C35" s="577"/>
      <c r="D35" s="232"/>
      <c r="E35" s="244"/>
      <c r="F35" s="244"/>
      <c r="G35" s="503" t="s">
        <v>175</v>
      </c>
      <c r="H35" s="599">
        <v>0.1</v>
      </c>
      <c r="I35" s="244" t="s">
        <v>275</v>
      </c>
      <c r="J35" s="244"/>
      <c r="K35" s="244"/>
      <c r="L35" s="579"/>
      <c r="M35" s="54"/>
      <c r="R35" s="406"/>
    </row>
    <row r="36" spans="1:28" ht="20.25" customHeight="1" x14ac:dyDescent="0.3">
      <c r="C36" s="577"/>
      <c r="D36" s="693" t="s">
        <v>176</v>
      </c>
      <c r="E36" s="244"/>
      <c r="F36" s="244"/>
      <c r="G36" s="244"/>
      <c r="H36" s="592"/>
      <c r="I36" s="244"/>
      <c r="J36" s="244"/>
      <c r="K36" s="244"/>
      <c r="L36" s="579"/>
      <c r="M36" s="54"/>
      <c r="R36" s="406"/>
    </row>
    <row r="37" spans="1:28" ht="9" customHeight="1" thickBot="1" x14ac:dyDescent="0.35">
      <c r="C37" s="580"/>
      <c r="D37" s="581"/>
      <c r="E37" s="582"/>
      <c r="F37" s="582"/>
      <c r="G37" s="582"/>
      <c r="H37" s="582"/>
      <c r="I37" s="582"/>
      <c r="J37" s="582"/>
      <c r="K37" s="582"/>
      <c r="L37" s="583"/>
      <c r="M37" s="54"/>
      <c r="R37" s="406"/>
    </row>
    <row r="38" spans="1:28" ht="19.5" customHeight="1" thickBot="1" x14ac:dyDescent="0.35">
      <c r="C38" s="5"/>
      <c r="D38" s="500"/>
      <c r="E38" s="499"/>
      <c r="F38" s="501"/>
      <c r="G38" s="499"/>
      <c r="H38" s="499"/>
      <c r="I38" s="499"/>
      <c r="J38" s="499"/>
      <c r="K38" s="499"/>
      <c r="L38" s="499"/>
      <c r="M38" s="54"/>
      <c r="R38" s="406"/>
    </row>
    <row r="39" spans="1:28" ht="19.5" customHeight="1" thickTop="1" thickBot="1" x14ac:dyDescent="0.35">
      <c r="C39" s="804"/>
      <c r="D39" s="805"/>
      <c r="E39" s="404" t="s">
        <v>276</v>
      </c>
      <c r="F39" s="254"/>
      <c r="G39" s="254"/>
      <c r="H39" s="254"/>
      <c r="I39" s="451"/>
      <c r="J39" s="449"/>
      <c r="K39" s="449"/>
      <c r="L39" s="452"/>
      <c r="M39" s="54"/>
      <c r="Q39" s="391" t="s">
        <v>146</v>
      </c>
    </row>
    <row r="40" spans="1:28" ht="22.5" customHeight="1" thickTop="1" thickBot="1" x14ac:dyDescent="0.35">
      <c r="C40" s="806"/>
      <c r="D40" s="807"/>
      <c r="E40" s="756" t="s">
        <v>218</v>
      </c>
      <c r="F40" s="757"/>
      <c r="G40" s="757"/>
      <c r="H40" s="758"/>
      <c r="I40" s="450"/>
      <c r="J40" s="450"/>
      <c r="K40" s="450"/>
      <c r="L40" s="453"/>
      <c r="M40" s="54"/>
      <c r="Q40" s="391" t="s">
        <v>166</v>
      </c>
    </row>
    <row r="41" spans="1:28" ht="8.25" customHeight="1" thickTop="1" thickBot="1" x14ac:dyDescent="0.25">
      <c r="C41" s="808"/>
      <c r="D41" s="807"/>
      <c r="E41" s="401"/>
      <c r="F41" s="402"/>
      <c r="G41" s="403"/>
      <c r="H41" s="255"/>
      <c r="I41" s="450"/>
      <c r="J41" s="450"/>
      <c r="K41" s="450"/>
      <c r="L41" s="453"/>
      <c r="R41" s="52"/>
      <c r="S41" s="491"/>
      <c r="T41" s="491"/>
    </row>
    <row r="42" spans="1:28" ht="40.5" customHeight="1" thickTop="1" x14ac:dyDescent="0.2">
      <c r="A42" s="76" t="s">
        <v>102</v>
      </c>
      <c r="B42" s="76"/>
      <c r="C42" s="239"/>
      <c r="D42" s="232"/>
      <c r="E42" s="135" t="s">
        <v>21</v>
      </c>
      <c r="F42" s="46" t="s">
        <v>66</v>
      </c>
      <c r="G42" s="889" t="s">
        <v>128</v>
      </c>
      <c r="H42" s="738"/>
      <c r="I42" s="890"/>
      <c r="J42" s="897" t="s">
        <v>23</v>
      </c>
      <c r="K42" s="897" t="s">
        <v>16</v>
      </c>
      <c r="L42" s="240"/>
      <c r="Q42" s="507" t="s">
        <v>133</v>
      </c>
      <c r="R42" s="785" t="s">
        <v>126</v>
      </c>
      <c r="S42" s="786"/>
      <c r="T42" s="787"/>
      <c r="U42" s="788" t="s">
        <v>291</v>
      </c>
      <c r="V42" s="790" t="s">
        <v>127</v>
      </c>
      <c r="W42" s="750" t="s">
        <v>151</v>
      </c>
      <c r="AB42" s="63"/>
    </row>
    <row r="43" spans="1:28" ht="18" customHeight="1" thickBot="1" x14ac:dyDescent="0.25">
      <c r="A43" s="76"/>
      <c r="B43" s="76"/>
      <c r="C43" s="239"/>
      <c r="D43" s="232"/>
      <c r="E43" s="886" t="s">
        <v>77</v>
      </c>
      <c r="F43" s="887"/>
      <c r="G43" s="887"/>
      <c r="H43" s="887"/>
      <c r="I43" s="888"/>
      <c r="J43" s="898"/>
      <c r="K43" s="898"/>
      <c r="L43" s="240"/>
      <c r="Q43" s="64"/>
      <c r="R43" s="552" t="s">
        <v>85</v>
      </c>
      <c r="S43" s="553" t="s">
        <v>149</v>
      </c>
      <c r="T43" s="554" t="s">
        <v>150</v>
      </c>
      <c r="U43" s="789"/>
      <c r="V43" s="789"/>
      <c r="W43" s="751"/>
    </row>
    <row r="44" spans="1:28" ht="18.75" customHeight="1" thickTop="1" x14ac:dyDescent="0.25">
      <c r="A44" s="41" t="str">
        <f t="shared" ref="A44:A55" si="0">IF(J44*100&gt;F$28,"&gt;1%"," ")</f>
        <v>&gt;1%</v>
      </c>
      <c r="B44" s="41"/>
      <c r="C44" s="251"/>
      <c r="D44" s="252">
        <v>1</v>
      </c>
      <c r="E44" s="430" t="s">
        <v>152</v>
      </c>
      <c r="F44" s="370">
        <v>25000000</v>
      </c>
      <c r="G44" s="895">
        <v>130</v>
      </c>
      <c r="H44" s="747"/>
      <c r="I44" s="748"/>
      <c r="J44" s="224">
        <f t="shared" ref="J44:J55" si="1">IF(F44&gt;0,F44/F$60,0)</f>
        <v>0.1609165808444902</v>
      </c>
      <c r="K44" s="225">
        <f t="shared" ref="K44:K55" si="2">IF(G44&gt;0,G44/G$60,0)</f>
        <v>0.2988505747126437</v>
      </c>
      <c r="L44" s="454" t="str">
        <f>IF(K101=J$98," !! "," ")</f>
        <v xml:space="preserve"> !! </v>
      </c>
      <c r="M44" s="134"/>
      <c r="N44" s="134"/>
      <c r="O44" s="134"/>
      <c r="P44" s="134"/>
      <c r="Q44" s="546" t="str">
        <f>E191</f>
        <v>Lincoln Republicans</v>
      </c>
      <c r="R44" s="537">
        <f>G153</f>
        <v>130</v>
      </c>
      <c r="S44" s="537">
        <f>J153</f>
        <v>0</v>
      </c>
      <c r="T44" s="538">
        <f>S44+R44</f>
        <v>130</v>
      </c>
      <c r="U44" s="543">
        <f t="shared" ref="U44:U55" si="3">F191</f>
        <v>130</v>
      </c>
      <c r="V44" s="539">
        <f t="shared" ref="V44:V55" si="4">K191</f>
        <v>0.16153989426479648</v>
      </c>
      <c r="W44" s="549">
        <f t="shared" ref="W44:W55" si="5">I191</f>
        <v>1</v>
      </c>
      <c r="AB44" s="385"/>
    </row>
    <row r="45" spans="1:28" ht="15.75" x14ac:dyDescent="0.25">
      <c r="A45" s="41" t="str">
        <f t="shared" si="0"/>
        <v>&gt;1%</v>
      </c>
      <c r="B45" s="41"/>
      <c r="C45" s="251"/>
      <c r="D45" s="252">
        <f>1+D44</f>
        <v>2</v>
      </c>
      <c r="E45" s="430" t="s">
        <v>107</v>
      </c>
      <c r="F45" s="371">
        <v>35000000</v>
      </c>
      <c r="G45" s="719">
        <v>135</v>
      </c>
      <c r="H45" s="720"/>
      <c r="I45" s="721"/>
      <c r="J45" s="423">
        <f t="shared" si="1"/>
        <v>0.22528321318228631</v>
      </c>
      <c r="K45" s="424">
        <f t="shared" si="2"/>
        <v>0.31034482758620691</v>
      </c>
      <c r="L45" s="454" t="str">
        <f t="shared" ref="L45:L50" si="6">IF(K102=J$98," !! "," ")</f>
        <v xml:space="preserve"> </v>
      </c>
      <c r="M45" s="134"/>
      <c r="N45" s="134"/>
      <c r="O45" s="134"/>
      <c r="P45" s="134"/>
      <c r="Q45" s="547" t="str">
        <f t="shared" ref="Q45:Q55" si="7">E192</f>
        <v>Democratic Party</v>
      </c>
      <c r="R45" s="540">
        <f t="shared" ref="R45:R55" si="8">G154</f>
        <v>135</v>
      </c>
      <c r="S45" s="540">
        <f t="shared" ref="S45:S55" si="9">J154</f>
        <v>0</v>
      </c>
      <c r="T45" s="541">
        <f t="shared" ref="T45:T57" si="10">S45+R45</f>
        <v>135</v>
      </c>
      <c r="U45" s="544">
        <f t="shared" si="3"/>
        <v>181.99999999999997</v>
      </c>
      <c r="V45" s="542">
        <f t="shared" si="4"/>
        <v>0.22615585197071503</v>
      </c>
      <c r="W45" s="550">
        <f t="shared" si="5"/>
        <v>1.3481481481481479</v>
      </c>
      <c r="AB45" s="385"/>
    </row>
    <row r="46" spans="1:28" ht="15.75" x14ac:dyDescent="0.25">
      <c r="A46" s="41" t="str">
        <f t="shared" si="0"/>
        <v>&gt;1%</v>
      </c>
      <c r="B46" s="41"/>
      <c r="C46" s="251"/>
      <c r="D46" s="253">
        <f t="shared" ref="D46:D55" si="11">1+D45</f>
        <v>3</v>
      </c>
      <c r="E46" s="430" t="s">
        <v>292</v>
      </c>
      <c r="F46" s="371">
        <v>25000000</v>
      </c>
      <c r="G46" s="719">
        <v>70</v>
      </c>
      <c r="H46" s="720"/>
      <c r="I46" s="721"/>
      <c r="J46" s="223">
        <f t="shared" si="1"/>
        <v>0.1609165808444902</v>
      </c>
      <c r="K46" s="226">
        <f t="shared" si="2"/>
        <v>0.16091954022988506</v>
      </c>
      <c r="L46" s="454" t="str">
        <f t="shared" si="6"/>
        <v xml:space="preserve"> </v>
      </c>
      <c r="M46" s="134"/>
      <c r="N46" s="134"/>
      <c r="O46" s="134"/>
      <c r="P46" s="134"/>
      <c r="Q46" s="547" t="str">
        <f t="shared" si="7"/>
        <v>MAGA Party</v>
      </c>
      <c r="R46" s="540">
        <f t="shared" si="8"/>
        <v>70</v>
      </c>
      <c r="S46" s="540">
        <f t="shared" si="9"/>
        <v>0</v>
      </c>
      <c r="T46" s="541">
        <f t="shared" si="10"/>
        <v>70</v>
      </c>
      <c r="U46" s="544">
        <f t="shared" si="3"/>
        <v>130</v>
      </c>
      <c r="V46" s="542">
        <f t="shared" si="4"/>
        <v>0.16153989426479648</v>
      </c>
      <c r="W46" s="550">
        <f t="shared" si="5"/>
        <v>1.8571428571428572</v>
      </c>
      <c r="AB46" s="385"/>
    </row>
    <row r="47" spans="1:28" ht="15.75" x14ac:dyDescent="0.25">
      <c r="A47" s="41" t="str">
        <f t="shared" si="0"/>
        <v>&gt;1%</v>
      </c>
      <c r="B47" s="41"/>
      <c r="C47" s="251"/>
      <c r="D47" s="253">
        <f t="shared" si="11"/>
        <v>4</v>
      </c>
      <c r="E47" s="368" t="s">
        <v>142</v>
      </c>
      <c r="F47" s="371">
        <v>30000000</v>
      </c>
      <c r="G47" s="719">
        <v>77</v>
      </c>
      <c r="H47" s="720"/>
      <c r="I47" s="721"/>
      <c r="J47" s="223">
        <f t="shared" si="1"/>
        <v>0.19309989701338826</v>
      </c>
      <c r="K47" s="226">
        <f t="shared" si="2"/>
        <v>0.17701149425287357</v>
      </c>
      <c r="L47" s="454" t="str">
        <f t="shared" si="6"/>
        <v xml:space="preserve"> </v>
      </c>
      <c r="M47" s="134"/>
      <c r="N47" s="134"/>
      <c r="O47" s="134"/>
      <c r="P47" s="134"/>
      <c r="Q47" s="547" t="str">
        <f t="shared" si="7"/>
        <v>Progressive Democratic Party</v>
      </c>
      <c r="R47" s="540">
        <f t="shared" si="8"/>
        <v>77</v>
      </c>
      <c r="S47" s="540">
        <f t="shared" si="9"/>
        <v>0</v>
      </c>
      <c r="T47" s="541">
        <f t="shared" si="10"/>
        <v>77</v>
      </c>
      <c r="U47" s="544">
        <f t="shared" si="3"/>
        <v>155.99999999999997</v>
      </c>
      <c r="V47" s="542">
        <f t="shared" si="4"/>
        <v>0.19384787311775575</v>
      </c>
      <c r="W47" s="550">
        <f t="shared" si="5"/>
        <v>2.0259740259740258</v>
      </c>
      <c r="AB47" s="385"/>
    </row>
    <row r="48" spans="1:28" ht="15.75" x14ac:dyDescent="0.25">
      <c r="A48" s="41" t="str">
        <f t="shared" si="0"/>
        <v>&gt;1%</v>
      </c>
      <c r="B48" s="41"/>
      <c r="C48" s="251"/>
      <c r="D48" s="253">
        <f t="shared" si="11"/>
        <v>5</v>
      </c>
      <c r="E48" s="430" t="s">
        <v>245</v>
      </c>
      <c r="F48" s="371">
        <v>15000000</v>
      </c>
      <c r="G48" s="719">
        <v>8</v>
      </c>
      <c r="H48" s="720"/>
      <c r="I48" s="721"/>
      <c r="J48" s="223">
        <f t="shared" si="1"/>
        <v>9.6549948506694128E-2</v>
      </c>
      <c r="K48" s="226">
        <f t="shared" si="2"/>
        <v>1.8390804597701149E-2</v>
      </c>
      <c r="L48" s="454" t="str">
        <f t="shared" si="6"/>
        <v xml:space="preserve"> </v>
      </c>
      <c r="M48" s="134"/>
      <c r="N48" s="134"/>
      <c r="O48" s="134"/>
      <c r="P48" s="134"/>
      <c r="Q48" s="547" t="str">
        <f t="shared" si="7"/>
        <v>Green Party</v>
      </c>
      <c r="R48" s="540">
        <f t="shared" si="8"/>
        <v>8</v>
      </c>
      <c r="S48" s="540">
        <f t="shared" si="9"/>
        <v>8</v>
      </c>
      <c r="T48" s="541">
        <f t="shared" si="10"/>
        <v>16</v>
      </c>
      <c r="U48" s="544">
        <f t="shared" si="3"/>
        <v>77.999999999999986</v>
      </c>
      <c r="V48" s="542">
        <f t="shared" si="4"/>
        <v>9.6923936558877877E-2</v>
      </c>
      <c r="W48" s="550">
        <f t="shared" si="5"/>
        <v>4.8749999999999991</v>
      </c>
      <c r="AB48" s="385"/>
    </row>
    <row r="49" spans="1:28" ht="17.45" customHeight="1" x14ac:dyDescent="0.25">
      <c r="A49" s="41" t="str">
        <f t="shared" si="0"/>
        <v>&gt;1%</v>
      </c>
      <c r="C49" s="251"/>
      <c r="D49" s="253">
        <f t="shared" si="11"/>
        <v>6</v>
      </c>
      <c r="E49" s="368" t="s">
        <v>246</v>
      </c>
      <c r="F49" s="371">
        <v>20000000</v>
      </c>
      <c r="G49" s="719">
        <v>8</v>
      </c>
      <c r="H49" s="720"/>
      <c r="I49" s="721"/>
      <c r="J49" s="223">
        <f t="shared" si="1"/>
        <v>0.12873326467559218</v>
      </c>
      <c r="K49" s="226">
        <f t="shared" si="2"/>
        <v>1.8390804597701149E-2</v>
      </c>
      <c r="L49" s="454" t="str">
        <f t="shared" si="6"/>
        <v xml:space="preserve"> </v>
      </c>
      <c r="M49" s="134"/>
      <c r="N49" s="134"/>
      <c r="O49" s="134"/>
      <c r="P49" s="134"/>
      <c r="Q49" s="547" t="str">
        <f t="shared" si="7"/>
        <v>Libertarian Party</v>
      </c>
      <c r="R49" s="540">
        <f t="shared" si="8"/>
        <v>8</v>
      </c>
      <c r="S49" s="540">
        <f t="shared" si="9"/>
        <v>11</v>
      </c>
      <c r="T49" s="541">
        <f t="shared" si="10"/>
        <v>19</v>
      </c>
      <c r="U49" s="544">
        <f t="shared" si="3"/>
        <v>104</v>
      </c>
      <c r="V49" s="542">
        <f t="shared" si="4"/>
        <v>0.12923191541183718</v>
      </c>
      <c r="W49" s="550">
        <f t="shared" si="5"/>
        <v>5.4736842105263159</v>
      </c>
      <c r="AB49" s="385"/>
    </row>
    <row r="50" spans="1:28" ht="15.75" customHeight="1" x14ac:dyDescent="0.25">
      <c r="A50" s="41" t="str">
        <f t="shared" si="0"/>
        <v>&gt;1%</v>
      </c>
      <c r="C50" s="251"/>
      <c r="D50" s="253">
        <f t="shared" si="11"/>
        <v>7</v>
      </c>
      <c r="E50" s="430" t="s">
        <v>248</v>
      </c>
      <c r="F50" s="371">
        <v>400000</v>
      </c>
      <c r="G50" s="719">
        <v>1</v>
      </c>
      <c r="H50" s="720"/>
      <c r="I50" s="721"/>
      <c r="J50" s="223">
        <f t="shared" si="1"/>
        <v>2.5746652935118436E-3</v>
      </c>
      <c r="K50" s="226">
        <f t="shared" si="2"/>
        <v>2.2988505747126436E-3</v>
      </c>
      <c r="L50" s="454" t="str">
        <f t="shared" si="6"/>
        <v xml:space="preserve"> </v>
      </c>
      <c r="M50" s="134"/>
      <c r="N50" s="134"/>
      <c r="O50" s="134"/>
      <c r="P50" s="134"/>
      <c r="Q50" s="547" t="str">
        <f t="shared" si="7"/>
        <v>New West Party</v>
      </c>
      <c r="R50" s="540">
        <f t="shared" si="8"/>
        <v>1</v>
      </c>
      <c r="S50" s="540">
        <f t="shared" si="9"/>
        <v>0</v>
      </c>
      <c r="T50" s="541">
        <f t="shared" si="10"/>
        <v>1</v>
      </c>
      <c r="U50" s="544">
        <f t="shared" si="3"/>
        <v>2.0799999999999996</v>
      </c>
      <c r="V50" s="542">
        <f t="shared" si="4"/>
        <v>2.5846383082367432E-3</v>
      </c>
      <c r="W50" s="550">
        <f t="shared" si="5"/>
        <v>2.0799999999999996</v>
      </c>
      <c r="AB50" s="385"/>
    </row>
    <row r="51" spans="1:28" ht="15.75" customHeight="1" x14ac:dyDescent="0.25">
      <c r="A51" s="41" t="str">
        <f t="shared" si="0"/>
        <v>&gt;1%</v>
      </c>
      <c r="C51" s="251"/>
      <c r="D51" s="253">
        <f t="shared" si="11"/>
        <v>8</v>
      </c>
      <c r="E51" s="430" t="s">
        <v>250</v>
      </c>
      <c r="F51" s="371">
        <v>3000000</v>
      </c>
      <c r="G51" s="719">
        <v>2</v>
      </c>
      <c r="H51" s="720"/>
      <c r="I51" s="721"/>
      <c r="J51" s="223">
        <f t="shared" si="1"/>
        <v>1.9309989701338827E-2</v>
      </c>
      <c r="K51" s="226">
        <f t="shared" si="2"/>
        <v>4.5977011494252873E-3</v>
      </c>
      <c r="L51" s="454" t="str">
        <f t="shared" ref="L51:L55" si="12">IF(K108=J$98," ! "," ")</f>
        <v xml:space="preserve"> </v>
      </c>
      <c r="M51" s="134"/>
      <c r="N51" s="134"/>
      <c r="O51" s="134"/>
      <c r="P51" s="134"/>
      <c r="Q51" s="547" t="str">
        <f t="shared" si="7"/>
        <v>First Americans Party</v>
      </c>
      <c r="R51" s="540">
        <f t="shared" si="8"/>
        <v>2</v>
      </c>
      <c r="S51" s="540">
        <f t="shared" si="9"/>
        <v>1</v>
      </c>
      <c r="T51" s="541">
        <f t="shared" si="10"/>
        <v>3</v>
      </c>
      <c r="U51" s="544">
        <f t="shared" si="3"/>
        <v>15.6</v>
      </c>
      <c r="V51" s="542">
        <f t="shared" si="4"/>
        <v>1.9384787311775578E-2</v>
      </c>
      <c r="W51" s="550">
        <f t="shared" si="5"/>
        <v>5.2</v>
      </c>
      <c r="AB51" s="385"/>
    </row>
    <row r="52" spans="1:28" ht="15.75" customHeight="1" x14ac:dyDescent="0.25">
      <c r="A52" s="41" t="str">
        <f t="shared" si="0"/>
        <v>&gt;1%</v>
      </c>
      <c r="C52" s="251"/>
      <c r="D52" s="253">
        <f t="shared" si="11"/>
        <v>9</v>
      </c>
      <c r="E52" s="430" t="s">
        <v>252</v>
      </c>
      <c r="F52" s="371">
        <v>800000</v>
      </c>
      <c r="G52" s="719">
        <v>0</v>
      </c>
      <c r="H52" s="720"/>
      <c r="I52" s="721"/>
      <c r="J52" s="223">
        <f t="shared" si="1"/>
        <v>5.1493305870236872E-3</v>
      </c>
      <c r="K52" s="226">
        <f t="shared" si="2"/>
        <v>0</v>
      </c>
      <c r="L52" s="454" t="str">
        <f t="shared" si="12"/>
        <v xml:space="preserve"> </v>
      </c>
      <c r="M52" s="134"/>
      <c r="N52" s="134"/>
      <c r="O52" s="134"/>
      <c r="P52" s="134"/>
      <c r="Q52" s="547" t="str">
        <f t="shared" si="7"/>
        <v>New Morality Party</v>
      </c>
      <c r="R52" s="540">
        <f t="shared" si="8"/>
        <v>0</v>
      </c>
      <c r="S52" s="540">
        <f t="shared" si="9"/>
        <v>0</v>
      </c>
      <c r="T52" s="541">
        <f t="shared" si="10"/>
        <v>0</v>
      </c>
      <c r="U52" s="544">
        <f t="shared" si="3"/>
        <v>0</v>
      </c>
      <c r="V52" s="542">
        <f t="shared" si="4"/>
        <v>0</v>
      </c>
      <c r="W52" s="550">
        <f t="shared" si="5"/>
        <v>0</v>
      </c>
      <c r="AB52" s="385"/>
    </row>
    <row r="53" spans="1:28" ht="15.75" customHeight="1" x14ac:dyDescent="0.25">
      <c r="A53" s="41" t="str">
        <f t="shared" si="0"/>
        <v>&gt;1%</v>
      </c>
      <c r="C53" s="251"/>
      <c r="D53" s="253">
        <f t="shared" si="11"/>
        <v>10</v>
      </c>
      <c r="E53" s="430" t="s">
        <v>249</v>
      </c>
      <c r="F53" s="371">
        <v>400000</v>
      </c>
      <c r="G53" s="719">
        <v>0</v>
      </c>
      <c r="H53" s="720"/>
      <c r="I53" s="721"/>
      <c r="J53" s="223">
        <f t="shared" si="1"/>
        <v>2.5746652935118436E-3</v>
      </c>
      <c r="K53" s="226">
        <f t="shared" si="2"/>
        <v>0</v>
      </c>
      <c r="L53" s="454" t="str">
        <f t="shared" si="12"/>
        <v xml:space="preserve"> </v>
      </c>
      <c r="M53" s="134"/>
      <c r="N53" s="134"/>
      <c r="O53" s="134"/>
      <c r="P53" s="134"/>
      <c r="Q53" s="547" t="str">
        <f t="shared" si="7"/>
        <v>Other New Party</v>
      </c>
      <c r="R53" s="540">
        <f t="shared" si="8"/>
        <v>0</v>
      </c>
      <c r="S53" s="540">
        <f t="shared" si="9"/>
        <v>0</v>
      </c>
      <c r="T53" s="541">
        <f t="shared" si="10"/>
        <v>0</v>
      </c>
      <c r="U53" s="544">
        <f t="shared" si="3"/>
        <v>0</v>
      </c>
      <c r="V53" s="542">
        <f t="shared" si="4"/>
        <v>0</v>
      </c>
      <c r="W53" s="550">
        <f t="shared" si="5"/>
        <v>0</v>
      </c>
      <c r="AB53" s="385"/>
    </row>
    <row r="54" spans="1:28" ht="15.75" customHeight="1" x14ac:dyDescent="0.25">
      <c r="A54" s="41" t="str">
        <f t="shared" si="0"/>
        <v xml:space="preserve"> </v>
      </c>
      <c r="C54" s="251"/>
      <c r="D54" s="253">
        <f t="shared" si="11"/>
        <v>11</v>
      </c>
      <c r="E54" s="368"/>
      <c r="F54" s="371"/>
      <c r="G54" s="719"/>
      <c r="H54" s="720"/>
      <c r="I54" s="721"/>
      <c r="J54" s="223">
        <f t="shared" si="1"/>
        <v>0</v>
      </c>
      <c r="K54" s="226">
        <f t="shared" si="2"/>
        <v>0</v>
      </c>
      <c r="L54" s="454" t="str">
        <f t="shared" si="12"/>
        <v xml:space="preserve"> </v>
      </c>
      <c r="M54" s="134"/>
      <c r="N54" s="134"/>
      <c r="O54" s="134"/>
      <c r="P54" s="134"/>
      <c r="Q54" s="547">
        <f t="shared" si="7"/>
        <v>0</v>
      </c>
      <c r="R54" s="540">
        <f t="shared" si="8"/>
        <v>0</v>
      </c>
      <c r="S54" s="540">
        <f t="shared" si="9"/>
        <v>0</v>
      </c>
      <c r="T54" s="541">
        <f t="shared" si="10"/>
        <v>0</v>
      </c>
      <c r="U54" s="544">
        <f t="shared" si="3"/>
        <v>0</v>
      </c>
      <c r="V54" s="542">
        <f t="shared" si="4"/>
        <v>0</v>
      </c>
      <c r="W54" s="550">
        <f t="shared" si="5"/>
        <v>0</v>
      </c>
      <c r="AB54" s="385"/>
    </row>
    <row r="55" spans="1:28" ht="16.5" customHeight="1" thickBot="1" x14ac:dyDescent="0.3">
      <c r="A55" s="41" t="str">
        <f t="shared" si="0"/>
        <v>&gt;1%</v>
      </c>
      <c r="C55" s="251"/>
      <c r="D55" s="253">
        <f t="shared" si="11"/>
        <v>12</v>
      </c>
      <c r="E55" s="369" t="s">
        <v>173</v>
      </c>
      <c r="F55" s="371">
        <v>100000</v>
      </c>
      <c r="G55" s="876">
        <v>0</v>
      </c>
      <c r="H55" s="877"/>
      <c r="I55" s="878"/>
      <c r="J55" s="223">
        <f t="shared" si="1"/>
        <v>6.436663233779609E-4</v>
      </c>
      <c r="K55" s="226">
        <f t="shared" si="2"/>
        <v>0</v>
      </c>
      <c r="L55" s="454" t="str">
        <f t="shared" si="12"/>
        <v xml:space="preserve"> </v>
      </c>
      <c r="M55" s="134"/>
      <c r="N55" s="134"/>
      <c r="O55" s="134"/>
      <c r="P55" s="134"/>
      <c r="Q55" s="548" t="str">
        <f t="shared" si="7"/>
        <v>Other Parties</v>
      </c>
      <c r="R55" s="535">
        <f t="shared" si="8"/>
        <v>0</v>
      </c>
      <c r="S55" s="535">
        <f t="shared" si="9"/>
        <v>0</v>
      </c>
      <c r="T55" s="534">
        <f t="shared" si="10"/>
        <v>0</v>
      </c>
      <c r="U55" s="545">
        <f t="shared" si="3"/>
        <v>0</v>
      </c>
      <c r="V55" s="536">
        <f t="shared" si="4"/>
        <v>0</v>
      </c>
      <c r="W55" s="551">
        <f t="shared" si="5"/>
        <v>0</v>
      </c>
      <c r="AB55" s="385"/>
    </row>
    <row r="56" spans="1:28" ht="24.75" customHeight="1" thickTop="1" thickBot="1" x14ac:dyDescent="0.25">
      <c r="C56" s="239"/>
      <c r="D56" s="247"/>
      <c r="E56" s="686" t="s">
        <v>277</v>
      </c>
      <c r="F56" s="24">
        <f>SUM(F44:F55)</f>
        <v>154700000</v>
      </c>
      <c r="G56" s="792">
        <f>SUM(G44:I55)</f>
        <v>431</v>
      </c>
      <c r="H56" s="793"/>
      <c r="I56" s="794"/>
      <c r="J56" s="227">
        <f>SUM(J44:J55)</f>
        <v>0.99575180226570537</v>
      </c>
      <c r="K56" s="377">
        <f>SUM(K44:K55)</f>
        <v>0.99080459770114948</v>
      </c>
      <c r="L56" s="240"/>
      <c r="Q56" s="570" t="s">
        <v>153</v>
      </c>
      <c r="R56" s="567">
        <f>SUM(R44:R55)</f>
        <v>431</v>
      </c>
      <c r="S56" s="567">
        <f t="shared" ref="S56:U56" si="13">SUM(S44:S55)</f>
        <v>20</v>
      </c>
      <c r="T56" s="567">
        <f t="shared" si="13"/>
        <v>451</v>
      </c>
      <c r="U56" s="567">
        <f t="shared" si="13"/>
        <v>797.68000000000006</v>
      </c>
      <c r="V56" s="568">
        <f>SUM(V44:V55)</f>
        <v>0.99120879120879124</v>
      </c>
      <c r="W56" s="569">
        <f>U56/T56</f>
        <v>1.7686917960088693</v>
      </c>
      <c r="AB56" s="67"/>
    </row>
    <row r="57" spans="1:28" ht="18.75" customHeight="1" thickTop="1" thickBot="1" x14ac:dyDescent="0.25">
      <c r="C57" s="239"/>
      <c r="D57" s="247"/>
      <c r="E57" s="43" t="s">
        <v>0</v>
      </c>
      <c r="F57" s="257"/>
      <c r="G57" s="896"/>
      <c r="H57" s="896"/>
      <c r="I57" s="896"/>
      <c r="J57" s="258"/>
      <c r="K57" s="259"/>
      <c r="L57" s="240"/>
      <c r="Q57" s="561" t="s">
        <v>0</v>
      </c>
      <c r="R57" s="562">
        <f>G58</f>
        <v>4</v>
      </c>
      <c r="S57" s="562">
        <v>0</v>
      </c>
      <c r="T57" s="563">
        <f t="shared" si="10"/>
        <v>4</v>
      </c>
      <c r="U57" s="564">
        <f>F205</f>
        <v>7.0747671840354771</v>
      </c>
      <c r="V57" s="565">
        <f>K205</f>
        <v>8.7912087912087912E-3</v>
      </c>
      <c r="W57" s="566">
        <f>U57/T57</f>
        <v>1.7686917960088693</v>
      </c>
      <c r="AB57" s="67"/>
    </row>
    <row r="58" spans="1:28" ht="19.5" customHeight="1" thickTop="1" thickBot="1" x14ac:dyDescent="0.25">
      <c r="C58" s="239"/>
      <c r="D58" s="478">
        <f>D55+1</f>
        <v>13</v>
      </c>
      <c r="E58" s="372" t="s">
        <v>242</v>
      </c>
      <c r="F58" s="367">
        <v>600000</v>
      </c>
      <c r="G58" s="746">
        <v>4</v>
      </c>
      <c r="H58" s="747"/>
      <c r="I58" s="748"/>
      <c r="J58" s="386">
        <f>F58/F$60</f>
        <v>3.8619979402677654E-3</v>
      </c>
      <c r="K58" s="387">
        <f>G58/G$60</f>
        <v>9.1954022988505746E-3</v>
      </c>
      <c r="L58" s="256"/>
      <c r="M58" s="134"/>
      <c r="N58" s="134"/>
      <c r="O58" s="134"/>
      <c r="P58" s="134"/>
      <c r="Q58" s="557" t="s">
        <v>3</v>
      </c>
      <c r="R58" s="558">
        <f>R57+R56</f>
        <v>435</v>
      </c>
      <c r="S58" s="558">
        <f t="shared" ref="S58:T58" si="14">S57+S56</f>
        <v>20</v>
      </c>
      <c r="T58" s="558">
        <f t="shared" si="14"/>
        <v>455</v>
      </c>
      <c r="U58" s="558">
        <f>U57+U56</f>
        <v>804.75476718403559</v>
      </c>
      <c r="V58" s="559">
        <f>V57+V56</f>
        <v>1</v>
      </c>
      <c r="W58" s="560">
        <f>U58/T58</f>
        <v>1.7686917960088695</v>
      </c>
      <c r="AB58" s="385"/>
    </row>
    <row r="59" spans="1:28" ht="18" customHeight="1" thickTop="1" thickBot="1" x14ac:dyDescent="0.25">
      <c r="C59" s="239"/>
      <c r="D59" s="247"/>
      <c r="E59" s="373" t="s">
        <v>29</v>
      </c>
      <c r="F59" s="495">
        <v>60000</v>
      </c>
      <c r="G59" s="879">
        <v>0</v>
      </c>
      <c r="H59" s="880"/>
      <c r="I59" s="881"/>
      <c r="J59" s="388">
        <f>F59/F$60</f>
        <v>3.8619979402677651E-4</v>
      </c>
      <c r="K59" s="389">
        <f>G59/G$60</f>
        <v>0</v>
      </c>
      <c r="L59" s="256"/>
      <c r="M59" s="134"/>
      <c r="N59" s="134"/>
      <c r="O59" s="134"/>
      <c r="P59" s="134"/>
      <c r="S59" s="492" t="s">
        <v>251</v>
      </c>
      <c r="X59" s="134"/>
      <c r="Y59" s="134"/>
      <c r="Z59" s="134"/>
      <c r="AB59" s="385"/>
    </row>
    <row r="60" spans="1:28" ht="24.75" customHeight="1" thickTop="1" thickBot="1" x14ac:dyDescent="0.25">
      <c r="C60" s="239"/>
      <c r="D60" s="247"/>
      <c r="E60" s="27" t="s">
        <v>3</v>
      </c>
      <c r="F60" s="28">
        <f>F59+F58+F56</f>
        <v>155360000</v>
      </c>
      <c r="G60" s="882">
        <f>G56+SUM(G58:G59)</f>
        <v>435</v>
      </c>
      <c r="H60" s="883"/>
      <c r="I60" s="884"/>
      <c r="J60" s="29">
        <f>SUM(J56:J59)</f>
        <v>0.99999999999999989</v>
      </c>
      <c r="K60" s="30">
        <f>K58+K56</f>
        <v>1</v>
      </c>
      <c r="L60" s="240"/>
      <c r="V60" s="492" t="s">
        <v>125</v>
      </c>
      <c r="Y60" s="91"/>
      <c r="Z60" s="92"/>
      <c r="AB60" s="67"/>
    </row>
    <row r="61" spans="1:28" ht="18.75" customHeight="1" thickTop="1" x14ac:dyDescent="0.25">
      <c r="C61" s="239"/>
      <c r="D61" s="247"/>
      <c r="E61" s="680"/>
      <c r="F61" s="681"/>
      <c r="G61" s="682" t="s">
        <v>132</v>
      </c>
      <c r="H61" s="683">
        <f>H34</f>
        <v>435</v>
      </c>
      <c r="I61" s="684" t="s">
        <v>131</v>
      </c>
      <c r="J61" s="685"/>
      <c r="K61" s="685"/>
      <c r="L61" s="240"/>
      <c r="U61" s="692"/>
      <c r="V61" s="89"/>
      <c r="W61" s="89"/>
      <c r="AB61" s="67"/>
    </row>
    <row r="62" spans="1:28" ht="17.25" customHeight="1" thickBot="1" x14ac:dyDescent="0.25">
      <c r="C62" s="248"/>
      <c r="D62" s="249"/>
      <c r="E62" s="282"/>
      <c r="F62" s="282"/>
      <c r="G62" s="282"/>
      <c r="H62" s="282"/>
      <c r="I62" s="687" t="s">
        <v>278</v>
      </c>
      <c r="J62" s="282"/>
      <c r="K62" s="282"/>
      <c r="L62" s="250"/>
      <c r="M62" s="4"/>
      <c r="N62" s="4"/>
      <c r="O62" s="4"/>
      <c r="P62" s="4"/>
      <c r="Q62" s="493"/>
      <c r="R62" s="494"/>
      <c r="U62" s="89"/>
      <c r="V62" s="89"/>
      <c r="W62" s="89"/>
      <c r="AB62" s="67"/>
    </row>
    <row r="63" spans="1:28" ht="16.5" customHeight="1" thickTop="1" x14ac:dyDescent="0.2">
      <c r="C63" s="55"/>
      <c r="D63" s="37"/>
      <c r="L63" s="506"/>
      <c r="M63" s="506"/>
      <c r="U63" s="89"/>
      <c r="V63" s="89"/>
      <c r="W63" s="89"/>
    </row>
    <row r="64" spans="1:28" ht="16.5" customHeight="1" x14ac:dyDescent="0.2">
      <c r="C64" s="5"/>
      <c r="D64" s="4"/>
      <c r="I64" s="506"/>
      <c r="J64" s="506"/>
      <c r="K64" s="506"/>
      <c r="L64" s="506"/>
      <c r="M64" s="506"/>
      <c r="S64" s="434"/>
    </row>
    <row r="65" spans="3:33" ht="20.25" customHeight="1" x14ac:dyDescent="0.35">
      <c r="C65" s="5"/>
      <c r="D65" s="598" t="s">
        <v>91</v>
      </c>
      <c r="J65" s="390"/>
      <c r="K65" s="4"/>
      <c r="L65" s="4"/>
      <c r="M65" s="4"/>
      <c r="N65" s="4"/>
      <c r="O65" s="4"/>
      <c r="P65" s="4"/>
      <c r="Q65" s="713" t="str">
        <f>IF(G55&gt;0,"ALL PARTIES THAT ELECT A CANDIDATE MUST BE LISTED SEPARATELY."," ")</f>
        <v xml:space="preserve"> </v>
      </c>
      <c r="R65" s="713"/>
      <c r="U65" s="42"/>
      <c r="V65" s="31"/>
    </row>
    <row r="66" spans="3:33" ht="16.5" customHeight="1" thickBot="1" x14ac:dyDescent="0.25">
      <c r="C66" s="5"/>
      <c r="D66" s="4"/>
      <c r="J66" s="390"/>
      <c r="K66" s="4"/>
      <c r="L66" s="4"/>
      <c r="M66" s="4"/>
      <c r="N66" s="4"/>
      <c r="O66" s="4"/>
      <c r="P66" s="4"/>
      <c r="Q66" s="713"/>
      <c r="R66" s="713"/>
      <c r="V66" s="31"/>
    </row>
    <row r="67" spans="3:33" ht="5.25" customHeight="1" thickTop="1" x14ac:dyDescent="0.2">
      <c r="C67" s="235"/>
      <c r="D67" s="264"/>
      <c r="E67" s="254"/>
      <c r="F67" s="254"/>
      <c r="G67" s="254"/>
      <c r="H67" s="254"/>
      <c r="I67" s="254"/>
      <c r="J67" s="265"/>
      <c r="K67" s="264"/>
      <c r="L67" s="266"/>
      <c r="Q67" s="703"/>
      <c r="R67" s="703"/>
    </row>
    <row r="68" spans="3:33" ht="42.75" customHeight="1" x14ac:dyDescent="0.2">
      <c r="C68" s="239"/>
      <c r="D68" s="716" t="s">
        <v>167</v>
      </c>
      <c r="E68" s="728"/>
      <c r="F68" s="728"/>
      <c r="G68" s="728"/>
      <c r="H68" s="728"/>
      <c r="I68" s="728"/>
      <c r="J68" s="728"/>
      <c r="K68" s="728"/>
      <c r="L68" s="851"/>
      <c r="Q68" s="379"/>
    </row>
    <row r="69" spans="3:33" ht="7.5" customHeight="1" thickBot="1" x14ac:dyDescent="0.25">
      <c r="C69" s="248"/>
      <c r="D69" s="249"/>
      <c r="E69" s="249"/>
      <c r="F69" s="249"/>
      <c r="G69" s="249"/>
      <c r="H69" s="249"/>
      <c r="I69" s="249"/>
      <c r="J69" s="249"/>
      <c r="K69" s="249"/>
      <c r="L69" s="250"/>
      <c r="Q69" s="4"/>
      <c r="R69" s="4"/>
    </row>
    <row r="70" spans="3:33" ht="15" customHeight="1" thickTop="1" thickBot="1" x14ac:dyDescent="0.25">
      <c r="C70" s="56"/>
      <c r="D70" s="57"/>
      <c r="E70" s="57"/>
      <c r="F70" s="57"/>
      <c r="G70" s="57"/>
      <c r="H70" s="57"/>
      <c r="I70" s="57"/>
      <c r="J70" s="57"/>
      <c r="K70" s="57"/>
      <c r="L70" s="57"/>
      <c r="M70" s="4"/>
      <c r="N70" s="4"/>
      <c r="O70" s="4"/>
      <c r="P70" s="4"/>
    </row>
    <row r="71" spans="3:33" ht="11.25" customHeight="1" thickTop="1" x14ac:dyDescent="0.2">
      <c r="C71" s="235"/>
      <c r="D71" s="264"/>
      <c r="E71" s="264"/>
      <c r="F71" s="264"/>
      <c r="G71" s="264"/>
      <c r="H71" s="264"/>
      <c r="I71" s="264"/>
      <c r="J71" s="264"/>
      <c r="K71" s="264"/>
      <c r="L71" s="266"/>
      <c r="M71" s="38"/>
    </row>
    <row r="72" spans="3:33" ht="21" customHeight="1" x14ac:dyDescent="0.2">
      <c r="C72" s="239"/>
      <c r="D72" s="267" t="s">
        <v>17</v>
      </c>
      <c r="E72" s="247"/>
      <c r="F72" s="247"/>
      <c r="G72" s="247"/>
      <c r="H72" s="247"/>
      <c r="I72" s="247"/>
      <c r="J72" s="247"/>
      <c r="K72" s="247"/>
      <c r="L72" s="268"/>
      <c r="M72" s="38"/>
      <c r="Z72" s="63" t="s">
        <v>2</v>
      </c>
      <c r="AF72" s="101"/>
      <c r="AG72" s="101"/>
    </row>
    <row r="73" spans="3:33" ht="17.25" customHeight="1" x14ac:dyDescent="0.2">
      <c r="C73" s="239"/>
      <c r="D73" s="232"/>
      <c r="E73" s="247"/>
      <c r="F73" s="247"/>
      <c r="G73" s="503" t="s">
        <v>79</v>
      </c>
      <c r="H73" s="409">
        <f>F28</f>
        <v>0.03</v>
      </c>
      <c r="I73" s="244" t="s">
        <v>134</v>
      </c>
      <c r="J73" s="247"/>
      <c r="K73" s="247"/>
      <c r="L73" s="268"/>
      <c r="M73" s="38"/>
      <c r="AA73" s="101" t="s">
        <v>32</v>
      </c>
      <c r="AB73" s="101"/>
      <c r="AC73" s="101"/>
      <c r="AD73" s="101"/>
      <c r="AE73" s="101"/>
      <c r="AF73" s="101"/>
      <c r="AG73" s="101"/>
    </row>
    <row r="74" spans="3:33" ht="15.75" customHeight="1" x14ac:dyDescent="0.2">
      <c r="C74" s="239"/>
      <c r="D74" s="407" t="s">
        <v>135</v>
      </c>
      <c r="E74" s="269"/>
      <c r="F74" s="269"/>
      <c r="G74" s="243"/>
      <c r="H74" s="243"/>
      <c r="I74" s="232"/>
      <c r="J74" s="232"/>
      <c r="K74" s="232"/>
      <c r="L74" s="240"/>
      <c r="M74" s="36"/>
      <c r="Y74" s="101"/>
      <c r="AA74" s="101" t="s">
        <v>88</v>
      </c>
      <c r="AB74" s="101"/>
      <c r="AC74" s="101"/>
      <c r="AD74" s="101"/>
      <c r="AE74" s="405">
        <f>F28</f>
        <v>0.03</v>
      </c>
      <c r="AF74" s="101"/>
      <c r="AG74" s="103" t="e">
        <f>#REF!</f>
        <v>#REF!</v>
      </c>
    </row>
    <row r="75" spans="3:33" ht="18" customHeight="1" thickBot="1" x14ac:dyDescent="0.25">
      <c r="C75" s="239"/>
      <c r="D75" s="483" t="s">
        <v>136</v>
      </c>
      <c r="E75" s="232"/>
      <c r="F75" s="232"/>
      <c r="G75" s="232"/>
      <c r="H75" s="232"/>
      <c r="I75" s="232"/>
      <c r="J75" s="232"/>
      <c r="K75" s="232"/>
      <c r="L75" s="240"/>
      <c r="M75" s="36"/>
      <c r="Y75" s="101"/>
      <c r="Z75" s="104"/>
      <c r="AA75" s="102"/>
      <c r="AB75" s="104"/>
      <c r="AC75" s="802" t="s">
        <v>89</v>
      </c>
      <c r="AD75" s="101"/>
      <c r="AE75" s="101"/>
      <c r="AF75" s="101"/>
      <c r="AG75" s="101"/>
    </row>
    <row r="76" spans="3:33" ht="49.5" customHeight="1" thickTop="1" thickBot="1" x14ac:dyDescent="0.25">
      <c r="C76" s="239"/>
      <c r="D76" s="247"/>
      <c r="E76" s="272"/>
      <c r="F76" s="44" t="s">
        <v>67</v>
      </c>
      <c r="G76" s="845" t="s">
        <v>30</v>
      </c>
      <c r="H76" s="846"/>
      <c r="I76" s="847"/>
      <c r="J76" s="273" t="s">
        <v>95</v>
      </c>
      <c r="K76" s="247"/>
      <c r="L76" s="268"/>
      <c r="M76" s="38"/>
      <c r="Y76" s="105"/>
      <c r="Z76" s="101"/>
      <c r="AA76" s="101"/>
      <c r="AB76" s="106" t="s">
        <v>31</v>
      </c>
      <c r="AC76" s="802"/>
      <c r="AD76" s="106" t="s">
        <v>39</v>
      </c>
      <c r="AE76" s="106" t="s">
        <v>33</v>
      </c>
      <c r="AF76" s="107" t="s">
        <v>90</v>
      </c>
      <c r="AG76" s="106" t="s">
        <v>34</v>
      </c>
    </row>
    <row r="77" spans="3:33" ht="15.75" thickTop="1" x14ac:dyDescent="0.2">
      <c r="C77" s="239"/>
      <c r="D77" s="252">
        <v>1</v>
      </c>
      <c r="E77" s="136" t="str">
        <f t="shared" ref="E77:E88" si="15">E44</f>
        <v>Lincoln Republicans</v>
      </c>
      <c r="F77" s="137">
        <f t="shared" ref="F77:F85" si="16">IF(AG77&gt;0,AG77,"Excluded")</f>
        <v>25000000</v>
      </c>
      <c r="G77" s="795">
        <f t="shared" ref="G77:G88" si="17">IF(F77="Excluded","Excluded",F77/F$89)</f>
        <v>0.16297262059973924</v>
      </c>
      <c r="H77" s="795"/>
      <c r="I77" s="796"/>
      <c r="J77" s="274">
        <f t="shared" ref="J77:J88" si="18">G44</f>
        <v>130</v>
      </c>
      <c r="K77" s="275"/>
      <c r="L77" s="268"/>
      <c r="M77" s="38"/>
      <c r="P77" s="848" t="s">
        <v>177</v>
      </c>
      <c r="Q77" s="703"/>
      <c r="Y77" s="108">
        <f t="shared" ref="Y77:Y88" si="19">IF(G77="Excluded",0,G77)</f>
        <v>0.16297262059973924</v>
      </c>
      <c r="Z77" s="101"/>
      <c r="AA77" s="101" t="str">
        <f t="shared" ref="AA77:AA88" si="20">E77</f>
        <v>Lincoln Republicans</v>
      </c>
      <c r="AB77" s="109">
        <f>IF(J44&lt;$F$28,0,1)</f>
        <v>1</v>
      </c>
      <c r="AC77" s="104">
        <f t="shared" ref="AC77:AC88" si="21">IF(G44&gt;0,1,0)</f>
        <v>1</v>
      </c>
      <c r="AD77" s="104">
        <f t="shared" ref="AD77:AD88" si="22">IF(AC77+AB77=0,0,AC77+AB77)</f>
        <v>2</v>
      </c>
      <c r="AE77" s="101">
        <f t="shared" ref="AE77:AE88" si="23">IF(AD77&gt;0,F44,0)</f>
        <v>25000000</v>
      </c>
      <c r="AF77" s="110" t="e">
        <f>IF(#REF!=0,0,1)</f>
        <v>#REF!</v>
      </c>
      <c r="AG77" s="111">
        <f t="shared" ref="AG77:AG88" si="24">IF(AE77=0,"Excluded",AE77)</f>
        <v>25000000</v>
      </c>
    </row>
    <row r="78" spans="3:33" ht="15" x14ac:dyDescent="0.2">
      <c r="C78" s="239"/>
      <c r="D78" s="252">
        <f>1+D77</f>
        <v>2</v>
      </c>
      <c r="E78" s="138" t="str">
        <f t="shared" si="15"/>
        <v>Democratic Party</v>
      </c>
      <c r="F78" s="139">
        <f t="shared" si="16"/>
        <v>35000000</v>
      </c>
      <c r="G78" s="697">
        <f t="shared" si="17"/>
        <v>0.22816166883963493</v>
      </c>
      <c r="H78" s="697"/>
      <c r="I78" s="698"/>
      <c r="J78" s="274">
        <f t="shared" si="18"/>
        <v>135</v>
      </c>
      <c r="K78" s="275"/>
      <c r="L78" s="268"/>
      <c r="M78" s="38"/>
      <c r="P78" s="703"/>
      <c r="Q78" s="703"/>
      <c r="Y78" s="108">
        <f t="shared" si="19"/>
        <v>0.22816166883963493</v>
      </c>
      <c r="Z78" s="101"/>
      <c r="AA78" s="101" t="str">
        <f t="shared" si="20"/>
        <v>Democratic Party</v>
      </c>
      <c r="AB78" s="109">
        <f t="shared" ref="AB78:AB88" si="25">IF(J45*1&lt;$F$28,0,1)</f>
        <v>1</v>
      </c>
      <c r="AC78" s="104">
        <f t="shared" si="21"/>
        <v>1</v>
      </c>
      <c r="AD78" s="104">
        <f t="shared" si="22"/>
        <v>2</v>
      </c>
      <c r="AE78" s="101">
        <f t="shared" si="23"/>
        <v>35000000</v>
      </c>
      <c r="AF78" s="110" t="e">
        <f>IF(#REF!=0,0,1)</f>
        <v>#REF!</v>
      </c>
      <c r="AG78" s="111">
        <f t="shared" si="24"/>
        <v>35000000</v>
      </c>
    </row>
    <row r="79" spans="3:33" ht="15" x14ac:dyDescent="0.2">
      <c r="C79" s="239"/>
      <c r="D79" s="253">
        <f t="shared" ref="D79:D88" si="26">1+D78</f>
        <v>3</v>
      </c>
      <c r="E79" s="138" t="str">
        <f t="shared" si="15"/>
        <v>MAGA Party</v>
      </c>
      <c r="F79" s="139">
        <f t="shared" si="16"/>
        <v>25000000</v>
      </c>
      <c r="G79" s="697">
        <f t="shared" si="17"/>
        <v>0.16297262059973924</v>
      </c>
      <c r="H79" s="697"/>
      <c r="I79" s="698"/>
      <c r="J79" s="274">
        <f t="shared" si="18"/>
        <v>70</v>
      </c>
      <c r="K79" s="275"/>
      <c r="L79" s="268"/>
      <c r="M79" s="38"/>
      <c r="P79" s="703"/>
      <c r="Q79" s="703"/>
      <c r="Y79" s="108">
        <f t="shared" si="19"/>
        <v>0.16297262059973924</v>
      </c>
      <c r="Z79" s="101"/>
      <c r="AA79" s="101" t="str">
        <f t="shared" si="20"/>
        <v>MAGA Party</v>
      </c>
      <c r="AB79" s="109">
        <f t="shared" si="25"/>
        <v>1</v>
      </c>
      <c r="AC79" s="104">
        <f t="shared" si="21"/>
        <v>1</v>
      </c>
      <c r="AD79" s="104">
        <f t="shared" si="22"/>
        <v>2</v>
      </c>
      <c r="AE79" s="101">
        <f t="shared" si="23"/>
        <v>25000000</v>
      </c>
      <c r="AF79" s="110" t="e">
        <f>IF(#REF!=0,0,1)</f>
        <v>#REF!</v>
      </c>
      <c r="AG79" s="111">
        <f t="shared" si="24"/>
        <v>25000000</v>
      </c>
    </row>
    <row r="80" spans="3:33" ht="15" x14ac:dyDescent="0.2">
      <c r="C80" s="239"/>
      <c r="D80" s="253">
        <f t="shared" si="26"/>
        <v>4</v>
      </c>
      <c r="E80" s="138" t="str">
        <f t="shared" si="15"/>
        <v>Progressive Democratic Party</v>
      </c>
      <c r="F80" s="139">
        <f t="shared" si="16"/>
        <v>30000000</v>
      </c>
      <c r="G80" s="697">
        <f t="shared" si="17"/>
        <v>0.19556714471968709</v>
      </c>
      <c r="H80" s="697"/>
      <c r="I80" s="698"/>
      <c r="J80" s="274">
        <f t="shared" si="18"/>
        <v>77</v>
      </c>
      <c r="K80" s="275"/>
      <c r="L80" s="268"/>
      <c r="M80" s="38"/>
      <c r="P80" s="703"/>
      <c r="Q80" s="703"/>
      <c r="Y80" s="108">
        <f t="shared" si="19"/>
        <v>0.19556714471968709</v>
      </c>
      <c r="Z80" s="101"/>
      <c r="AA80" s="101" t="str">
        <f t="shared" si="20"/>
        <v>Progressive Democratic Party</v>
      </c>
      <c r="AB80" s="109">
        <f t="shared" si="25"/>
        <v>1</v>
      </c>
      <c r="AC80" s="104">
        <f t="shared" si="21"/>
        <v>1</v>
      </c>
      <c r="AD80" s="104">
        <f t="shared" si="22"/>
        <v>2</v>
      </c>
      <c r="AE80" s="101">
        <f t="shared" si="23"/>
        <v>30000000</v>
      </c>
      <c r="AF80" s="110" t="e">
        <f>IF(#REF!=0,0,1)</f>
        <v>#REF!</v>
      </c>
      <c r="AG80" s="111">
        <f t="shared" si="24"/>
        <v>30000000</v>
      </c>
    </row>
    <row r="81" spans="3:33" ht="15.75" customHeight="1" x14ac:dyDescent="0.2">
      <c r="C81" s="239"/>
      <c r="D81" s="253">
        <f t="shared" si="26"/>
        <v>5</v>
      </c>
      <c r="E81" s="138" t="str">
        <f t="shared" si="15"/>
        <v>Green Party</v>
      </c>
      <c r="F81" s="139">
        <f t="shared" si="16"/>
        <v>15000000</v>
      </c>
      <c r="G81" s="697">
        <f t="shared" si="17"/>
        <v>9.7783572359843543E-2</v>
      </c>
      <c r="H81" s="697"/>
      <c r="I81" s="698"/>
      <c r="J81" s="274">
        <f t="shared" si="18"/>
        <v>8</v>
      </c>
      <c r="K81" s="275"/>
      <c r="L81" s="268"/>
      <c r="M81" s="38"/>
      <c r="P81" s="703"/>
      <c r="Q81" s="703"/>
      <c r="Y81" s="108">
        <f t="shared" si="19"/>
        <v>9.7783572359843543E-2</v>
      </c>
      <c r="Z81" s="101"/>
      <c r="AA81" s="101" t="str">
        <f t="shared" si="20"/>
        <v>Green Party</v>
      </c>
      <c r="AB81" s="109">
        <f t="shared" si="25"/>
        <v>1</v>
      </c>
      <c r="AC81" s="104">
        <f t="shared" si="21"/>
        <v>1</v>
      </c>
      <c r="AD81" s="104">
        <f t="shared" si="22"/>
        <v>2</v>
      </c>
      <c r="AE81" s="101">
        <f t="shared" si="23"/>
        <v>15000000</v>
      </c>
      <c r="AF81" s="110" t="e">
        <f>IF(#REF!=0,0,1)</f>
        <v>#REF!</v>
      </c>
      <c r="AG81" s="111">
        <f t="shared" si="24"/>
        <v>15000000</v>
      </c>
    </row>
    <row r="82" spans="3:33" ht="15" x14ac:dyDescent="0.2">
      <c r="C82" s="239"/>
      <c r="D82" s="253">
        <f t="shared" si="26"/>
        <v>6</v>
      </c>
      <c r="E82" s="138" t="str">
        <f t="shared" si="15"/>
        <v>Libertarian Party</v>
      </c>
      <c r="F82" s="139">
        <f t="shared" si="16"/>
        <v>20000000</v>
      </c>
      <c r="G82" s="697">
        <f t="shared" si="17"/>
        <v>0.1303780964797914</v>
      </c>
      <c r="H82" s="697"/>
      <c r="I82" s="698"/>
      <c r="J82" s="274">
        <f t="shared" si="18"/>
        <v>8</v>
      </c>
      <c r="K82" s="275"/>
      <c r="L82" s="268"/>
      <c r="M82" s="38"/>
      <c r="P82" s="703"/>
      <c r="Q82" s="703"/>
      <c r="Y82" s="108">
        <f t="shared" si="19"/>
        <v>0.1303780964797914</v>
      </c>
      <c r="Z82" s="101"/>
      <c r="AA82" s="101" t="str">
        <f t="shared" si="20"/>
        <v>Libertarian Party</v>
      </c>
      <c r="AB82" s="109">
        <f t="shared" si="25"/>
        <v>1</v>
      </c>
      <c r="AC82" s="104">
        <f t="shared" si="21"/>
        <v>1</v>
      </c>
      <c r="AD82" s="104">
        <f t="shared" si="22"/>
        <v>2</v>
      </c>
      <c r="AE82" s="101">
        <f t="shared" si="23"/>
        <v>20000000</v>
      </c>
      <c r="AF82" s="110" t="e">
        <f>IF(#REF!=0,0,1)</f>
        <v>#REF!</v>
      </c>
      <c r="AG82" s="111">
        <f t="shared" si="24"/>
        <v>20000000</v>
      </c>
    </row>
    <row r="83" spans="3:33" ht="15" x14ac:dyDescent="0.2">
      <c r="C83" s="239"/>
      <c r="D83" s="253">
        <f t="shared" si="26"/>
        <v>7</v>
      </c>
      <c r="E83" s="138" t="str">
        <f t="shared" si="15"/>
        <v>New West Party</v>
      </c>
      <c r="F83" s="139">
        <f t="shared" si="16"/>
        <v>400000</v>
      </c>
      <c r="G83" s="697">
        <f t="shared" si="17"/>
        <v>2.6075619295958278E-3</v>
      </c>
      <c r="H83" s="697"/>
      <c r="I83" s="698"/>
      <c r="J83" s="274">
        <f t="shared" si="18"/>
        <v>1</v>
      </c>
      <c r="K83" s="275"/>
      <c r="L83" s="268"/>
      <c r="M83" s="38"/>
      <c r="P83" s="703"/>
      <c r="Q83" s="703"/>
      <c r="Y83" s="108">
        <f t="shared" si="19"/>
        <v>2.6075619295958278E-3</v>
      </c>
      <c r="Z83" s="101"/>
      <c r="AA83" s="101" t="str">
        <f t="shared" si="20"/>
        <v>New West Party</v>
      </c>
      <c r="AB83" s="109">
        <f t="shared" si="25"/>
        <v>0</v>
      </c>
      <c r="AC83" s="104">
        <f t="shared" si="21"/>
        <v>1</v>
      </c>
      <c r="AD83" s="104">
        <f t="shared" si="22"/>
        <v>1</v>
      </c>
      <c r="AE83" s="101">
        <f t="shared" si="23"/>
        <v>400000</v>
      </c>
      <c r="AF83" s="110" t="e">
        <f>IF(#REF!=0,0,1)</f>
        <v>#REF!</v>
      </c>
      <c r="AG83" s="111">
        <f t="shared" si="24"/>
        <v>400000</v>
      </c>
    </row>
    <row r="84" spans="3:33" ht="15" x14ac:dyDescent="0.2">
      <c r="C84" s="239"/>
      <c r="D84" s="253">
        <f t="shared" si="26"/>
        <v>8</v>
      </c>
      <c r="E84" s="138" t="str">
        <f t="shared" si="15"/>
        <v>First Americans Party</v>
      </c>
      <c r="F84" s="139">
        <f t="shared" si="16"/>
        <v>3000000</v>
      </c>
      <c r="G84" s="697">
        <f t="shared" si="17"/>
        <v>1.955671447196871E-2</v>
      </c>
      <c r="H84" s="697"/>
      <c r="I84" s="698"/>
      <c r="J84" s="274">
        <f t="shared" si="18"/>
        <v>2</v>
      </c>
      <c r="K84" s="275"/>
      <c r="L84" s="268"/>
      <c r="M84" s="38"/>
      <c r="P84" s="703"/>
      <c r="Q84" s="703"/>
      <c r="Y84" s="108">
        <f t="shared" si="19"/>
        <v>1.955671447196871E-2</v>
      </c>
      <c r="Z84" s="101"/>
      <c r="AA84" s="101" t="str">
        <f t="shared" si="20"/>
        <v>First Americans Party</v>
      </c>
      <c r="AB84" s="109">
        <f t="shared" si="25"/>
        <v>0</v>
      </c>
      <c r="AC84" s="104">
        <f t="shared" si="21"/>
        <v>1</v>
      </c>
      <c r="AD84" s="104">
        <f t="shared" si="22"/>
        <v>1</v>
      </c>
      <c r="AE84" s="101">
        <f t="shared" si="23"/>
        <v>3000000</v>
      </c>
      <c r="AF84" s="110" t="e">
        <f>IF(#REF!=0,0,1)</f>
        <v>#REF!</v>
      </c>
      <c r="AG84" s="111">
        <f t="shared" si="24"/>
        <v>3000000</v>
      </c>
    </row>
    <row r="85" spans="3:33" ht="15" x14ac:dyDescent="0.2">
      <c r="C85" s="239"/>
      <c r="D85" s="253">
        <f t="shared" si="26"/>
        <v>9</v>
      </c>
      <c r="E85" s="138" t="str">
        <f t="shared" si="15"/>
        <v>New Morality Party</v>
      </c>
      <c r="F85" s="139" t="str">
        <f t="shared" si="16"/>
        <v>Excluded</v>
      </c>
      <c r="G85" s="697" t="str">
        <f t="shared" si="17"/>
        <v>Excluded</v>
      </c>
      <c r="H85" s="697"/>
      <c r="I85" s="698"/>
      <c r="J85" s="274">
        <f t="shared" si="18"/>
        <v>0</v>
      </c>
      <c r="K85" s="275"/>
      <c r="L85" s="268"/>
      <c r="M85" s="38"/>
      <c r="P85" s="703"/>
      <c r="Q85" s="703"/>
      <c r="Y85" s="108">
        <f t="shared" si="19"/>
        <v>0</v>
      </c>
      <c r="Z85" s="101"/>
      <c r="AA85" s="101" t="str">
        <f t="shared" si="20"/>
        <v>New Morality Party</v>
      </c>
      <c r="AB85" s="109">
        <f t="shared" si="25"/>
        <v>0</v>
      </c>
      <c r="AC85" s="104">
        <f t="shared" si="21"/>
        <v>0</v>
      </c>
      <c r="AD85" s="104">
        <f t="shared" si="22"/>
        <v>0</v>
      </c>
      <c r="AE85" s="101">
        <f t="shared" si="23"/>
        <v>0</v>
      </c>
      <c r="AF85" s="110" t="e">
        <f>IF(#REF!=0,0,1)</f>
        <v>#REF!</v>
      </c>
      <c r="AG85" s="111" t="str">
        <f t="shared" si="24"/>
        <v>Excluded</v>
      </c>
    </row>
    <row r="86" spans="3:33" ht="15" x14ac:dyDescent="0.2">
      <c r="C86" s="239"/>
      <c r="D86" s="253">
        <f t="shared" si="26"/>
        <v>10</v>
      </c>
      <c r="E86" s="138" t="str">
        <f t="shared" si="15"/>
        <v>Other New Party</v>
      </c>
      <c r="F86" s="139" t="str">
        <f>IF(AG86&gt;0,AG86,"Excluded")</f>
        <v>Excluded</v>
      </c>
      <c r="G86" s="697" t="str">
        <f t="shared" ref="G86:G87" si="27">IF(F86="Excluded","Excluded",F86/F$89)</f>
        <v>Excluded</v>
      </c>
      <c r="H86" s="697"/>
      <c r="I86" s="698"/>
      <c r="J86" s="274">
        <f t="shared" si="18"/>
        <v>0</v>
      </c>
      <c r="K86" s="275"/>
      <c r="L86" s="268"/>
      <c r="M86" s="38"/>
      <c r="P86" s="703"/>
      <c r="Q86" s="703"/>
      <c r="Y86" s="108">
        <f t="shared" si="19"/>
        <v>0</v>
      </c>
      <c r="Z86" s="101"/>
      <c r="AA86" s="101" t="str">
        <f t="shared" si="20"/>
        <v>Other New Party</v>
      </c>
      <c r="AB86" s="109">
        <f t="shared" si="25"/>
        <v>0</v>
      </c>
      <c r="AC86" s="104">
        <f t="shared" si="21"/>
        <v>0</v>
      </c>
      <c r="AD86" s="104">
        <f t="shared" si="22"/>
        <v>0</v>
      </c>
      <c r="AE86" s="101">
        <f t="shared" si="23"/>
        <v>0</v>
      </c>
      <c r="AF86" s="110" t="e">
        <f>IF(#REF!=0,0,1)</f>
        <v>#REF!</v>
      </c>
      <c r="AG86" s="111" t="str">
        <f t="shared" si="24"/>
        <v>Excluded</v>
      </c>
    </row>
    <row r="87" spans="3:33" ht="15" x14ac:dyDescent="0.2">
      <c r="C87" s="239"/>
      <c r="D87" s="253">
        <f t="shared" si="26"/>
        <v>11</v>
      </c>
      <c r="E87" s="138">
        <f t="shared" si="15"/>
        <v>0</v>
      </c>
      <c r="F87" s="139" t="str">
        <f>IF(AG87&gt;0,AG87,"Excluded")</f>
        <v>Excluded</v>
      </c>
      <c r="G87" s="697" t="str">
        <f t="shared" si="27"/>
        <v>Excluded</v>
      </c>
      <c r="H87" s="697"/>
      <c r="I87" s="698"/>
      <c r="J87" s="274">
        <f t="shared" si="18"/>
        <v>0</v>
      </c>
      <c r="K87" s="275"/>
      <c r="L87" s="268"/>
      <c r="M87" s="38"/>
      <c r="Y87" s="108">
        <f t="shared" si="19"/>
        <v>0</v>
      </c>
      <c r="Z87" s="101"/>
      <c r="AA87" s="101">
        <f t="shared" si="20"/>
        <v>0</v>
      </c>
      <c r="AB87" s="109">
        <f t="shared" si="25"/>
        <v>0</v>
      </c>
      <c r="AC87" s="104">
        <f t="shared" si="21"/>
        <v>0</v>
      </c>
      <c r="AD87" s="104">
        <f t="shared" si="22"/>
        <v>0</v>
      </c>
      <c r="AE87" s="101">
        <f t="shared" si="23"/>
        <v>0</v>
      </c>
      <c r="AF87" s="110" t="e">
        <f>IF(#REF!=0,0,1)</f>
        <v>#REF!</v>
      </c>
      <c r="AG87" s="111" t="str">
        <f t="shared" si="24"/>
        <v>Excluded</v>
      </c>
    </row>
    <row r="88" spans="3:33" ht="15.75" thickBot="1" x14ac:dyDescent="0.25">
      <c r="C88" s="239"/>
      <c r="D88" s="253">
        <f t="shared" si="26"/>
        <v>12</v>
      </c>
      <c r="E88" s="140" t="str">
        <f t="shared" si="15"/>
        <v>Other (non-winning) parties*</v>
      </c>
      <c r="F88" s="141" t="str">
        <f>IF(AG88&gt;0,AG88,"Excluded")</f>
        <v>Excluded</v>
      </c>
      <c r="G88" s="855" t="str">
        <f t="shared" si="17"/>
        <v>Excluded</v>
      </c>
      <c r="H88" s="855"/>
      <c r="I88" s="856"/>
      <c r="J88" s="274">
        <f t="shared" si="18"/>
        <v>0</v>
      </c>
      <c r="K88" s="275"/>
      <c r="L88" s="268"/>
      <c r="M88" s="38"/>
      <c r="Y88" s="108">
        <f t="shared" si="19"/>
        <v>0</v>
      </c>
      <c r="Z88" s="101"/>
      <c r="AA88" s="101" t="str">
        <f t="shared" si="20"/>
        <v>Other (non-winning) parties*</v>
      </c>
      <c r="AB88" s="109">
        <f t="shared" si="25"/>
        <v>0</v>
      </c>
      <c r="AC88" s="104">
        <f t="shared" si="21"/>
        <v>0</v>
      </c>
      <c r="AD88" s="104">
        <f t="shared" si="22"/>
        <v>0</v>
      </c>
      <c r="AE88" s="101">
        <f t="shared" si="23"/>
        <v>0</v>
      </c>
      <c r="AF88" s="110" t="e">
        <f>IF(#REF!=0,0,1)</f>
        <v>#REF!</v>
      </c>
      <c r="AG88" s="111" t="str">
        <f t="shared" si="24"/>
        <v>Excluded</v>
      </c>
    </row>
    <row r="89" spans="3:33" ht="18.75" customHeight="1" thickTop="1" thickBot="1" x14ac:dyDescent="0.25">
      <c r="C89" s="239"/>
      <c r="D89" s="247"/>
      <c r="E89" s="14" t="s">
        <v>10</v>
      </c>
      <c r="F89" s="90">
        <f>SUM(F77:F88)</f>
        <v>153400000</v>
      </c>
      <c r="G89" s="857">
        <f>SUM(G77:I88)</f>
        <v>1</v>
      </c>
      <c r="H89" s="857"/>
      <c r="I89" s="857"/>
      <c r="J89" s="274">
        <f>SUM(J77:J88)</f>
        <v>431</v>
      </c>
      <c r="K89" s="247"/>
      <c r="L89" s="268"/>
      <c r="M89" s="38"/>
      <c r="T89" s="4"/>
      <c r="U89" s="4"/>
      <c r="W89" s="105"/>
      <c r="X89" s="101"/>
      <c r="Y89" s="101"/>
      <c r="Z89" s="101"/>
      <c r="AA89" s="101"/>
      <c r="AB89" s="101"/>
      <c r="AC89" s="101"/>
      <c r="AD89" s="101"/>
      <c r="AE89" s="101"/>
      <c r="AF89" s="101"/>
    </row>
    <row r="90" spans="3:33" ht="9.75" customHeight="1" thickTop="1" x14ac:dyDescent="0.2">
      <c r="C90" s="239"/>
      <c r="D90" s="247"/>
      <c r="E90" s="470"/>
      <c r="F90" s="477"/>
      <c r="G90" s="471"/>
      <c r="H90" s="471"/>
      <c r="I90" s="471"/>
      <c r="J90" s="274"/>
      <c r="K90" s="247"/>
      <c r="L90" s="268"/>
      <c r="M90" s="38"/>
      <c r="T90" s="4"/>
      <c r="U90" s="4"/>
      <c r="W90" s="105"/>
      <c r="X90" s="101"/>
      <c r="Y90" s="101"/>
      <c r="Z90" s="101"/>
      <c r="AA90" s="101"/>
      <c r="AB90" s="101"/>
      <c r="AC90" s="101"/>
      <c r="AD90" s="101"/>
      <c r="AE90" s="101"/>
      <c r="AF90" s="101"/>
    </row>
    <row r="91" spans="3:33" ht="18.75" customHeight="1" x14ac:dyDescent="0.2">
      <c r="C91" s="239"/>
      <c r="D91" s="479"/>
      <c r="E91" s="244"/>
      <c r="F91" s="477"/>
      <c r="G91" s="471"/>
      <c r="H91" s="471"/>
      <c r="I91" s="471"/>
      <c r="J91" s="274"/>
      <c r="K91" s="247"/>
      <c r="L91" s="268"/>
      <c r="M91" s="38"/>
      <c r="T91" s="4"/>
      <c r="U91" s="4"/>
      <c r="W91" s="105"/>
      <c r="X91" s="101"/>
      <c r="Y91" s="101"/>
      <c r="Z91" s="101"/>
      <c r="AA91" s="101"/>
      <c r="AB91" s="101"/>
      <c r="AC91" s="101"/>
      <c r="AD91" s="101"/>
      <c r="AE91" s="101"/>
      <c r="AF91" s="101"/>
    </row>
    <row r="92" spans="3:33" ht="9" customHeight="1" thickBot="1" x14ac:dyDescent="0.25">
      <c r="C92" s="245"/>
      <c r="D92" s="276"/>
      <c r="E92" s="277"/>
      <c r="F92" s="276"/>
      <c r="G92" s="276"/>
      <c r="H92" s="276"/>
      <c r="I92" s="276"/>
      <c r="J92" s="276"/>
      <c r="K92" s="276"/>
      <c r="L92" s="278"/>
      <c r="M92" s="38"/>
      <c r="Q92" s="4"/>
      <c r="R92" s="4"/>
      <c r="S92" s="4"/>
      <c r="T92" s="4"/>
      <c r="U92" s="4"/>
    </row>
    <row r="93" spans="3:33" ht="14.25" customHeight="1" thickBot="1" x14ac:dyDescent="0.25">
      <c r="C93" s="58"/>
      <c r="D93" s="59"/>
      <c r="E93" s="60"/>
      <c r="F93" s="59"/>
      <c r="G93" s="59"/>
      <c r="H93" s="59"/>
      <c r="I93" s="59"/>
      <c r="J93" s="59"/>
      <c r="K93" s="59"/>
      <c r="L93" s="59"/>
      <c r="M93" s="4"/>
      <c r="N93" s="4"/>
      <c r="O93" s="4"/>
      <c r="P93" s="4"/>
      <c r="Q93" s="4"/>
      <c r="R93" s="4"/>
      <c r="S93" s="4"/>
      <c r="T93" s="4"/>
      <c r="U93" s="4"/>
    </row>
    <row r="94" spans="3:33" ht="11.25" customHeight="1" thickTop="1" x14ac:dyDescent="0.2">
      <c r="C94" s="235"/>
      <c r="D94" s="264"/>
      <c r="E94" s="254"/>
      <c r="F94" s="264"/>
      <c r="G94" s="264"/>
      <c r="H94" s="264"/>
      <c r="I94" s="264"/>
      <c r="J94" s="264"/>
      <c r="K94" s="264"/>
      <c r="L94" s="264"/>
      <c r="M94" s="266"/>
      <c r="N94" s="38"/>
      <c r="O94" s="4"/>
      <c r="P94" s="4"/>
      <c r="Q94" s="4"/>
      <c r="R94" s="4"/>
      <c r="S94" s="4"/>
      <c r="T94" s="4"/>
      <c r="U94" s="4"/>
    </row>
    <row r="95" spans="3:33" ht="16.5" customHeight="1" x14ac:dyDescent="0.25">
      <c r="C95" s="239"/>
      <c r="D95" s="455" t="s">
        <v>18</v>
      </c>
      <c r="E95" s="232"/>
      <c r="F95" s="247"/>
      <c r="G95" s="247"/>
      <c r="H95" s="247"/>
      <c r="I95" s="247"/>
      <c r="J95" s="247"/>
      <c r="K95" s="247"/>
      <c r="L95" s="247"/>
      <c r="M95" s="268"/>
      <c r="N95" s="38"/>
      <c r="O95" s="4"/>
      <c r="P95" s="4"/>
      <c r="Q95" s="4"/>
      <c r="R95" s="4"/>
      <c r="S95" s="4"/>
      <c r="T95" s="4"/>
      <c r="U95" s="4"/>
    </row>
    <row r="96" spans="3:33" ht="65.25" customHeight="1" x14ac:dyDescent="0.3">
      <c r="C96" s="239"/>
      <c r="D96" s="716" t="s">
        <v>239</v>
      </c>
      <c r="E96" s="728"/>
      <c r="F96" s="728"/>
      <c r="G96" s="728"/>
      <c r="H96" s="728"/>
      <c r="I96" s="728"/>
      <c r="J96" s="728"/>
      <c r="K96" s="728"/>
      <c r="L96" s="728"/>
      <c r="M96" s="456"/>
      <c r="N96" s="460"/>
      <c r="O96" s="380"/>
      <c r="P96" s="380"/>
      <c r="Q96" s="380"/>
      <c r="R96" s="11"/>
      <c r="S96" s="11"/>
      <c r="T96" s="4"/>
      <c r="U96" s="6"/>
    </row>
    <row r="97" spans="3:36" ht="15.75" x14ac:dyDescent="0.25">
      <c r="C97" s="239"/>
      <c r="D97" s="243"/>
      <c r="E97" s="243"/>
      <c r="F97" s="243"/>
      <c r="G97" s="279" t="s">
        <v>13</v>
      </c>
      <c r="H97" s="280" t="str">
        <f>AD112</f>
        <v>Lincoln Republicans</v>
      </c>
      <c r="I97" s="279"/>
      <c r="J97" s="232"/>
      <c r="K97" s="232"/>
      <c r="L97" s="243"/>
      <c r="M97" s="457"/>
      <c r="N97" s="38"/>
      <c r="O97" s="4"/>
      <c r="P97" s="4"/>
      <c r="Q97" s="4"/>
      <c r="R97" s="4"/>
      <c r="S97" s="4"/>
      <c r="T97" s="4"/>
    </row>
    <row r="98" spans="3:36" ht="17.45" customHeight="1" x14ac:dyDescent="0.25">
      <c r="C98" s="239"/>
      <c r="D98" s="243"/>
      <c r="E98" s="243"/>
      <c r="F98" s="243"/>
      <c r="G98" s="243"/>
      <c r="H98" s="232"/>
      <c r="I98" s="279" t="s">
        <v>78</v>
      </c>
      <c r="J98" s="458">
        <f>AC112</f>
        <v>1.8507656612529004</v>
      </c>
      <c r="K98" s="232"/>
      <c r="L98" s="243"/>
      <c r="M98" s="457"/>
      <c r="N98" s="38"/>
      <c r="O98" s="4"/>
      <c r="P98" s="4"/>
      <c r="Q98" s="4"/>
      <c r="R98" s="4"/>
      <c r="S98" s="4"/>
      <c r="T98" s="4"/>
      <c r="W98" s="10"/>
    </row>
    <row r="99" spans="3:36" ht="15.75" customHeight="1" thickBot="1" x14ac:dyDescent="0.25">
      <c r="C99" s="239"/>
      <c r="D99" s="243"/>
      <c r="E99" s="243"/>
      <c r="F99" s="243"/>
      <c r="G99" s="243"/>
      <c r="H99" s="243"/>
      <c r="I99" s="279"/>
      <c r="J99" s="459"/>
      <c r="K99" s="243"/>
      <c r="L99" s="243"/>
      <c r="M99" s="457"/>
      <c r="N99" s="38"/>
      <c r="O99" s="4"/>
      <c r="P99" s="4"/>
      <c r="Q99" s="4"/>
      <c r="R99" s="4"/>
      <c r="Z99" s="4"/>
      <c r="AB99" s="2" t="s">
        <v>2</v>
      </c>
    </row>
    <row r="100" spans="3:36" ht="45.75" customHeight="1" thickTop="1" thickBot="1" x14ac:dyDescent="0.25">
      <c r="C100" s="239"/>
      <c r="D100" s="247"/>
      <c r="E100" s="232"/>
      <c r="F100" s="46" t="s">
        <v>11</v>
      </c>
      <c r="G100" s="845" t="s">
        <v>96</v>
      </c>
      <c r="H100" s="846"/>
      <c r="I100" s="847"/>
      <c r="J100" s="444" t="s">
        <v>42</v>
      </c>
      <c r="K100" s="44" t="s">
        <v>37</v>
      </c>
      <c r="L100" s="232"/>
      <c r="M100" s="240"/>
      <c r="N100" s="36"/>
      <c r="Y100" s="417" t="s">
        <v>85</v>
      </c>
      <c r="Z100" s="416" t="s">
        <v>83</v>
      </c>
      <c r="AA100" s="416" t="s">
        <v>82</v>
      </c>
      <c r="AB100" s="416" t="s">
        <v>81</v>
      </c>
      <c r="AC100" s="417"/>
      <c r="AD100" s="416" t="s">
        <v>84</v>
      </c>
      <c r="AJ100" s="211"/>
    </row>
    <row r="101" spans="3:36" ht="15.75" thickTop="1" x14ac:dyDescent="0.2">
      <c r="C101" s="239"/>
      <c r="D101" s="252">
        <v>1</v>
      </c>
      <c r="E101" s="136" t="str">
        <f t="shared" ref="E101:E112" si="28">E44</f>
        <v>Lincoln Republicans</v>
      </c>
      <c r="F101" s="142">
        <f t="shared" ref="F101:F112" si="29">IF(F77="Excluded","Excluded",G44)</f>
        <v>130</v>
      </c>
      <c r="G101" s="766">
        <f>IF(J101="Excluded"," ",F101/F$113)</f>
        <v>0.30162412993039445</v>
      </c>
      <c r="H101" s="767"/>
      <c r="I101" s="767"/>
      <c r="J101" s="445">
        <f t="shared" ref="J101:J112" si="30">G77</f>
        <v>0.16297262059973924</v>
      </c>
      <c r="K101" s="143">
        <f t="shared" ref="K101:K112" si="31">AB101</f>
        <v>1.8507656612529004</v>
      </c>
      <c r="L101" s="508" t="str">
        <f t="shared" ref="L101:L112" si="32">L44</f>
        <v xml:space="preserve"> !! </v>
      </c>
      <c r="M101" s="240"/>
      <c r="N101" s="36"/>
      <c r="P101" s="688"/>
      <c r="X101" s="211" t="str">
        <f>E101</f>
        <v>Lincoln Republicans</v>
      </c>
      <c r="Y101" s="415">
        <f t="shared" ref="Y101:Y112" si="33">G44</f>
        <v>130</v>
      </c>
      <c r="Z101" s="413">
        <f>J101</f>
        <v>0.16297262059973924</v>
      </c>
      <c r="AA101" s="411">
        <f>G44</f>
        <v>130</v>
      </c>
      <c r="AB101" s="418">
        <f t="shared" ref="AB101:AB112" si="34">IF(F101="Excluded",0,IF(F101=0,0,G101/J101))</f>
        <v>1.8507656612529004</v>
      </c>
      <c r="AC101" s="419">
        <f>AB101</f>
        <v>1.8507656612529004</v>
      </c>
      <c r="AD101" s="211" t="str">
        <f>E101</f>
        <v>Lincoln Republicans</v>
      </c>
      <c r="AJ101" s="212"/>
    </row>
    <row r="102" spans="3:36" ht="15" x14ac:dyDescent="0.2">
      <c r="C102" s="239"/>
      <c r="D102" s="252">
        <f>1+D101</f>
        <v>2</v>
      </c>
      <c r="E102" s="138" t="str">
        <f t="shared" si="28"/>
        <v>Democratic Party</v>
      </c>
      <c r="F102" s="142">
        <f t="shared" si="29"/>
        <v>135</v>
      </c>
      <c r="G102" s="699">
        <f t="shared" ref="G102:G112" si="35">IF(J102="Excluded","Excluded",F102/F$113)</f>
        <v>0.31322505800464034</v>
      </c>
      <c r="H102" s="700"/>
      <c r="I102" s="700"/>
      <c r="J102" s="446">
        <f t="shared" si="30"/>
        <v>0.22816166883963493</v>
      </c>
      <c r="K102" s="144">
        <f t="shared" si="31"/>
        <v>1.3728206827974809</v>
      </c>
      <c r="L102" s="508" t="str">
        <f t="shared" si="32"/>
        <v xml:space="preserve"> </v>
      </c>
      <c r="M102" s="240"/>
      <c r="N102" s="36"/>
      <c r="X102" s="442" t="str">
        <f t="shared" ref="X102:X112" si="36">E102</f>
        <v>Democratic Party</v>
      </c>
      <c r="Y102" s="415">
        <f t="shared" si="33"/>
        <v>135</v>
      </c>
      <c r="Z102" s="414">
        <f t="shared" ref="Z102:Z112" si="37">IF(AC102=K102,J102,Z101)</f>
        <v>0.16297262059973924</v>
      </c>
      <c r="AA102" s="412">
        <f t="shared" ref="AA102:AA112" si="38">IF(AC102=AB102,F102,AA101)</f>
        <v>130</v>
      </c>
      <c r="AB102" s="418">
        <f t="shared" si="34"/>
        <v>1.3728206827974809</v>
      </c>
      <c r="AC102" s="420">
        <f>IF(AB102&gt;AC101,AB102,AC101)</f>
        <v>1.8507656612529004</v>
      </c>
      <c r="AD102" s="211" t="str">
        <f t="shared" ref="AD102:AD112" si="39">IF(AB102&gt;AC101,E102,AD101)</f>
        <v>Lincoln Republicans</v>
      </c>
      <c r="AJ102" s="212"/>
    </row>
    <row r="103" spans="3:36" ht="15" x14ac:dyDescent="0.2">
      <c r="C103" s="239"/>
      <c r="D103" s="253">
        <f t="shared" ref="D103:D112" si="40">1+D102</f>
        <v>3</v>
      </c>
      <c r="E103" s="138" t="str">
        <f t="shared" si="28"/>
        <v>MAGA Party</v>
      </c>
      <c r="F103" s="142">
        <f t="shared" si="29"/>
        <v>70</v>
      </c>
      <c r="G103" s="699">
        <f t="shared" si="35"/>
        <v>0.16241299303944315</v>
      </c>
      <c r="H103" s="700"/>
      <c r="I103" s="700"/>
      <c r="J103" s="446">
        <f t="shared" si="30"/>
        <v>0.16297262059973924</v>
      </c>
      <c r="K103" s="144">
        <f t="shared" si="31"/>
        <v>0.9965661252900232</v>
      </c>
      <c r="L103" s="508" t="str">
        <f t="shared" si="32"/>
        <v xml:space="preserve"> </v>
      </c>
      <c r="M103" s="240"/>
      <c r="N103" s="36"/>
      <c r="X103" s="442" t="str">
        <f t="shared" si="36"/>
        <v>MAGA Party</v>
      </c>
      <c r="Y103" s="415">
        <f t="shared" si="33"/>
        <v>70</v>
      </c>
      <c r="Z103" s="414">
        <f t="shared" si="37"/>
        <v>0.16297262059973924</v>
      </c>
      <c r="AA103" s="412">
        <f t="shared" si="38"/>
        <v>130</v>
      </c>
      <c r="AB103" s="418">
        <f t="shared" si="34"/>
        <v>0.9965661252900232</v>
      </c>
      <c r="AC103" s="420">
        <f t="shared" ref="AC103:AC112" si="41">IF(AB103&gt;AC102,AB103,AC102)</f>
        <v>1.8507656612529004</v>
      </c>
      <c r="AD103" s="211" t="str">
        <f t="shared" si="39"/>
        <v>Lincoln Republicans</v>
      </c>
      <c r="AJ103" s="212"/>
    </row>
    <row r="104" spans="3:36" ht="15" x14ac:dyDescent="0.2">
      <c r="C104" s="239"/>
      <c r="D104" s="253">
        <f t="shared" si="40"/>
        <v>4</v>
      </c>
      <c r="E104" s="138" t="str">
        <f t="shared" si="28"/>
        <v>Progressive Democratic Party</v>
      </c>
      <c r="F104" s="142">
        <f t="shared" si="29"/>
        <v>77</v>
      </c>
      <c r="G104" s="699">
        <f t="shared" si="35"/>
        <v>0.17865429234338748</v>
      </c>
      <c r="H104" s="700"/>
      <c r="I104" s="700"/>
      <c r="J104" s="446">
        <f t="shared" si="30"/>
        <v>0.19556714471968709</v>
      </c>
      <c r="K104" s="144">
        <f t="shared" si="31"/>
        <v>0.91351894818252133</v>
      </c>
      <c r="L104" s="508" t="str">
        <f t="shared" si="32"/>
        <v xml:space="preserve"> </v>
      </c>
      <c r="M104" s="240"/>
      <c r="N104" s="36"/>
      <c r="X104" s="442" t="str">
        <f t="shared" si="36"/>
        <v>Progressive Democratic Party</v>
      </c>
      <c r="Y104" s="415">
        <f t="shared" si="33"/>
        <v>77</v>
      </c>
      <c r="Z104" s="414">
        <f t="shared" si="37"/>
        <v>0.16297262059973924</v>
      </c>
      <c r="AA104" s="412">
        <f t="shared" si="38"/>
        <v>130</v>
      </c>
      <c r="AB104" s="418">
        <f t="shared" si="34"/>
        <v>0.91351894818252133</v>
      </c>
      <c r="AC104" s="420">
        <f t="shared" si="41"/>
        <v>1.8507656612529004</v>
      </c>
      <c r="AD104" s="211" t="str">
        <f t="shared" si="39"/>
        <v>Lincoln Republicans</v>
      </c>
      <c r="AJ104" s="212"/>
    </row>
    <row r="105" spans="3:36" ht="15" customHeight="1" x14ac:dyDescent="0.2">
      <c r="C105" s="239"/>
      <c r="D105" s="253">
        <f t="shared" si="40"/>
        <v>5</v>
      </c>
      <c r="E105" s="138" t="str">
        <f t="shared" si="28"/>
        <v>Green Party</v>
      </c>
      <c r="F105" s="142">
        <f t="shared" si="29"/>
        <v>8</v>
      </c>
      <c r="G105" s="699">
        <f t="shared" si="35"/>
        <v>1.8561484918793503E-2</v>
      </c>
      <c r="H105" s="700"/>
      <c r="I105" s="700"/>
      <c r="J105" s="446">
        <f t="shared" si="30"/>
        <v>9.7783572359843543E-2</v>
      </c>
      <c r="K105" s="144">
        <f t="shared" si="31"/>
        <v>0.18982211910286156</v>
      </c>
      <c r="L105" s="508" t="str">
        <f t="shared" si="32"/>
        <v xml:space="preserve"> </v>
      </c>
      <c r="M105" s="240"/>
      <c r="N105" s="36"/>
      <c r="X105" s="442" t="str">
        <f t="shared" si="36"/>
        <v>Green Party</v>
      </c>
      <c r="Y105" s="415">
        <f t="shared" si="33"/>
        <v>8</v>
      </c>
      <c r="Z105" s="414">
        <f t="shared" si="37"/>
        <v>0.16297262059973924</v>
      </c>
      <c r="AA105" s="412">
        <f t="shared" si="38"/>
        <v>130</v>
      </c>
      <c r="AB105" s="418">
        <f t="shared" si="34"/>
        <v>0.18982211910286156</v>
      </c>
      <c r="AC105" s="420">
        <f t="shared" si="41"/>
        <v>1.8507656612529004</v>
      </c>
      <c r="AD105" s="211" t="str">
        <f t="shared" si="39"/>
        <v>Lincoln Republicans</v>
      </c>
      <c r="AJ105" s="212"/>
    </row>
    <row r="106" spans="3:36" ht="15" x14ac:dyDescent="0.2">
      <c r="C106" s="239"/>
      <c r="D106" s="253">
        <f t="shared" si="40"/>
        <v>6</v>
      </c>
      <c r="E106" s="138" t="str">
        <f t="shared" si="28"/>
        <v>Libertarian Party</v>
      </c>
      <c r="F106" s="142">
        <f t="shared" si="29"/>
        <v>8</v>
      </c>
      <c r="G106" s="699">
        <f t="shared" si="35"/>
        <v>1.8561484918793503E-2</v>
      </c>
      <c r="H106" s="700"/>
      <c r="I106" s="700"/>
      <c r="J106" s="446">
        <f t="shared" si="30"/>
        <v>0.1303780964797914</v>
      </c>
      <c r="K106" s="144">
        <f t="shared" si="31"/>
        <v>0.14236658932714616</v>
      </c>
      <c r="L106" s="508" t="str">
        <f t="shared" si="32"/>
        <v xml:space="preserve"> </v>
      </c>
      <c r="M106" s="240"/>
      <c r="N106" s="36"/>
      <c r="X106" s="442" t="str">
        <f t="shared" si="36"/>
        <v>Libertarian Party</v>
      </c>
      <c r="Y106" s="415">
        <f t="shared" si="33"/>
        <v>8</v>
      </c>
      <c r="Z106" s="414">
        <f t="shared" si="37"/>
        <v>0.16297262059973924</v>
      </c>
      <c r="AA106" s="412">
        <f t="shared" si="38"/>
        <v>130</v>
      </c>
      <c r="AB106" s="418">
        <f t="shared" si="34"/>
        <v>0.14236658932714616</v>
      </c>
      <c r="AC106" s="420">
        <f t="shared" si="41"/>
        <v>1.8507656612529004</v>
      </c>
      <c r="AD106" s="211" t="str">
        <f t="shared" si="39"/>
        <v>Lincoln Republicans</v>
      </c>
      <c r="AJ106" s="212"/>
    </row>
    <row r="107" spans="3:36" ht="15" x14ac:dyDescent="0.2">
      <c r="C107" s="239"/>
      <c r="D107" s="253">
        <f t="shared" si="40"/>
        <v>7</v>
      </c>
      <c r="E107" s="138" t="str">
        <f t="shared" si="28"/>
        <v>New West Party</v>
      </c>
      <c r="F107" s="142">
        <f t="shared" si="29"/>
        <v>1</v>
      </c>
      <c r="G107" s="699">
        <f t="shared" si="35"/>
        <v>2.3201856148491878E-3</v>
      </c>
      <c r="H107" s="700"/>
      <c r="I107" s="700"/>
      <c r="J107" s="446">
        <f t="shared" si="30"/>
        <v>2.6075619295958278E-3</v>
      </c>
      <c r="K107" s="144">
        <f t="shared" si="31"/>
        <v>0.88979118329466356</v>
      </c>
      <c r="L107" s="508" t="str">
        <f t="shared" si="32"/>
        <v xml:space="preserve"> </v>
      </c>
      <c r="M107" s="240"/>
      <c r="N107" s="36"/>
      <c r="X107" s="442" t="str">
        <f t="shared" si="36"/>
        <v>New West Party</v>
      </c>
      <c r="Y107" s="415">
        <f t="shared" si="33"/>
        <v>1</v>
      </c>
      <c r="Z107" s="414">
        <f t="shared" si="37"/>
        <v>0.16297262059973924</v>
      </c>
      <c r="AA107" s="412">
        <f t="shared" si="38"/>
        <v>130</v>
      </c>
      <c r="AB107" s="418">
        <f t="shared" si="34"/>
        <v>0.88979118329466356</v>
      </c>
      <c r="AC107" s="420">
        <f t="shared" si="41"/>
        <v>1.8507656612529004</v>
      </c>
      <c r="AD107" s="211" t="str">
        <f t="shared" si="39"/>
        <v>Lincoln Republicans</v>
      </c>
      <c r="AJ107" s="212"/>
    </row>
    <row r="108" spans="3:36" ht="15" x14ac:dyDescent="0.2">
      <c r="C108" s="239"/>
      <c r="D108" s="253">
        <f t="shared" si="40"/>
        <v>8</v>
      </c>
      <c r="E108" s="138" t="str">
        <f t="shared" si="28"/>
        <v>First Americans Party</v>
      </c>
      <c r="F108" s="142">
        <f t="shared" si="29"/>
        <v>2</v>
      </c>
      <c r="G108" s="699">
        <f t="shared" si="35"/>
        <v>4.6403712296983757E-3</v>
      </c>
      <c r="H108" s="700"/>
      <c r="I108" s="700"/>
      <c r="J108" s="446">
        <f t="shared" si="30"/>
        <v>1.955671447196871E-2</v>
      </c>
      <c r="K108" s="144">
        <f t="shared" si="31"/>
        <v>0.23727764887857694</v>
      </c>
      <c r="L108" s="508" t="str">
        <f t="shared" si="32"/>
        <v xml:space="preserve"> </v>
      </c>
      <c r="M108" s="240"/>
      <c r="N108" s="36"/>
      <c r="X108" s="442" t="str">
        <f t="shared" si="36"/>
        <v>First Americans Party</v>
      </c>
      <c r="Y108" s="415">
        <f t="shared" si="33"/>
        <v>2</v>
      </c>
      <c r="Z108" s="414">
        <f t="shared" si="37"/>
        <v>0.16297262059973924</v>
      </c>
      <c r="AA108" s="412">
        <f t="shared" si="38"/>
        <v>130</v>
      </c>
      <c r="AB108" s="418">
        <f t="shared" si="34"/>
        <v>0.23727764887857694</v>
      </c>
      <c r="AC108" s="420">
        <f t="shared" si="41"/>
        <v>1.8507656612529004</v>
      </c>
      <c r="AD108" s="211" t="str">
        <f t="shared" si="39"/>
        <v>Lincoln Republicans</v>
      </c>
      <c r="AJ108" s="212"/>
    </row>
    <row r="109" spans="3:36" ht="15" x14ac:dyDescent="0.2">
      <c r="C109" s="239"/>
      <c r="D109" s="253">
        <f t="shared" si="40"/>
        <v>9</v>
      </c>
      <c r="E109" s="138" t="str">
        <f t="shared" si="28"/>
        <v>New Morality Party</v>
      </c>
      <c r="F109" s="142" t="str">
        <f t="shared" si="29"/>
        <v>Excluded</v>
      </c>
      <c r="G109" s="699" t="str">
        <f t="shared" si="35"/>
        <v>Excluded</v>
      </c>
      <c r="H109" s="700"/>
      <c r="I109" s="700"/>
      <c r="J109" s="446" t="str">
        <f t="shared" si="30"/>
        <v>Excluded</v>
      </c>
      <c r="K109" s="144">
        <f t="shared" si="31"/>
        <v>0</v>
      </c>
      <c r="L109" s="508" t="str">
        <f t="shared" si="32"/>
        <v xml:space="preserve"> </v>
      </c>
      <c r="M109" s="240"/>
      <c r="N109" s="36"/>
      <c r="X109" s="442" t="str">
        <f t="shared" si="36"/>
        <v>New Morality Party</v>
      </c>
      <c r="Y109" s="415">
        <f t="shared" si="33"/>
        <v>0</v>
      </c>
      <c r="Z109" s="414">
        <f t="shared" si="37"/>
        <v>0.16297262059973924</v>
      </c>
      <c r="AA109" s="412">
        <f t="shared" si="38"/>
        <v>130</v>
      </c>
      <c r="AB109" s="418">
        <f t="shared" si="34"/>
        <v>0</v>
      </c>
      <c r="AC109" s="420">
        <f t="shared" si="41"/>
        <v>1.8507656612529004</v>
      </c>
      <c r="AD109" s="211" t="str">
        <f t="shared" si="39"/>
        <v>Lincoln Republicans</v>
      </c>
      <c r="AJ109" s="212"/>
    </row>
    <row r="110" spans="3:36" ht="15" x14ac:dyDescent="0.2">
      <c r="C110" s="239"/>
      <c r="D110" s="253">
        <f t="shared" si="40"/>
        <v>10</v>
      </c>
      <c r="E110" s="138" t="str">
        <f t="shared" si="28"/>
        <v>Other New Party</v>
      </c>
      <c r="F110" s="142" t="str">
        <f t="shared" si="29"/>
        <v>Excluded</v>
      </c>
      <c r="G110" s="699" t="str">
        <f t="shared" si="35"/>
        <v>Excluded</v>
      </c>
      <c r="H110" s="700"/>
      <c r="I110" s="700"/>
      <c r="J110" s="446" t="str">
        <f t="shared" si="30"/>
        <v>Excluded</v>
      </c>
      <c r="K110" s="144">
        <f t="shared" si="31"/>
        <v>0</v>
      </c>
      <c r="L110" s="508" t="str">
        <f t="shared" si="32"/>
        <v xml:space="preserve"> </v>
      </c>
      <c r="M110" s="240"/>
      <c r="N110" s="36"/>
      <c r="X110" s="442" t="str">
        <f t="shared" si="36"/>
        <v>Other New Party</v>
      </c>
      <c r="Y110" s="415">
        <f t="shared" si="33"/>
        <v>0</v>
      </c>
      <c r="Z110" s="414">
        <f t="shared" si="37"/>
        <v>0.16297262059973924</v>
      </c>
      <c r="AA110" s="412">
        <f t="shared" si="38"/>
        <v>130</v>
      </c>
      <c r="AB110" s="418">
        <f t="shared" si="34"/>
        <v>0</v>
      </c>
      <c r="AC110" s="420">
        <f t="shared" si="41"/>
        <v>1.8507656612529004</v>
      </c>
      <c r="AD110" s="211" t="str">
        <f t="shared" si="39"/>
        <v>Lincoln Republicans</v>
      </c>
      <c r="AJ110" s="212"/>
    </row>
    <row r="111" spans="3:36" ht="15" x14ac:dyDescent="0.2">
      <c r="C111" s="239"/>
      <c r="D111" s="253">
        <f t="shared" si="40"/>
        <v>11</v>
      </c>
      <c r="E111" s="138">
        <f t="shared" si="28"/>
        <v>0</v>
      </c>
      <c r="F111" s="142" t="str">
        <f t="shared" si="29"/>
        <v>Excluded</v>
      </c>
      <c r="G111" s="699" t="str">
        <f t="shared" si="35"/>
        <v>Excluded</v>
      </c>
      <c r="H111" s="700"/>
      <c r="I111" s="700"/>
      <c r="J111" s="446" t="str">
        <f t="shared" si="30"/>
        <v>Excluded</v>
      </c>
      <c r="K111" s="144">
        <f t="shared" si="31"/>
        <v>0</v>
      </c>
      <c r="L111" s="508" t="str">
        <f t="shared" si="32"/>
        <v xml:space="preserve"> </v>
      </c>
      <c r="M111" s="240"/>
      <c r="N111" s="36"/>
      <c r="X111" s="442">
        <f t="shared" si="36"/>
        <v>0</v>
      </c>
      <c r="Y111" s="415">
        <f t="shared" si="33"/>
        <v>0</v>
      </c>
      <c r="Z111" s="414">
        <f t="shared" si="37"/>
        <v>0.16297262059973924</v>
      </c>
      <c r="AA111" s="412">
        <f t="shared" si="38"/>
        <v>130</v>
      </c>
      <c r="AB111" s="418">
        <f t="shared" si="34"/>
        <v>0</v>
      </c>
      <c r="AC111" s="420">
        <f t="shared" si="41"/>
        <v>1.8507656612529004</v>
      </c>
      <c r="AD111" s="211" t="str">
        <f t="shared" si="39"/>
        <v>Lincoln Republicans</v>
      </c>
      <c r="AJ111" s="212"/>
    </row>
    <row r="112" spans="3:36" ht="15.75" thickBot="1" x14ac:dyDescent="0.25">
      <c r="C112" s="239"/>
      <c r="D112" s="253">
        <f t="shared" si="40"/>
        <v>12</v>
      </c>
      <c r="E112" s="140" t="str">
        <f t="shared" si="28"/>
        <v>Other (non-winning) parties*</v>
      </c>
      <c r="F112" s="142" t="str">
        <f t="shared" si="29"/>
        <v>Excluded</v>
      </c>
      <c r="G112" s="835" t="str">
        <f t="shared" si="35"/>
        <v>Excluded</v>
      </c>
      <c r="H112" s="836"/>
      <c r="I112" s="836"/>
      <c r="J112" s="443" t="str">
        <f t="shared" si="30"/>
        <v>Excluded</v>
      </c>
      <c r="K112" s="145">
        <f t="shared" si="31"/>
        <v>0</v>
      </c>
      <c r="L112" s="508" t="str">
        <f t="shared" si="32"/>
        <v xml:space="preserve"> </v>
      </c>
      <c r="M112" s="240"/>
      <c r="N112" s="36"/>
      <c r="X112" s="442" t="str">
        <f t="shared" si="36"/>
        <v>Other (non-winning) parties*</v>
      </c>
      <c r="Y112" s="415">
        <f t="shared" si="33"/>
        <v>0</v>
      </c>
      <c r="Z112" s="414">
        <f t="shared" si="37"/>
        <v>0.16297262059973924</v>
      </c>
      <c r="AA112" s="412">
        <f t="shared" si="38"/>
        <v>130</v>
      </c>
      <c r="AB112" s="418">
        <f t="shared" si="34"/>
        <v>0</v>
      </c>
      <c r="AC112" s="420">
        <f t="shared" si="41"/>
        <v>1.8507656612529004</v>
      </c>
      <c r="AD112" s="211" t="str">
        <f t="shared" si="39"/>
        <v>Lincoln Republicans</v>
      </c>
      <c r="AJ112" s="212"/>
    </row>
    <row r="113" spans="3:38" ht="29.25" customHeight="1" thickTop="1" thickBot="1" x14ac:dyDescent="0.25">
      <c r="C113" s="239"/>
      <c r="D113" s="247"/>
      <c r="E113" s="14" t="s">
        <v>4</v>
      </c>
      <c r="F113" s="82">
        <f>SUM(F101:F112)</f>
        <v>431</v>
      </c>
      <c r="G113" s="799">
        <f>F113/F$113</f>
        <v>1</v>
      </c>
      <c r="H113" s="800"/>
      <c r="I113" s="801"/>
      <c r="J113" s="83">
        <f>SUM(J101:J112)</f>
        <v>1</v>
      </c>
      <c r="K113" s="232"/>
      <c r="L113" s="232"/>
      <c r="M113" s="240"/>
      <c r="N113" s="36"/>
      <c r="AC113" s="213"/>
      <c r="AF113" s="211"/>
      <c r="AG113" s="211"/>
      <c r="AH113" s="211"/>
      <c r="AI113" s="213"/>
      <c r="AJ113" s="212"/>
    </row>
    <row r="114" spans="3:38" ht="18" customHeight="1" thickTop="1" thickBot="1" x14ac:dyDescent="0.25">
      <c r="C114" s="248"/>
      <c r="D114" s="249"/>
      <c r="E114" s="249"/>
      <c r="F114" s="687" t="s">
        <v>280</v>
      </c>
      <c r="G114" s="282"/>
      <c r="H114" s="282"/>
      <c r="I114" s="282"/>
      <c r="J114" s="282"/>
      <c r="K114" s="281"/>
      <c r="L114" s="249"/>
      <c r="M114" s="250"/>
      <c r="N114" s="38"/>
      <c r="O114" s="4"/>
      <c r="P114" s="4"/>
      <c r="Q114" s="4"/>
      <c r="R114" s="4"/>
      <c r="S114" s="4"/>
      <c r="T114" s="4"/>
      <c r="U114" s="4"/>
    </row>
    <row r="115" spans="3:38" ht="15.75" customHeight="1" thickTop="1" thickBot="1" x14ac:dyDescent="0.25">
      <c r="C115" s="55"/>
      <c r="D115" s="39"/>
      <c r="E115" s="35"/>
      <c r="F115" s="35"/>
      <c r="G115" s="35"/>
      <c r="H115" s="35"/>
      <c r="I115" s="35"/>
      <c r="J115" s="40"/>
      <c r="K115" s="40"/>
      <c r="L115" s="40"/>
      <c r="M115" s="40"/>
      <c r="N115" s="33"/>
      <c r="O115" s="33"/>
      <c r="P115" s="33"/>
      <c r="Q115" s="33"/>
      <c r="R115" s="33"/>
      <c r="S115" s="12"/>
    </row>
    <row r="116" spans="3:38" ht="8.25" customHeight="1" thickTop="1" x14ac:dyDescent="0.2">
      <c r="C116" s="235"/>
      <c r="D116" s="283"/>
      <c r="E116" s="254"/>
      <c r="F116" s="254"/>
      <c r="G116" s="254"/>
      <c r="H116" s="254"/>
      <c r="I116" s="254"/>
      <c r="J116" s="284"/>
      <c r="K116" s="284"/>
      <c r="L116" s="284"/>
      <c r="M116" s="285"/>
      <c r="N116" s="461"/>
      <c r="O116" s="33"/>
      <c r="P116" s="33"/>
      <c r="Q116" s="33"/>
      <c r="R116" s="33"/>
      <c r="S116" s="12"/>
    </row>
    <row r="117" spans="3:38" ht="19.5" customHeight="1" x14ac:dyDescent="0.2">
      <c r="C117" s="239"/>
      <c r="D117" s="267" t="s">
        <v>19</v>
      </c>
      <c r="E117" s="232"/>
      <c r="F117" s="232"/>
      <c r="G117" s="232"/>
      <c r="H117" s="232"/>
      <c r="I117" s="232"/>
      <c r="J117" s="286"/>
      <c r="K117" s="286"/>
      <c r="L117" s="286"/>
      <c r="M117" s="287"/>
      <c r="N117" s="461"/>
      <c r="O117" s="33"/>
      <c r="P117" s="33"/>
      <c r="Q117" s="33"/>
      <c r="R117" s="33"/>
      <c r="S117" s="12"/>
    </row>
    <row r="118" spans="3:38" s="2" customFormat="1" ht="51" customHeight="1" x14ac:dyDescent="0.2">
      <c r="C118" s="239"/>
      <c r="D118" s="849" t="s">
        <v>137</v>
      </c>
      <c r="E118" s="850"/>
      <c r="F118" s="850"/>
      <c r="G118" s="850"/>
      <c r="H118" s="850"/>
      <c r="I118" s="850"/>
      <c r="J118" s="850"/>
      <c r="K118" s="850"/>
      <c r="L118" s="351"/>
      <c r="M118" s="288"/>
      <c r="N118" s="462"/>
      <c r="O118" s="381"/>
      <c r="P118" s="381"/>
      <c r="Q118" s="381"/>
      <c r="R118" s="10"/>
      <c r="S118" s="10"/>
    </row>
    <row r="119" spans="3:38" ht="15.75" x14ac:dyDescent="0.25">
      <c r="C119" s="239"/>
      <c r="D119" s="289"/>
      <c r="E119" s="290" t="str">
        <f>H97</f>
        <v>Lincoln Republicans</v>
      </c>
      <c r="F119" s="410">
        <f>AA112</f>
        <v>130</v>
      </c>
      <c r="G119" s="243" t="s">
        <v>109</v>
      </c>
      <c r="H119" s="243"/>
      <c r="I119" s="291"/>
      <c r="J119" s="232"/>
      <c r="K119" s="247"/>
      <c r="L119" s="247"/>
      <c r="M119" s="268"/>
      <c r="N119" s="38"/>
      <c r="O119" s="4"/>
      <c r="P119" s="4"/>
      <c r="Q119" s="4"/>
      <c r="R119" s="4"/>
      <c r="S119" s="4"/>
    </row>
    <row r="120" spans="3:38" ht="15" x14ac:dyDescent="0.2">
      <c r="C120" s="239"/>
      <c r="D120" s="289"/>
      <c r="E120" s="279" t="s">
        <v>14</v>
      </c>
      <c r="F120" s="485">
        <f>Z112</f>
        <v>0.16297262059973924</v>
      </c>
      <c r="G120" s="243" t="s">
        <v>15</v>
      </c>
      <c r="H120" s="243"/>
      <c r="I120" s="292"/>
      <c r="J120" s="232"/>
      <c r="K120" s="247"/>
      <c r="L120" s="247"/>
      <c r="M120" s="268"/>
      <c r="N120" s="38"/>
      <c r="O120" s="4"/>
      <c r="P120" s="4"/>
      <c r="Q120" s="4"/>
      <c r="R120" s="4"/>
      <c r="S120" s="4"/>
    </row>
    <row r="121" spans="3:38" ht="15.75" x14ac:dyDescent="0.25">
      <c r="C121" s="239"/>
      <c r="D121" s="289"/>
      <c r="E121" s="293" t="s">
        <v>5</v>
      </c>
      <c r="F121" s="295">
        <f>F119/F120</f>
        <v>797.68</v>
      </c>
      <c r="G121" s="280" t="s">
        <v>163</v>
      </c>
      <c r="H121" s="243"/>
      <c r="I121" s="294"/>
      <c r="J121" s="232"/>
      <c r="K121" s="247"/>
      <c r="L121" s="247"/>
      <c r="M121" s="268"/>
      <c r="N121" s="38"/>
      <c r="O121" s="4"/>
      <c r="P121" s="4"/>
      <c r="Q121" s="4"/>
      <c r="R121" s="4"/>
      <c r="S121" s="4"/>
      <c r="T121" s="4"/>
      <c r="U121" s="4"/>
    </row>
    <row r="122" spans="3:38" ht="69" customHeight="1" thickBot="1" x14ac:dyDescent="0.35">
      <c r="C122" s="239"/>
      <c r="D122" s="716" t="s">
        <v>240</v>
      </c>
      <c r="E122" s="728"/>
      <c r="F122" s="728"/>
      <c r="G122" s="728"/>
      <c r="H122" s="728"/>
      <c r="I122" s="728"/>
      <c r="J122" s="728"/>
      <c r="K122" s="728"/>
      <c r="L122" s="345"/>
      <c r="M122" s="271"/>
      <c r="N122" s="460"/>
      <c r="O122" s="380"/>
      <c r="P122" s="380"/>
      <c r="Q122" s="380"/>
      <c r="R122" s="11"/>
      <c r="S122" s="11"/>
      <c r="T122" s="4"/>
      <c r="U122" s="6"/>
      <c r="AJ122" s="441"/>
    </row>
    <row r="123" spans="3:38" ht="48.75" customHeight="1" thickTop="1" thickBot="1" x14ac:dyDescent="0.3">
      <c r="C123" s="296"/>
      <c r="D123" s="232"/>
      <c r="E123" s="232"/>
      <c r="F123" s="44" t="s">
        <v>9</v>
      </c>
      <c r="G123" s="232"/>
      <c r="H123" s="232"/>
      <c r="I123" s="232"/>
      <c r="J123" s="44" t="s">
        <v>112</v>
      </c>
      <c r="K123" s="232"/>
      <c r="L123" s="232"/>
      <c r="M123" s="240"/>
      <c r="N123" s="36"/>
      <c r="Z123" s="214" t="s">
        <v>2</v>
      </c>
      <c r="AA123" s="113"/>
      <c r="AB123" s="114"/>
      <c r="AC123" s="101"/>
      <c r="AD123" s="101"/>
      <c r="AE123" s="101"/>
      <c r="AF123" s="103">
        <f>J148</f>
        <v>0.1</v>
      </c>
      <c r="AG123" s="101"/>
      <c r="AH123" s="101"/>
      <c r="AI123" s="441"/>
      <c r="AJ123" s="441"/>
      <c r="AK123" s="101"/>
    </row>
    <row r="124" spans="3:38" ht="18" customHeight="1" thickTop="1" x14ac:dyDescent="0.25">
      <c r="C124" s="296"/>
      <c r="D124" s="252">
        <v>1</v>
      </c>
      <c r="E124" s="136" t="str">
        <f t="shared" ref="E124:E135" si="42">E101</f>
        <v>Lincoln Republicans</v>
      </c>
      <c r="F124" s="437">
        <f>IF(J101="Excluded","Excluded",J101)</f>
        <v>0.16297262059973924</v>
      </c>
      <c r="G124" s="146" t="s">
        <v>6</v>
      </c>
      <c r="H124" s="147">
        <f t="shared" ref="H124:H136" si="43">F$121</f>
        <v>797.68</v>
      </c>
      <c r="I124" s="148" t="s">
        <v>7</v>
      </c>
      <c r="J124" s="149">
        <f t="shared" ref="J124:J131" si="44">IF(F124="Excluded","Excluded",F124*F$121)</f>
        <v>130</v>
      </c>
      <c r="K124" s="232"/>
      <c r="L124" s="232"/>
      <c r="M124" s="240"/>
      <c r="N124" s="36"/>
      <c r="Z124" s="101"/>
      <c r="AA124" s="101"/>
      <c r="AB124" s="101"/>
      <c r="AC124" s="101"/>
      <c r="AD124" s="115">
        <f>J136/F113</f>
        <v>1.8507656612529004</v>
      </c>
      <c r="AE124" s="112" t="s">
        <v>119</v>
      </c>
      <c r="AF124" s="112"/>
      <c r="AG124" s="112"/>
      <c r="AH124" s="112"/>
      <c r="AI124" s="441" t="s">
        <v>116</v>
      </c>
      <c r="AJ124" s="441"/>
      <c r="AK124" s="101"/>
    </row>
    <row r="125" spans="3:38" ht="15.75" x14ac:dyDescent="0.25">
      <c r="C125" s="296"/>
      <c r="D125" s="252">
        <f>1+D124</f>
        <v>2</v>
      </c>
      <c r="E125" s="138" t="str">
        <f t="shared" si="42"/>
        <v>Democratic Party</v>
      </c>
      <c r="F125" s="555">
        <f t="shared" ref="F125:F135" si="45">IF(J102="Excluded","Excluded",J102)</f>
        <v>0.22816166883963493</v>
      </c>
      <c r="G125" s="150" t="s">
        <v>6</v>
      </c>
      <c r="H125" s="151">
        <f t="shared" si="43"/>
        <v>797.68</v>
      </c>
      <c r="I125" s="152" t="s">
        <v>7</v>
      </c>
      <c r="J125" s="153">
        <f t="shared" si="44"/>
        <v>181.99999999999997</v>
      </c>
      <c r="K125" s="232"/>
      <c r="L125" s="232"/>
      <c r="M125" s="240"/>
      <c r="N125" s="36"/>
      <c r="Z125" s="116" t="s">
        <v>35</v>
      </c>
      <c r="AA125" s="101"/>
      <c r="AB125" s="101"/>
      <c r="AC125" s="101"/>
      <c r="AD125" s="101"/>
      <c r="AE125" s="117" t="s">
        <v>36</v>
      </c>
      <c r="AF125" s="596">
        <f>J148</f>
        <v>0.1</v>
      </c>
      <c r="AG125" s="118" t="s">
        <v>27</v>
      </c>
      <c r="AH125" s="112"/>
      <c r="AI125" s="101"/>
      <c r="AJ125" s="440">
        <f>H150</f>
        <v>20</v>
      </c>
      <c r="AK125" s="101"/>
      <c r="AL125" s="63"/>
    </row>
    <row r="126" spans="3:38" ht="15" customHeight="1" x14ac:dyDescent="0.2">
      <c r="C126" s="296"/>
      <c r="D126" s="253">
        <f t="shared" ref="D126:D135" si="46">1+D125</f>
        <v>3</v>
      </c>
      <c r="E126" s="138" t="str">
        <f t="shared" si="42"/>
        <v>MAGA Party</v>
      </c>
      <c r="F126" s="555">
        <f t="shared" si="45"/>
        <v>0.16297262059973924</v>
      </c>
      <c r="G126" s="150" t="s">
        <v>6</v>
      </c>
      <c r="H126" s="151">
        <f t="shared" si="43"/>
        <v>797.68</v>
      </c>
      <c r="I126" s="152" t="s">
        <v>7</v>
      </c>
      <c r="J126" s="153">
        <f t="shared" si="44"/>
        <v>130</v>
      </c>
      <c r="K126" s="232"/>
      <c r="L126" s="232"/>
      <c r="M126" s="240"/>
      <c r="N126" s="36"/>
      <c r="AA126" s="762" t="s">
        <v>28</v>
      </c>
      <c r="AB126" s="762" t="s">
        <v>121</v>
      </c>
      <c r="AC126" s="762" t="s">
        <v>122</v>
      </c>
      <c r="AD126" s="762" t="s">
        <v>69</v>
      </c>
      <c r="AE126" s="762" t="s">
        <v>68</v>
      </c>
      <c r="AF126" s="762" t="s">
        <v>70</v>
      </c>
      <c r="AG126" s="797" t="s">
        <v>120</v>
      </c>
      <c r="AH126" s="762" t="s">
        <v>73</v>
      </c>
      <c r="AI126" s="762" t="s">
        <v>71</v>
      </c>
      <c r="AJ126" s="431"/>
      <c r="AK126" s="762" t="s">
        <v>117</v>
      </c>
      <c r="AL126" s="762" t="s">
        <v>118</v>
      </c>
    </row>
    <row r="127" spans="3:38" ht="15" customHeight="1" x14ac:dyDescent="0.2">
      <c r="C127" s="296"/>
      <c r="D127" s="253">
        <f t="shared" si="46"/>
        <v>4</v>
      </c>
      <c r="E127" s="138" t="str">
        <f t="shared" si="42"/>
        <v>Progressive Democratic Party</v>
      </c>
      <c r="F127" s="555">
        <f t="shared" si="45"/>
        <v>0.19556714471968709</v>
      </c>
      <c r="G127" s="150" t="s">
        <v>6</v>
      </c>
      <c r="H127" s="151">
        <f t="shared" si="43"/>
        <v>797.68</v>
      </c>
      <c r="I127" s="152" t="s">
        <v>7</v>
      </c>
      <c r="J127" s="153">
        <f t="shared" si="44"/>
        <v>155.99999999999997</v>
      </c>
      <c r="K127" s="232"/>
      <c r="L127" s="232"/>
      <c r="M127" s="240"/>
      <c r="N127" s="36"/>
      <c r="Z127" s="101"/>
      <c r="AA127" s="763"/>
      <c r="AB127" s="763"/>
      <c r="AC127" s="763"/>
      <c r="AD127" s="763"/>
      <c r="AE127" s="763"/>
      <c r="AF127" s="763"/>
      <c r="AG127" s="798"/>
      <c r="AH127" s="763"/>
      <c r="AI127" s="791"/>
      <c r="AJ127" s="100"/>
      <c r="AK127" s="791"/>
      <c r="AL127" s="791"/>
    </row>
    <row r="128" spans="3:38" ht="15" customHeight="1" x14ac:dyDescent="0.2">
      <c r="C128" s="296"/>
      <c r="D128" s="253">
        <f t="shared" si="46"/>
        <v>5</v>
      </c>
      <c r="E128" s="138" t="str">
        <f t="shared" si="42"/>
        <v>Green Party</v>
      </c>
      <c r="F128" s="555">
        <f t="shared" si="45"/>
        <v>9.7783572359843543E-2</v>
      </c>
      <c r="G128" s="150" t="s">
        <v>6</v>
      </c>
      <c r="H128" s="151">
        <f>F$121</f>
        <v>797.68</v>
      </c>
      <c r="I128" s="152" t="s">
        <v>7</v>
      </c>
      <c r="J128" s="153">
        <f t="shared" si="44"/>
        <v>77.999999999999986</v>
      </c>
      <c r="K128" s="232"/>
      <c r="L128" s="232"/>
      <c r="M128" s="240"/>
      <c r="N128" s="36"/>
      <c r="Z128" s="101"/>
      <c r="AA128" s="763"/>
      <c r="AB128" s="763"/>
      <c r="AC128" s="763"/>
      <c r="AD128" s="763"/>
      <c r="AE128" s="763"/>
      <c r="AF128" s="763"/>
      <c r="AG128" s="798"/>
      <c r="AH128" s="763"/>
      <c r="AI128" s="791"/>
      <c r="AJ128" s="432"/>
      <c r="AK128" s="791"/>
      <c r="AL128" s="791"/>
    </row>
    <row r="129" spans="3:38" ht="15" x14ac:dyDescent="0.2">
      <c r="C129" s="296"/>
      <c r="D129" s="253">
        <f t="shared" si="46"/>
        <v>6</v>
      </c>
      <c r="E129" s="138" t="str">
        <f t="shared" si="42"/>
        <v>Libertarian Party</v>
      </c>
      <c r="F129" s="555">
        <f t="shared" si="45"/>
        <v>0.1303780964797914</v>
      </c>
      <c r="G129" s="150" t="s">
        <v>6</v>
      </c>
      <c r="H129" s="151">
        <f>F$121</f>
        <v>797.68</v>
      </c>
      <c r="I129" s="152" t="s">
        <v>7</v>
      </c>
      <c r="J129" s="153">
        <f t="shared" si="44"/>
        <v>104</v>
      </c>
      <c r="K129" s="232"/>
      <c r="L129" s="232"/>
      <c r="M129" s="240"/>
      <c r="N129" s="36"/>
      <c r="Z129" s="119" t="str">
        <f t="shared" ref="Z129:Z140" si="47">E153</f>
        <v>Lincoln Republicans</v>
      </c>
      <c r="AA129" s="208">
        <f t="shared" ref="AA129:AA135" si="48">IF(F124="Excluded"," ",J124)</f>
        <v>130</v>
      </c>
      <c r="AB129" s="205" t="str">
        <f t="shared" ref="AB129:AB133" si="49">IF(F101="Excluded","Not applic.",IF(G153/G$165&lt;AF$125,G153,"Not applic."))</f>
        <v>Not applic.</v>
      </c>
      <c r="AC129" s="104" t="str">
        <f t="shared" ref="AC129:AC140" si="50">IF(AB129="Not applic.","no",IF(G153/G$165&lt;$AF$125,"yes","no"))</f>
        <v>no</v>
      </c>
      <c r="AD129" s="208">
        <f t="shared" ref="AD129:AD140" si="51">IF(AC129="no",0,J124/J$136*F$113)</f>
        <v>0</v>
      </c>
      <c r="AE129" s="209">
        <f t="shared" ref="AE129:AE140" si="52">IF(AD129=0,0,G153)</f>
        <v>0</v>
      </c>
      <c r="AF129" s="208">
        <f t="shared" ref="AF129:AF130" si="53">IF(AD129&lt;AE129,0,AD129-AE129)</f>
        <v>0</v>
      </c>
      <c r="AG129" s="210">
        <f>IF(AB129=0,1,0)</f>
        <v>0</v>
      </c>
      <c r="AH129" s="208">
        <f>AF129-AG129</f>
        <v>0</v>
      </c>
      <c r="AI129" s="129">
        <f t="shared" ref="AI129:AI140" si="54">IF(AF129=0,0,AF129/AF$141*AI$141)</f>
        <v>0</v>
      </c>
      <c r="AJ129" s="222">
        <f>IF(AI129&lt;0,0,AI129)</f>
        <v>0</v>
      </c>
      <c r="AK129" s="129">
        <f>ROUND(AJ129,0)</f>
        <v>0</v>
      </c>
      <c r="AL129" s="129">
        <f t="shared" ref="AL129:AL141" si="55">AK129+AG129</f>
        <v>0</v>
      </c>
    </row>
    <row r="130" spans="3:38" ht="15" x14ac:dyDescent="0.2">
      <c r="C130" s="296"/>
      <c r="D130" s="253">
        <f t="shared" si="46"/>
        <v>7</v>
      </c>
      <c r="E130" s="138" t="str">
        <f t="shared" si="42"/>
        <v>New West Party</v>
      </c>
      <c r="F130" s="555">
        <f t="shared" si="45"/>
        <v>2.6075619295958278E-3</v>
      </c>
      <c r="G130" s="150" t="s">
        <v>6</v>
      </c>
      <c r="H130" s="151">
        <f>F$121</f>
        <v>797.68</v>
      </c>
      <c r="I130" s="152" t="s">
        <v>7</v>
      </c>
      <c r="J130" s="153">
        <f t="shared" si="44"/>
        <v>2.0799999999999996</v>
      </c>
      <c r="K130" s="232"/>
      <c r="L130" s="232"/>
      <c r="M130" s="240"/>
      <c r="N130" s="36"/>
      <c r="Z130" s="119" t="str">
        <f t="shared" si="47"/>
        <v>Democratic Party</v>
      </c>
      <c r="AA130" s="208">
        <f t="shared" si="48"/>
        <v>181.99999999999997</v>
      </c>
      <c r="AB130" s="205" t="str">
        <f t="shared" si="49"/>
        <v>Not applic.</v>
      </c>
      <c r="AC130" s="104" t="str">
        <f t="shared" si="50"/>
        <v>no</v>
      </c>
      <c r="AD130" s="208">
        <f t="shared" si="51"/>
        <v>0</v>
      </c>
      <c r="AE130" s="209">
        <f t="shared" si="52"/>
        <v>0</v>
      </c>
      <c r="AF130" s="208">
        <f t="shared" si="53"/>
        <v>0</v>
      </c>
      <c r="AG130" s="210">
        <f t="shared" ref="AG130:AG140" si="56">IF(AB130=0,1,0)</f>
        <v>0</v>
      </c>
      <c r="AH130" s="208">
        <f t="shared" ref="AH130:AH140" si="57">AF130-AG130</f>
        <v>0</v>
      </c>
      <c r="AI130" s="129">
        <f t="shared" si="54"/>
        <v>0</v>
      </c>
      <c r="AJ130" s="222">
        <f t="shared" ref="AJ130:AJ140" si="58">IF(AI130&lt;0,0,AI130)</f>
        <v>0</v>
      </c>
      <c r="AK130" s="129">
        <f t="shared" ref="AK130:AK140" si="59">ROUND(AJ130,0)</f>
        <v>0</v>
      </c>
      <c r="AL130" s="129">
        <f t="shared" si="55"/>
        <v>0</v>
      </c>
    </row>
    <row r="131" spans="3:38" ht="15" x14ac:dyDescent="0.2">
      <c r="C131" s="296"/>
      <c r="D131" s="253">
        <f t="shared" si="46"/>
        <v>8</v>
      </c>
      <c r="E131" s="138" t="str">
        <f t="shared" si="42"/>
        <v>First Americans Party</v>
      </c>
      <c r="F131" s="555">
        <f t="shared" si="45"/>
        <v>1.955671447196871E-2</v>
      </c>
      <c r="G131" s="150" t="s">
        <v>6</v>
      </c>
      <c r="H131" s="151">
        <f>F$121</f>
        <v>797.68</v>
      </c>
      <c r="I131" s="152" t="s">
        <v>7</v>
      </c>
      <c r="J131" s="153">
        <f t="shared" si="44"/>
        <v>15.6</v>
      </c>
      <c r="K131" s="232"/>
      <c r="L131" s="232"/>
      <c r="M131" s="240"/>
      <c r="N131" s="36"/>
      <c r="Z131" s="119" t="str">
        <f t="shared" si="47"/>
        <v>MAGA Party</v>
      </c>
      <c r="AA131" s="208">
        <f t="shared" si="48"/>
        <v>130</v>
      </c>
      <c r="AB131" s="205" t="str">
        <f t="shared" si="49"/>
        <v>Not applic.</v>
      </c>
      <c r="AC131" s="104" t="str">
        <f t="shared" si="50"/>
        <v>no</v>
      </c>
      <c r="AD131" s="208">
        <f t="shared" si="51"/>
        <v>0</v>
      </c>
      <c r="AE131" s="209">
        <f t="shared" si="52"/>
        <v>0</v>
      </c>
      <c r="AF131" s="208">
        <f>IF(AD131&lt;AE131,0,AD131-AE131)</f>
        <v>0</v>
      </c>
      <c r="AG131" s="210">
        <f t="shared" si="56"/>
        <v>0</v>
      </c>
      <c r="AH131" s="208">
        <f t="shared" si="57"/>
        <v>0</v>
      </c>
      <c r="AI131" s="129">
        <f t="shared" si="54"/>
        <v>0</v>
      </c>
      <c r="AJ131" s="222">
        <f t="shared" si="58"/>
        <v>0</v>
      </c>
      <c r="AK131" s="129">
        <f t="shared" si="59"/>
        <v>0</v>
      </c>
      <c r="AL131" s="129">
        <f t="shared" si="55"/>
        <v>0</v>
      </c>
    </row>
    <row r="132" spans="3:38" ht="15" x14ac:dyDescent="0.2">
      <c r="C132" s="296"/>
      <c r="D132" s="253">
        <f t="shared" si="46"/>
        <v>9</v>
      </c>
      <c r="E132" s="138" t="str">
        <f t="shared" si="42"/>
        <v>New Morality Party</v>
      </c>
      <c r="F132" s="555" t="str">
        <f t="shared" si="45"/>
        <v>Excluded</v>
      </c>
      <c r="G132" s="150" t="s">
        <v>6</v>
      </c>
      <c r="H132" s="151">
        <f>F$121</f>
        <v>797.68</v>
      </c>
      <c r="I132" s="152" t="s">
        <v>7</v>
      </c>
      <c r="J132" s="153" t="str">
        <f>IF(F132="Excluded","Excluded",F132*F$121)</f>
        <v>Excluded</v>
      </c>
      <c r="K132" s="232"/>
      <c r="L132" s="232"/>
      <c r="M132" s="240"/>
      <c r="N132" s="36"/>
      <c r="Z132" s="119" t="str">
        <f t="shared" si="47"/>
        <v>Progressive Democratic Party</v>
      </c>
      <c r="AA132" s="208">
        <f t="shared" si="48"/>
        <v>155.99999999999997</v>
      </c>
      <c r="AB132" s="205" t="str">
        <f t="shared" si="49"/>
        <v>Not applic.</v>
      </c>
      <c r="AC132" s="104" t="str">
        <f t="shared" si="50"/>
        <v>no</v>
      </c>
      <c r="AD132" s="208">
        <f t="shared" si="51"/>
        <v>0</v>
      </c>
      <c r="AE132" s="209">
        <f t="shared" si="52"/>
        <v>0</v>
      </c>
      <c r="AF132" s="208">
        <f t="shared" ref="AF132:AF140" si="60">IF(AD132&lt;AE132,0,AD132-AE132)</f>
        <v>0</v>
      </c>
      <c r="AG132" s="210">
        <f t="shared" si="56"/>
        <v>0</v>
      </c>
      <c r="AH132" s="208">
        <f t="shared" si="57"/>
        <v>0</v>
      </c>
      <c r="AI132" s="129">
        <f t="shared" si="54"/>
        <v>0</v>
      </c>
      <c r="AJ132" s="222">
        <f t="shared" si="58"/>
        <v>0</v>
      </c>
      <c r="AK132" s="129">
        <f t="shared" si="59"/>
        <v>0</v>
      </c>
      <c r="AL132" s="129">
        <f t="shared" si="55"/>
        <v>0</v>
      </c>
    </row>
    <row r="133" spans="3:38" ht="15" x14ac:dyDescent="0.2">
      <c r="C133" s="296"/>
      <c r="D133" s="253">
        <f t="shared" si="46"/>
        <v>10</v>
      </c>
      <c r="E133" s="138" t="str">
        <f t="shared" si="42"/>
        <v>Other New Party</v>
      </c>
      <c r="F133" s="555" t="str">
        <f t="shared" si="45"/>
        <v>Excluded</v>
      </c>
      <c r="G133" s="150" t="s">
        <v>6</v>
      </c>
      <c r="H133" s="151">
        <f t="shared" ref="H133:H134" si="61">F$121</f>
        <v>797.68</v>
      </c>
      <c r="I133" s="152" t="s">
        <v>7</v>
      </c>
      <c r="J133" s="153" t="str">
        <f t="shared" ref="J133:J134" si="62">IF(F133="Excluded","Excluded",F133*F$121)</f>
        <v>Excluded</v>
      </c>
      <c r="K133" s="232"/>
      <c r="L133" s="232"/>
      <c r="M133" s="240"/>
      <c r="N133" s="36"/>
      <c r="Z133" s="119" t="str">
        <f t="shared" si="47"/>
        <v>Green Party</v>
      </c>
      <c r="AA133" s="208">
        <f t="shared" si="48"/>
        <v>77.999999999999986</v>
      </c>
      <c r="AB133" s="205">
        <f t="shared" si="49"/>
        <v>8</v>
      </c>
      <c r="AC133" s="104" t="str">
        <f t="shared" si="50"/>
        <v>yes</v>
      </c>
      <c r="AD133" s="208">
        <f t="shared" si="51"/>
        <v>42.144719687092554</v>
      </c>
      <c r="AE133" s="209">
        <f t="shared" si="52"/>
        <v>8</v>
      </c>
      <c r="AF133" s="208">
        <f t="shared" si="60"/>
        <v>34.144719687092554</v>
      </c>
      <c r="AG133" s="210">
        <f t="shared" si="56"/>
        <v>0</v>
      </c>
      <c r="AH133" s="208">
        <f t="shared" si="57"/>
        <v>34.144719687092554</v>
      </c>
      <c r="AI133" s="129">
        <f t="shared" si="54"/>
        <v>7.6824242068672168</v>
      </c>
      <c r="AJ133" s="222">
        <f t="shared" si="58"/>
        <v>7.6824242068672168</v>
      </c>
      <c r="AK133" s="129">
        <f t="shared" si="59"/>
        <v>8</v>
      </c>
      <c r="AL133" s="129">
        <f t="shared" si="55"/>
        <v>8</v>
      </c>
    </row>
    <row r="134" spans="3:38" ht="15" x14ac:dyDescent="0.2">
      <c r="C134" s="296"/>
      <c r="D134" s="253">
        <f t="shared" si="46"/>
        <v>11</v>
      </c>
      <c r="E134" s="138">
        <f t="shared" si="42"/>
        <v>0</v>
      </c>
      <c r="F134" s="555" t="str">
        <f t="shared" si="45"/>
        <v>Excluded</v>
      </c>
      <c r="G134" s="150" t="s">
        <v>6</v>
      </c>
      <c r="H134" s="151">
        <f t="shared" si="61"/>
        <v>797.68</v>
      </c>
      <c r="I134" s="152" t="s">
        <v>7</v>
      </c>
      <c r="J134" s="153" t="str">
        <f t="shared" si="62"/>
        <v>Excluded</v>
      </c>
      <c r="K134" s="232"/>
      <c r="L134" s="232"/>
      <c r="M134" s="240"/>
      <c r="N134" s="36"/>
      <c r="Z134" s="119" t="str">
        <f t="shared" si="47"/>
        <v>Libertarian Party</v>
      </c>
      <c r="AA134" s="208">
        <f t="shared" si="48"/>
        <v>104</v>
      </c>
      <c r="AB134" s="205">
        <f>IF(F106="Excluded","Not applic.",IF(G158/G$165&lt;AF$125,G158,"Not applic."))</f>
        <v>8</v>
      </c>
      <c r="AC134" s="104" t="str">
        <f t="shared" si="50"/>
        <v>yes</v>
      </c>
      <c r="AD134" s="208">
        <f t="shared" si="51"/>
        <v>56.192959582790081</v>
      </c>
      <c r="AE134" s="209">
        <f t="shared" si="52"/>
        <v>8</v>
      </c>
      <c r="AF134" s="208">
        <f t="shared" si="60"/>
        <v>48.192959582790081</v>
      </c>
      <c r="AG134" s="210">
        <f t="shared" si="56"/>
        <v>0</v>
      </c>
      <c r="AH134" s="208">
        <f t="shared" si="57"/>
        <v>48.192959582790081</v>
      </c>
      <c r="AI134" s="129">
        <f t="shared" si="54"/>
        <v>10.843221519822821</v>
      </c>
      <c r="AJ134" s="222">
        <f t="shared" si="58"/>
        <v>10.843221519822821</v>
      </c>
      <c r="AK134" s="129">
        <f t="shared" si="59"/>
        <v>11</v>
      </c>
      <c r="AL134" s="129">
        <f t="shared" si="55"/>
        <v>11</v>
      </c>
    </row>
    <row r="135" spans="3:38" ht="15.75" thickBot="1" x14ac:dyDescent="0.25">
      <c r="C135" s="296"/>
      <c r="D135" s="253">
        <f t="shared" si="46"/>
        <v>12</v>
      </c>
      <c r="E135" s="140" t="str">
        <f t="shared" si="42"/>
        <v>Other (non-winning) parties*</v>
      </c>
      <c r="F135" s="556" t="str">
        <f t="shared" si="45"/>
        <v>Excluded</v>
      </c>
      <c r="G135" s="154" t="s">
        <v>6</v>
      </c>
      <c r="H135" s="155">
        <f t="shared" si="43"/>
        <v>797.68</v>
      </c>
      <c r="I135" s="156" t="s">
        <v>7</v>
      </c>
      <c r="J135" s="157" t="str">
        <f>IF(F135="Excluded","Excluded",F135*F$121)</f>
        <v>Excluded</v>
      </c>
      <c r="K135" s="232"/>
      <c r="L135" s="232"/>
      <c r="M135" s="240"/>
      <c r="N135" s="36"/>
      <c r="Z135" s="119" t="str">
        <f t="shared" si="47"/>
        <v>New West Party</v>
      </c>
      <c r="AA135" s="208">
        <f t="shared" si="48"/>
        <v>2.0799999999999996</v>
      </c>
      <c r="AB135" s="205">
        <f t="shared" ref="AB135:AB140" si="63">IF(F107="Excluded","Not applic.",IF(G159/G$165&lt;AF$125,G159,"Not applic."))</f>
        <v>1</v>
      </c>
      <c r="AC135" s="104" t="str">
        <f t="shared" si="50"/>
        <v>yes</v>
      </c>
      <c r="AD135" s="208">
        <f t="shared" si="51"/>
        <v>1.1238591916558016</v>
      </c>
      <c r="AE135" s="209">
        <f t="shared" si="52"/>
        <v>1</v>
      </c>
      <c r="AF135" s="208">
        <f t="shared" si="60"/>
        <v>0.12385919165580161</v>
      </c>
      <c r="AG135" s="210">
        <f t="shared" si="56"/>
        <v>0</v>
      </c>
      <c r="AH135" s="208">
        <f t="shared" si="57"/>
        <v>0.12385919165580161</v>
      </c>
      <c r="AI135" s="129">
        <f t="shared" si="54"/>
        <v>2.7867818536499472E-2</v>
      </c>
      <c r="AJ135" s="222">
        <f t="shared" si="58"/>
        <v>2.7867818536499472E-2</v>
      </c>
      <c r="AK135" s="129">
        <f t="shared" si="59"/>
        <v>0</v>
      </c>
      <c r="AL135" s="129">
        <f t="shared" si="55"/>
        <v>0</v>
      </c>
    </row>
    <row r="136" spans="3:38" ht="27.75" customHeight="1" thickTop="1" thickBot="1" x14ac:dyDescent="0.25">
      <c r="C136" s="296"/>
      <c r="D136" s="232"/>
      <c r="E136" s="14" t="s">
        <v>4</v>
      </c>
      <c r="F136" s="438">
        <f>SUM(F124:F135)</f>
        <v>1</v>
      </c>
      <c r="G136" s="18" t="s">
        <v>6</v>
      </c>
      <c r="H136" s="221">
        <f t="shared" si="43"/>
        <v>797.68</v>
      </c>
      <c r="I136" s="15" t="s">
        <v>7</v>
      </c>
      <c r="J136" s="79">
        <f>SUM(J124:J135)</f>
        <v>797.68000000000006</v>
      </c>
      <c r="K136" s="298"/>
      <c r="L136" s="299"/>
      <c r="M136" s="240"/>
      <c r="N136" s="36"/>
      <c r="Z136" s="119" t="str">
        <f t="shared" si="47"/>
        <v>First Americans Party</v>
      </c>
      <c r="AA136" s="208">
        <f>IF(F131="Excluded","Excluded",J131)</f>
        <v>15.6</v>
      </c>
      <c r="AB136" s="205">
        <f t="shared" si="63"/>
        <v>2</v>
      </c>
      <c r="AC136" s="104" t="str">
        <f t="shared" si="50"/>
        <v>yes</v>
      </c>
      <c r="AD136" s="208">
        <f t="shared" si="51"/>
        <v>8.4289439374185129</v>
      </c>
      <c r="AE136" s="209">
        <f t="shared" si="52"/>
        <v>2</v>
      </c>
      <c r="AF136" s="208">
        <f t="shared" si="60"/>
        <v>6.4289439374185129</v>
      </c>
      <c r="AG136" s="210">
        <f t="shared" si="56"/>
        <v>0</v>
      </c>
      <c r="AH136" s="208">
        <f t="shared" si="57"/>
        <v>6.4289439374185129</v>
      </c>
      <c r="AI136" s="129">
        <f t="shared" si="54"/>
        <v>1.4464864547734644</v>
      </c>
      <c r="AJ136" s="222">
        <f t="shared" si="58"/>
        <v>1.4464864547734644</v>
      </c>
      <c r="AK136" s="129">
        <f t="shared" si="59"/>
        <v>1</v>
      </c>
      <c r="AL136" s="129">
        <f t="shared" si="55"/>
        <v>1</v>
      </c>
    </row>
    <row r="137" spans="3:38" ht="44.25" customHeight="1" thickTop="1" x14ac:dyDescent="0.3">
      <c r="C137" s="296"/>
      <c r="D137" s="818" t="s">
        <v>143</v>
      </c>
      <c r="E137" s="819"/>
      <c r="F137" s="819"/>
      <c r="G137" s="819"/>
      <c r="H137" s="819"/>
      <c r="I137" s="819"/>
      <c r="J137" s="819"/>
      <c r="K137" s="819"/>
      <c r="L137" s="286"/>
      <c r="M137" s="240"/>
      <c r="N137" s="36"/>
      <c r="Z137" s="119" t="str">
        <f t="shared" si="47"/>
        <v>New Morality Party</v>
      </c>
      <c r="AA137" s="208" t="str">
        <f>IF(F132="Excluded","Excluded",J132)</f>
        <v>Excluded</v>
      </c>
      <c r="AB137" s="205" t="str">
        <f t="shared" si="63"/>
        <v>Not applic.</v>
      </c>
      <c r="AC137" s="104" t="str">
        <f t="shared" si="50"/>
        <v>no</v>
      </c>
      <c r="AD137" s="208">
        <f t="shared" si="51"/>
        <v>0</v>
      </c>
      <c r="AE137" s="209">
        <f t="shared" si="52"/>
        <v>0</v>
      </c>
      <c r="AF137" s="208">
        <f t="shared" si="60"/>
        <v>0</v>
      </c>
      <c r="AG137" s="210">
        <f t="shared" si="56"/>
        <v>0</v>
      </c>
      <c r="AH137" s="208">
        <f t="shared" si="57"/>
        <v>0</v>
      </c>
      <c r="AI137" s="129">
        <f t="shared" si="54"/>
        <v>0</v>
      </c>
      <c r="AJ137" s="222">
        <f t="shared" si="58"/>
        <v>0</v>
      </c>
      <c r="AK137" s="129">
        <f t="shared" si="59"/>
        <v>0</v>
      </c>
      <c r="AL137" s="129">
        <f t="shared" si="55"/>
        <v>0</v>
      </c>
    </row>
    <row r="138" spans="3:38" ht="9" customHeight="1" thickBot="1" x14ac:dyDescent="0.25">
      <c r="C138" s="297"/>
      <c r="D138" s="282"/>
      <c r="E138" s="282"/>
      <c r="F138" s="282"/>
      <c r="G138" s="282"/>
      <c r="H138" s="282"/>
      <c r="I138" s="282"/>
      <c r="J138" s="282"/>
      <c r="K138" s="282"/>
      <c r="L138" s="282"/>
      <c r="M138" s="300"/>
      <c r="N138" s="36"/>
      <c r="Z138" s="119" t="str">
        <f t="shared" si="47"/>
        <v>Other New Party</v>
      </c>
      <c r="AA138" s="208" t="str">
        <f>IF(F133="Excluded","Excluded",J133)</f>
        <v>Excluded</v>
      </c>
      <c r="AB138" s="205" t="str">
        <f t="shared" si="63"/>
        <v>Not applic.</v>
      </c>
      <c r="AC138" s="104" t="str">
        <f t="shared" si="50"/>
        <v>no</v>
      </c>
      <c r="AD138" s="208">
        <f t="shared" si="51"/>
        <v>0</v>
      </c>
      <c r="AE138" s="209">
        <f t="shared" si="52"/>
        <v>0</v>
      </c>
      <c r="AF138" s="208">
        <f t="shared" si="60"/>
        <v>0</v>
      </c>
      <c r="AG138" s="210">
        <f t="shared" si="56"/>
        <v>0</v>
      </c>
      <c r="AH138" s="208">
        <f t="shared" si="57"/>
        <v>0</v>
      </c>
      <c r="AI138" s="129">
        <f t="shared" si="54"/>
        <v>0</v>
      </c>
      <c r="AJ138" s="222">
        <f t="shared" si="58"/>
        <v>0</v>
      </c>
      <c r="AK138" s="129">
        <f t="shared" si="59"/>
        <v>0</v>
      </c>
      <c r="AL138" s="129">
        <f t="shared" si="55"/>
        <v>0</v>
      </c>
    </row>
    <row r="139" spans="3:38" ht="9.75" customHeight="1" thickTop="1" x14ac:dyDescent="0.2">
      <c r="C139" s="55"/>
      <c r="D139" s="392"/>
      <c r="E139" s="37"/>
      <c r="F139" s="37"/>
      <c r="G139" s="37"/>
      <c r="H139" s="37"/>
      <c r="I139" s="37"/>
      <c r="J139" s="37"/>
      <c r="K139" s="37"/>
      <c r="L139" s="37"/>
      <c r="M139" s="37"/>
      <c r="N139" s="4"/>
      <c r="O139" s="4"/>
      <c r="P139" s="4"/>
      <c r="Q139" s="4"/>
      <c r="R139" s="4"/>
      <c r="S139" s="4"/>
      <c r="T139" s="4"/>
      <c r="U139" s="4"/>
      <c r="Z139" s="119">
        <f t="shared" si="47"/>
        <v>0</v>
      </c>
      <c r="AA139" s="208" t="str">
        <f>IF(F134="Excluded","Excluded",J134)</f>
        <v>Excluded</v>
      </c>
      <c r="AB139" s="205" t="str">
        <f t="shared" si="63"/>
        <v>Not applic.</v>
      </c>
      <c r="AC139" s="104" t="str">
        <f t="shared" si="50"/>
        <v>no</v>
      </c>
      <c r="AD139" s="208">
        <f t="shared" si="51"/>
        <v>0</v>
      </c>
      <c r="AE139" s="209">
        <f t="shared" si="52"/>
        <v>0</v>
      </c>
      <c r="AF139" s="208">
        <f t="shared" si="60"/>
        <v>0</v>
      </c>
      <c r="AG139" s="210">
        <f t="shared" si="56"/>
        <v>0</v>
      </c>
      <c r="AH139" s="208">
        <f t="shared" si="57"/>
        <v>0</v>
      </c>
      <c r="AI139" s="129">
        <f t="shared" si="54"/>
        <v>0</v>
      </c>
      <c r="AJ139" s="222">
        <f t="shared" si="58"/>
        <v>0</v>
      </c>
      <c r="AK139" s="129">
        <f t="shared" si="59"/>
        <v>0</v>
      </c>
      <c r="AL139" s="129">
        <f t="shared" si="55"/>
        <v>0</v>
      </c>
    </row>
    <row r="140" spans="3:38" ht="21" customHeight="1" x14ac:dyDescent="0.2">
      <c r="C140" s="5"/>
      <c r="E140" s="820" t="s">
        <v>279</v>
      </c>
      <c r="F140" s="821"/>
      <c r="G140" s="821"/>
      <c r="H140" s="821"/>
      <c r="I140" s="821"/>
      <c r="J140" s="821"/>
      <c r="K140" s="821"/>
      <c r="L140" s="33"/>
      <c r="M140" s="4"/>
      <c r="N140" s="4"/>
      <c r="O140" s="4"/>
      <c r="P140" s="4"/>
      <c r="Q140" s="4"/>
      <c r="R140" s="4"/>
      <c r="S140" s="4"/>
      <c r="T140" s="4"/>
      <c r="U140" s="4"/>
      <c r="Z140" s="119" t="str">
        <f t="shared" si="47"/>
        <v>Other (non-winning) parties*</v>
      </c>
      <c r="AA140" s="208" t="str">
        <f>IF(F135="Excluded","Excluded",J135)</f>
        <v>Excluded</v>
      </c>
      <c r="AB140" s="205" t="str">
        <f t="shared" si="63"/>
        <v>Not applic.</v>
      </c>
      <c r="AC140" s="104" t="str">
        <f t="shared" si="50"/>
        <v>no</v>
      </c>
      <c r="AD140" s="208">
        <f t="shared" si="51"/>
        <v>0</v>
      </c>
      <c r="AE140" s="209">
        <f t="shared" si="52"/>
        <v>0</v>
      </c>
      <c r="AF140" s="208">
        <f t="shared" si="60"/>
        <v>0</v>
      </c>
      <c r="AG140" s="210">
        <f t="shared" si="56"/>
        <v>0</v>
      </c>
      <c r="AH140" s="208">
        <f t="shared" si="57"/>
        <v>0</v>
      </c>
      <c r="AI140" s="129">
        <f t="shared" si="54"/>
        <v>0</v>
      </c>
      <c r="AJ140" s="222">
        <f t="shared" si="58"/>
        <v>0</v>
      </c>
      <c r="AK140" s="129">
        <f t="shared" si="59"/>
        <v>0</v>
      </c>
      <c r="AL140" s="129">
        <f t="shared" si="55"/>
        <v>0</v>
      </c>
    </row>
    <row r="141" spans="3:38" ht="21" customHeight="1" x14ac:dyDescent="0.2">
      <c r="C141" s="5"/>
      <c r="D141" s="33"/>
      <c r="E141" s="821"/>
      <c r="F141" s="821"/>
      <c r="G141" s="821"/>
      <c r="H141" s="821"/>
      <c r="I141" s="821"/>
      <c r="J141" s="821"/>
      <c r="K141" s="821"/>
      <c r="L141" s="33"/>
      <c r="M141" s="4"/>
      <c r="N141" s="4"/>
      <c r="O141" s="4"/>
      <c r="P141" s="4"/>
      <c r="Q141" s="4"/>
      <c r="R141" s="4"/>
      <c r="S141" s="4"/>
      <c r="T141" s="4"/>
      <c r="U141" s="4"/>
      <c r="Z141" s="101"/>
      <c r="AA141" s="439">
        <f t="shared" ref="AA141" si="64">SUM(AA129:AA140)</f>
        <v>797.68000000000006</v>
      </c>
      <c r="AB141" s="130">
        <f t="shared" ref="AB141" si="65">SUM(AB129:AB140)</f>
        <v>19</v>
      </c>
      <c r="AC141" s="101"/>
      <c r="AD141" s="597">
        <f t="shared" ref="AD141" si="66">SUM(AD129:AD140)</f>
        <v>107.89048239895695</v>
      </c>
      <c r="AE141" s="209">
        <f>SUM(AE129:AE140)</f>
        <v>19</v>
      </c>
      <c r="AF141" s="439">
        <f>SUM(AF129:AF140)</f>
        <v>88.890482398956948</v>
      </c>
      <c r="AG141" s="439">
        <f>SUM(AG129:AG140)</f>
        <v>0</v>
      </c>
      <c r="AH141" s="439">
        <f>SUM(AH129:AH140)</f>
        <v>88.890482398956948</v>
      </c>
      <c r="AI141" s="120">
        <f>AJ125-AG141</f>
        <v>20</v>
      </c>
      <c r="AJ141" s="489">
        <f>SUM(AJ129:AJ140)</f>
        <v>20</v>
      </c>
      <c r="AK141" s="120">
        <f>SUM(AK129:AK140)</f>
        <v>20</v>
      </c>
      <c r="AL141" s="120">
        <f t="shared" si="55"/>
        <v>20</v>
      </c>
    </row>
    <row r="142" spans="3:38" ht="12" customHeight="1" thickBot="1" x14ac:dyDescent="0.25">
      <c r="C142" s="5"/>
      <c r="D142" s="393"/>
      <c r="E142" s="4"/>
      <c r="F142" s="4"/>
      <c r="G142" s="4"/>
      <c r="H142" s="4"/>
      <c r="I142" s="4"/>
      <c r="J142" s="4"/>
      <c r="K142" s="4"/>
      <c r="L142" s="4"/>
      <c r="M142" s="4"/>
      <c r="N142" s="4"/>
      <c r="O142" s="4"/>
      <c r="P142" s="4"/>
      <c r="Q142" s="4"/>
      <c r="R142" s="4"/>
      <c r="S142" s="4"/>
      <c r="T142" s="4"/>
      <c r="U142" s="4"/>
    </row>
    <row r="143" spans="3:38" ht="8.25" customHeight="1" thickTop="1" x14ac:dyDescent="0.2">
      <c r="C143" s="235"/>
      <c r="D143" s="301"/>
      <c r="E143" s="264"/>
      <c r="F143" s="264"/>
      <c r="G143" s="264"/>
      <c r="H143" s="264"/>
      <c r="I143" s="264"/>
      <c r="J143" s="264"/>
      <c r="K143" s="264"/>
      <c r="L143" s="264"/>
      <c r="M143" s="266"/>
      <c r="N143" s="4"/>
      <c r="O143" s="4"/>
      <c r="P143" s="4"/>
      <c r="Q143" s="4"/>
      <c r="R143" s="4"/>
      <c r="S143" s="4"/>
      <c r="T143" s="4"/>
      <c r="U143" s="4"/>
    </row>
    <row r="144" spans="3:38" ht="19.5" customHeight="1" x14ac:dyDescent="0.2">
      <c r="C144" s="239"/>
      <c r="D144" s="267" t="s">
        <v>20</v>
      </c>
      <c r="E144" s="232"/>
      <c r="F144" s="286"/>
      <c r="G144" s="286"/>
      <c r="H144" s="286"/>
      <c r="I144" s="286"/>
      <c r="J144" s="286"/>
      <c r="K144" s="286"/>
      <c r="L144" s="247"/>
      <c r="M144" s="268"/>
      <c r="N144" s="4"/>
      <c r="O144" s="4"/>
      <c r="P144" s="4"/>
      <c r="Q144" s="4"/>
      <c r="R144" s="4"/>
      <c r="S144" s="4"/>
      <c r="T144" s="4"/>
      <c r="U144" s="4"/>
    </row>
    <row r="145" spans="3:21" ht="19.5" customHeight="1" x14ac:dyDescent="0.2">
      <c r="C145" s="239"/>
      <c r="D145" s="731" t="s">
        <v>244</v>
      </c>
      <c r="E145" s="705"/>
      <c r="F145" s="705"/>
      <c r="G145" s="705"/>
      <c r="H145" s="705"/>
      <c r="I145" s="705"/>
      <c r="J145" s="705"/>
      <c r="K145" s="705"/>
      <c r="L145" s="705"/>
      <c r="M145" s="268"/>
      <c r="N145" s="4"/>
      <c r="O145" s="4"/>
      <c r="P145" s="4"/>
      <c r="Q145" s="4"/>
      <c r="R145" s="4"/>
      <c r="S145" s="4"/>
      <c r="T145" s="4"/>
      <c r="U145" s="4"/>
    </row>
    <row r="146" spans="3:21" ht="16.5" customHeight="1" x14ac:dyDescent="0.2">
      <c r="C146" s="239"/>
      <c r="D146" s="705"/>
      <c r="E146" s="705"/>
      <c r="F146" s="705"/>
      <c r="G146" s="705"/>
      <c r="H146" s="705"/>
      <c r="I146" s="705"/>
      <c r="J146" s="705"/>
      <c r="K146" s="705"/>
      <c r="L146" s="705"/>
      <c r="M146" s="268"/>
      <c r="N146" s="4"/>
      <c r="O146" s="4"/>
      <c r="Q146" s="4"/>
      <c r="R146" s="4"/>
      <c r="S146" s="4"/>
      <c r="T146" s="4"/>
      <c r="U146" s="4"/>
    </row>
    <row r="147" spans="3:21" ht="6" customHeight="1" x14ac:dyDescent="0.2">
      <c r="C147" s="239"/>
      <c r="D147" s="463"/>
      <c r="E147" s="463"/>
      <c r="F147" s="463"/>
      <c r="G147" s="463"/>
      <c r="H147" s="463"/>
      <c r="I147" s="463"/>
      <c r="J147" s="463"/>
      <c r="K147" s="463"/>
      <c r="L147" s="463"/>
      <c r="M147" s="268"/>
      <c r="N147" s="4"/>
      <c r="O147" s="4"/>
      <c r="P147" s="4"/>
      <c r="Q147" s="4"/>
      <c r="R147" s="4"/>
      <c r="S147" s="4"/>
      <c r="T147" s="4"/>
      <c r="U147" s="4"/>
    </row>
    <row r="148" spans="3:21" ht="17.25" customHeight="1" x14ac:dyDescent="0.2">
      <c r="C148" s="239"/>
      <c r="D148" s="232"/>
      <c r="E148" s="465"/>
      <c r="F148" s="232"/>
      <c r="G148" s="232"/>
      <c r="H148" s="232"/>
      <c r="I148" s="503" t="s">
        <v>156</v>
      </c>
      <c r="J148" s="584">
        <f>H35</f>
        <v>0.1</v>
      </c>
      <c r="K148" s="464" t="s">
        <v>155</v>
      </c>
      <c r="L148" s="232"/>
      <c r="M148" s="240"/>
      <c r="R148" s="4"/>
      <c r="S148" s="4"/>
      <c r="T148" s="4"/>
      <c r="U148" s="4"/>
    </row>
    <row r="149" spans="3:21" ht="14.25" customHeight="1" x14ac:dyDescent="0.2">
      <c r="C149" s="239"/>
      <c r="D149" s="585" t="s">
        <v>154</v>
      </c>
      <c r="E149" s="232"/>
      <c r="F149" s="466"/>
      <c r="G149" s="244"/>
      <c r="H149" s="232"/>
      <c r="I149" s="467"/>
      <c r="J149" s="468"/>
      <c r="K149" s="466"/>
      <c r="L149" s="466"/>
      <c r="M149" s="469"/>
    </row>
    <row r="150" spans="3:21" ht="18.75" customHeight="1" x14ac:dyDescent="0.25">
      <c r="C150" s="239"/>
      <c r="D150" s="232"/>
      <c r="E150" s="232"/>
      <c r="F150" s="232"/>
      <c r="G150" s="503" t="s">
        <v>157</v>
      </c>
      <c r="H150" s="502">
        <f>H32</f>
        <v>20</v>
      </c>
      <c r="I150" s="243" t="s">
        <v>158</v>
      </c>
      <c r="J150" s="232"/>
      <c r="K150" s="232"/>
      <c r="L150" s="232"/>
      <c r="M150" s="303"/>
      <c r="N150" s="11"/>
      <c r="O150" s="11"/>
    </row>
    <row r="151" spans="3:21" ht="9.75" customHeight="1" thickBot="1" x14ac:dyDescent="0.25">
      <c r="C151" s="239"/>
      <c r="D151" s="232"/>
      <c r="E151" s="243"/>
      <c r="F151" s="232"/>
      <c r="G151" s="232"/>
      <c r="H151" s="232"/>
      <c r="I151" s="232"/>
      <c r="J151" s="232"/>
      <c r="K151" s="232"/>
      <c r="L151" s="232"/>
      <c r="M151" s="469"/>
    </row>
    <row r="152" spans="3:21" ht="55.15" customHeight="1" thickTop="1" thickBot="1" x14ac:dyDescent="0.25">
      <c r="C152" s="239"/>
      <c r="D152" s="252"/>
      <c r="E152" s="247"/>
      <c r="F152" s="45" t="str">
        <f t="shared" ref="F152:F164" si="67">F123</f>
        <v xml:space="preserve"> % of Popular  Vote for Eligible Parties</v>
      </c>
      <c r="G152" s="754" t="s">
        <v>97</v>
      </c>
      <c r="H152" s="755"/>
      <c r="I152" s="755"/>
      <c r="J152" s="45" t="s">
        <v>8</v>
      </c>
      <c r="K152" s="44" t="s">
        <v>111</v>
      </c>
      <c r="L152" s="232"/>
      <c r="M152" s="240"/>
      <c r="N152" s="382"/>
      <c r="O152" s="382"/>
      <c r="P152" s="382"/>
      <c r="Q152" s="382"/>
    </row>
    <row r="153" spans="3:21" ht="15.75" thickTop="1" x14ac:dyDescent="0.2">
      <c r="C153" s="239"/>
      <c r="D153" s="252">
        <v>1</v>
      </c>
      <c r="E153" s="158" t="str">
        <f t="shared" ref="E153:E164" si="68">E124</f>
        <v>Lincoln Republicans</v>
      </c>
      <c r="F153" s="159">
        <f t="shared" si="67"/>
        <v>0.16297262059973924</v>
      </c>
      <c r="G153" s="852">
        <f t="shared" ref="G153:G164" si="69">G44</f>
        <v>130</v>
      </c>
      <c r="H153" s="853"/>
      <c r="I153" s="854"/>
      <c r="J153" s="160">
        <f t="shared" ref="J153:J164" si="70">AL129</f>
        <v>0</v>
      </c>
      <c r="K153" s="161">
        <f>IF(G153+J153=0,"",G153+J153)</f>
        <v>130</v>
      </c>
      <c r="L153" s="232"/>
      <c r="M153" s="240"/>
      <c r="N153" s="33"/>
      <c r="O153" s="33"/>
      <c r="P153" s="33"/>
      <c r="Q153" s="33"/>
    </row>
    <row r="154" spans="3:21" ht="15" x14ac:dyDescent="0.2">
      <c r="C154" s="239"/>
      <c r="D154" s="252">
        <f>1+D153</f>
        <v>2</v>
      </c>
      <c r="E154" s="162" t="str">
        <f t="shared" si="68"/>
        <v>Democratic Party</v>
      </c>
      <c r="F154" s="163">
        <f t="shared" si="67"/>
        <v>0.22816166883963493</v>
      </c>
      <c r="G154" s="732">
        <f t="shared" si="69"/>
        <v>135</v>
      </c>
      <c r="H154" s="733"/>
      <c r="I154" s="734"/>
      <c r="J154" s="160">
        <f t="shared" si="70"/>
        <v>0</v>
      </c>
      <c r="K154" s="161">
        <f t="shared" ref="K154:K164" si="71">G154+J154</f>
        <v>135</v>
      </c>
      <c r="L154" s="232"/>
      <c r="M154" s="240"/>
      <c r="N154" s="33"/>
      <c r="O154" s="33"/>
      <c r="P154" s="33"/>
      <c r="Q154" s="33"/>
    </row>
    <row r="155" spans="3:21" ht="15" x14ac:dyDescent="0.2">
      <c r="C155" s="239"/>
      <c r="D155" s="253">
        <f t="shared" ref="D155:D164" si="72">1+D154</f>
        <v>3</v>
      </c>
      <c r="E155" s="162" t="str">
        <f t="shared" si="68"/>
        <v>MAGA Party</v>
      </c>
      <c r="F155" s="163">
        <f t="shared" si="67"/>
        <v>0.16297262059973924</v>
      </c>
      <c r="G155" s="732">
        <f t="shared" si="69"/>
        <v>70</v>
      </c>
      <c r="H155" s="733"/>
      <c r="I155" s="734"/>
      <c r="J155" s="160">
        <f t="shared" si="70"/>
        <v>0</v>
      </c>
      <c r="K155" s="161">
        <f t="shared" si="71"/>
        <v>70</v>
      </c>
      <c r="L155" s="232"/>
      <c r="M155" s="240"/>
      <c r="N155" s="33"/>
      <c r="O155" s="33"/>
      <c r="P155" s="33"/>
      <c r="Q155" s="33"/>
    </row>
    <row r="156" spans="3:21" ht="15" x14ac:dyDescent="0.2">
      <c r="C156" s="239"/>
      <c r="D156" s="253">
        <f t="shared" si="72"/>
        <v>4</v>
      </c>
      <c r="E156" s="162" t="str">
        <f t="shared" si="68"/>
        <v>Progressive Democratic Party</v>
      </c>
      <c r="F156" s="163">
        <f t="shared" si="67"/>
        <v>0.19556714471968709</v>
      </c>
      <c r="G156" s="732">
        <f t="shared" si="69"/>
        <v>77</v>
      </c>
      <c r="H156" s="733"/>
      <c r="I156" s="734"/>
      <c r="J156" s="160">
        <f t="shared" si="70"/>
        <v>0</v>
      </c>
      <c r="K156" s="161">
        <f t="shared" si="71"/>
        <v>77</v>
      </c>
      <c r="L156" s="232"/>
      <c r="M156" s="240"/>
      <c r="N156" s="33"/>
      <c r="O156" s="33"/>
      <c r="P156" s="33"/>
      <c r="Q156" s="33"/>
    </row>
    <row r="157" spans="3:21" ht="15" customHeight="1" x14ac:dyDescent="0.2">
      <c r="C157" s="239"/>
      <c r="D157" s="253">
        <f t="shared" si="72"/>
        <v>5</v>
      </c>
      <c r="E157" s="162" t="str">
        <f t="shared" si="68"/>
        <v>Green Party</v>
      </c>
      <c r="F157" s="163">
        <f t="shared" si="67"/>
        <v>9.7783572359843543E-2</v>
      </c>
      <c r="G157" s="732">
        <f t="shared" si="69"/>
        <v>8</v>
      </c>
      <c r="H157" s="733"/>
      <c r="I157" s="734"/>
      <c r="J157" s="160">
        <f t="shared" si="70"/>
        <v>8</v>
      </c>
      <c r="K157" s="161">
        <f t="shared" si="71"/>
        <v>16</v>
      </c>
      <c r="L157" s="232"/>
      <c r="M157" s="240"/>
      <c r="N157" s="33"/>
      <c r="O157" s="33"/>
      <c r="P157" s="33"/>
      <c r="Q157" s="33"/>
    </row>
    <row r="158" spans="3:21" ht="15" x14ac:dyDescent="0.2">
      <c r="C158" s="239"/>
      <c r="D158" s="253">
        <f t="shared" si="72"/>
        <v>6</v>
      </c>
      <c r="E158" s="162" t="str">
        <f t="shared" si="68"/>
        <v>Libertarian Party</v>
      </c>
      <c r="F158" s="163">
        <f t="shared" si="67"/>
        <v>0.1303780964797914</v>
      </c>
      <c r="G158" s="732">
        <f t="shared" si="69"/>
        <v>8</v>
      </c>
      <c r="H158" s="733"/>
      <c r="I158" s="734"/>
      <c r="J158" s="160">
        <f t="shared" si="70"/>
        <v>11</v>
      </c>
      <c r="K158" s="161">
        <f t="shared" si="71"/>
        <v>19</v>
      </c>
      <c r="L158" s="232"/>
      <c r="M158" s="240"/>
      <c r="N158" s="33"/>
      <c r="O158" s="33"/>
      <c r="P158" s="33"/>
      <c r="Q158" s="33"/>
    </row>
    <row r="159" spans="3:21" ht="15" x14ac:dyDescent="0.2">
      <c r="C159" s="239"/>
      <c r="D159" s="253">
        <f t="shared" si="72"/>
        <v>7</v>
      </c>
      <c r="E159" s="162" t="str">
        <f t="shared" si="68"/>
        <v>New West Party</v>
      </c>
      <c r="F159" s="163">
        <f t="shared" si="67"/>
        <v>2.6075619295958278E-3</v>
      </c>
      <c r="G159" s="732">
        <f t="shared" si="69"/>
        <v>1</v>
      </c>
      <c r="H159" s="733"/>
      <c r="I159" s="734"/>
      <c r="J159" s="160">
        <f t="shared" si="70"/>
        <v>0</v>
      </c>
      <c r="K159" s="161">
        <f t="shared" si="71"/>
        <v>1</v>
      </c>
      <c r="L159" s="232"/>
      <c r="M159" s="240"/>
      <c r="N159" s="33"/>
      <c r="O159" s="33"/>
      <c r="P159" s="33"/>
      <c r="Q159" s="33"/>
    </row>
    <row r="160" spans="3:21" ht="15" x14ac:dyDescent="0.2">
      <c r="C160" s="239"/>
      <c r="D160" s="253">
        <f t="shared" si="72"/>
        <v>8</v>
      </c>
      <c r="E160" s="162" t="str">
        <f t="shared" si="68"/>
        <v>First Americans Party</v>
      </c>
      <c r="F160" s="163">
        <f t="shared" si="67"/>
        <v>1.955671447196871E-2</v>
      </c>
      <c r="G160" s="732">
        <f t="shared" si="69"/>
        <v>2</v>
      </c>
      <c r="H160" s="733"/>
      <c r="I160" s="734"/>
      <c r="J160" s="160">
        <f t="shared" si="70"/>
        <v>1</v>
      </c>
      <c r="K160" s="161">
        <f t="shared" si="71"/>
        <v>3</v>
      </c>
      <c r="L160" s="232"/>
      <c r="M160" s="240"/>
      <c r="N160" s="33"/>
      <c r="O160" s="33"/>
      <c r="P160" s="33"/>
      <c r="Q160" s="33"/>
    </row>
    <row r="161" spans="3:38" ht="15" x14ac:dyDescent="0.2">
      <c r="C161" s="239"/>
      <c r="D161" s="253">
        <f t="shared" si="72"/>
        <v>9</v>
      </c>
      <c r="E161" s="162" t="str">
        <f t="shared" si="68"/>
        <v>New Morality Party</v>
      </c>
      <c r="F161" s="163" t="str">
        <f t="shared" si="67"/>
        <v>Excluded</v>
      </c>
      <c r="G161" s="732">
        <f t="shared" si="69"/>
        <v>0</v>
      </c>
      <c r="H161" s="733"/>
      <c r="I161" s="734"/>
      <c r="J161" s="160">
        <f t="shared" si="70"/>
        <v>0</v>
      </c>
      <c r="K161" s="161">
        <f t="shared" si="71"/>
        <v>0</v>
      </c>
      <c r="L161" s="232"/>
      <c r="M161" s="240"/>
      <c r="N161" s="33"/>
      <c r="O161" s="33"/>
      <c r="P161" s="33"/>
      <c r="Q161" s="33"/>
    </row>
    <row r="162" spans="3:38" ht="15" x14ac:dyDescent="0.2">
      <c r="C162" s="239"/>
      <c r="D162" s="253">
        <f t="shared" si="72"/>
        <v>10</v>
      </c>
      <c r="E162" s="162" t="str">
        <f t="shared" si="68"/>
        <v>Other New Party</v>
      </c>
      <c r="F162" s="163" t="str">
        <f t="shared" si="67"/>
        <v>Excluded</v>
      </c>
      <c r="G162" s="732">
        <f t="shared" si="69"/>
        <v>0</v>
      </c>
      <c r="H162" s="733"/>
      <c r="I162" s="734"/>
      <c r="J162" s="160">
        <f t="shared" si="70"/>
        <v>0</v>
      </c>
      <c r="K162" s="161">
        <f t="shared" si="71"/>
        <v>0</v>
      </c>
      <c r="L162" s="232"/>
      <c r="M162" s="240"/>
      <c r="N162" s="33"/>
      <c r="O162" s="33"/>
      <c r="P162" s="33"/>
      <c r="Q162" s="33"/>
    </row>
    <row r="163" spans="3:38" ht="15" x14ac:dyDescent="0.2">
      <c r="C163" s="239"/>
      <c r="D163" s="253">
        <f t="shared" si="72"/>
        <v>11</v>
      </c>
      <c r="E163" s="162">
        <f t="shared" si="68"/>
        <v>0</v>
      </c>
      <c r="F163" s="163" t="str">
        <f t="shared" si="67"/>
        <v>Excluded</v>
      </c>
      <c r="G163" s="732">
        <f t="shared" si="69"/>
        <v>0</v>
      </c>
      <c r="H163" s="733"/>
      <c r="I163" s="734"/>
      <c r="J163" s="160">
        <f t="shared" si="70"/>
        <v>0</v>
      </c>
      <c r="K163" s="161">
        <f t="shared" si="71"/>
        <v>0</v>
      </c>
      <c r="L163" s="232"/>
      <c r="M163" s="240"/>
      <c r="N163" s="33"/>
      <c r="O163" s="33"/>
      <c r="P163" s="33"/>
      <c r="Q163" s="33"/>
    </row>
    <row r="164" spans="3:38" ht="15.75" thickBot="1" x14ac:dyDescent="0.25">
      <c r="C164" s="239"/>
      <c r="D164" s="253">
        <f t="shared" si="72"/>
        <v>12</v>
      </c>
      <c r="E164" s="164" t="str">
        <f t="shared" si="68"/>
        <v>Other (non-winning) parties*</v>
      </c>
      <c r="F164" s="165" t="str">
        <f t="shared" si="67"/>
        <v>Excluded</v>
      </c>
      <c r="G164" s="694">
        <f t="shared" si="69"/>
        <v>0</v>
      </c>
      <c r="H164" s="695"/>
      <c r="I164" s="696"/>
      <c r="J164" s="160">
        <f t="shared" si="70"/>
        <v>0</v>
      </c>
      <c r="K164" s="161">
        <f t="shared" si="71"/>
        <v>0</v>
      </c>
      <c r="L164" s="232"/>
      <c r="M164" s="240"/>
      <c r="N164" s="33"/>
      <c r="O164" s="33"/>
      <c r="P164" s="33"/>
      <c r="Q164" s="33"/>
    </row>
    <row r="165" spans="3:38" ht="25.5" customHeight="1" thickTop="1" thickBot="1" x14ac:dyDescent="0.25">
      <c r="C165" s="239"/>
      <c r="D165" s="252"/>
      <c r="E165" s="14" t="s">
        <v>4</v>
      </c>
      <c r="F165" s="447">
        <f>SUM(F153:F164)</f>
        <v>1</v>
      </c>
      <c r="G165" s="834">
        <f>SUM(G153:G164)</f>
        <v>431</v>
      </c>
      <c r="H165" s="834"/>
      <c r="I165" s="834"/>
      <c r="J165" s="25">
        <f>SUM(J153:J164)</f>
        <v>20</v>
      </c>
      <c r="K165" s="68">
        <f>SUM(K153:K164)</f>
        <v>451</v>
      </c>
      <c r="L165" s="759" t="s">
        <v>189</v>
      </c>
      <c r="M165" s="760"/>
      <c r="N165" s="89"/>
      <c r="O165" s="89"/>
      <c r="P165" s="89"/>
      <c r="Q165" s="89"/>
    </row>
    <row r="166" spans="3:38" ht="15" customHeight="1" thickTop="1" x14ac:dyDescent="0.2">
      <c r="C166" s="239"/>
      <c r="D166" s="252"/>
      <c r="E166" s="470"/>
      <c r="F166" s="471"/>
      <c r="G166" s="472"/>
      <c r="H166" s="472"/>
      <c r="I166" s="472"/>
      <c r="J166" s="689" t="s">
        <v>26</v>
      </c>
      <c r="K166" s="473"/>
      <c r="L166" s="232"/>
      <c r="M166" s="240"/>
      <c r="N166" s="89"/>
      <c r="O166" s="89"/>
      <c r="P166" s="89"/>
      <c r="Q166" s="89"/>
      <c r="AI166" s="63"/>
      <c r="AJ166" s="63"/>
      <c r="AK166" s="63"/>
      <c r="AL166" s="63"/>
    </row>
    <row r="167" spans="3:38" ht="8.25" customHeight="1" x14ac:dyDescent="0.2">
      <c r="C167" s="239"/>
      <c r="D167" s="252"/>
      <c r="E167" s="470"/>
      <c r="F167" s="471"/>
      <c r="G167" s="472"/>
      <c r="H167" s="472"/>
      <c r="I167" s="472"/>
      <c r="J167" s="690"/>
      <c r="K167" s="473"/>
      <c r="L167" s="232"/>
      <c r="M167" s="240"/>
      <c r="N167" s="89"/>
      <c r="O167" s="89"/>
      <c r="P167" s="89"/>
      <c r="Q167" s="89"/>
      <c r="U167" s="67"/>
      <c r="V167" s="67"/>
      <c r="W167" s="122"/>
      <c r="X167" s="121"/>
      <c r="Y167" s="115"/>
      <c r="Z167" s="123"/>
      <c r="AB167" s="121"/>
      <c r="AC167" s="121"/>
      <c r="AD167" s="121"/>
      <c r="AE167" s="124"/>
      <c r="AF167" s="121"/>
      <c r="AG167" s="101"/>
      <c r="AH167" s="101"/>
      <c r="AI167" s="101"/>
      <c r="AK167" s="63"/>
      <c r="AL167" s="63"/>
    </row>
    <row r="168" spans="3:38" ht="15" customHeight="1" x14ac:dyDescent="0.2">
      <c r="C168" s="239"/>
      <c r="D168" s="729" t="s">
        <v>281</v>
      </c>
      <c r="E168" s="730"/>
      <c r="F168" s="730"/>
      <c r="G168" s="730"/>
      <c r="H168" s="730"/>
      <c r="I168" s="730"/>
      <c r="J168" s="730"/>
      <c r="K168" s="730"/>
      <c r="L168" s="730"/>
      <c r="M168" s="456"/>
      <c r="N168" s="89"/>
      <c r="O168" s="89"/>
      <c r="P168" s="89"/>
      <c r="Q168" s="89"/>
      <c r="U168" s="67"/>
      <c r="V168" s="67"/>
      <c r="W168" s="122"/>
      <c r="X168" s="121"/>
      <c r="Y168" s="115"/>
      <c r="Z168" s="123"/>
      <c r="AB168" s="121"/>
      <c r="AC168" s="121"/>
      <c r="AD168" s="121"/>
      <c r="AE168" s="124"/>
      <c r="AF168" s="121"/>
      <c r="AG168" s="101"/>
      <c r="AH168" s="101"/>
      <c r="AI168" s="101"/>
      <c r="AK168" s="63"/>
      <c r="AL168" s="63"/>
    </row>
    <row r="169" spans="3:38" ht="15" customHeight="1" x14ac:dyDescent="0.2">
      <c r="C169" s="239"/>
      <c r="D169" s="730"/>
      <c r="E169" s="730"/>
      <c r="F169" s="730"/>
      <c r="G169" s="730"/>
      <c r="H169" s="730"/>
      <c r="I169" s="730"/>
      <c r="J169" s="730"/>
      <c r="K169" s="730"/>
      <c r="L169" s="730"/>
      <c r="M169" s="456"/>
      <c r="N169" s="89"/>
      <c r="O169" s="89"/>
      <c r="P169" s="675"/>
      <c r="U169" s="67"/>
      <c r="V169" s="67"/>
      <c r="W169" s="122"/>
      <c r="X169" s="121"/>
      <c r="Y169" s="115"/>
      <c r="Z169" s="123"/>
      <c r="AB169" s="121"/>
      <c r="AC169" s="121"/>
      <c r="AD169" s="121"/>
      <c r="AE169" s="124"/>
      <c r="AF169" s="121"/>
      <c r="AG169" s="101"/>
      <c r="AH169" s="101"/>
      <c r="AI169" s="101"/>
      <c r="AK169" s="63"/>
      <c r="AL169" s="63"/>
    </row>
    <row r="170" spans="3:38" ht="15" customHeight="1" x14ac:dyDescent="0.2">
      <c r="C170" s="239"/>
      <c r="D170" s="730"/>
      <c r="E170" s="730"/>
      <c r="F170" s="730"/>
      <c r="G170" s="730"/>
      <c r="H170" s="730"/>
      <c r="I170" s="730"/>
      <c r="J170" s="730"/>
      <c r="K170" s="730"/>
      <c r="L170" s="730"/>
      <c r="M170" s="456"/>
      <c r="N170" s="89"/>
      <c r="O170" s="89"/>
      <c r="P170" s="89"/>
      <c r="Q170" s="89"/>
      <c r="U170" s="67"/>
      <c r="V170" s="67"/>
      <c r="W170" s="122"/>
      <c r="X170" s="121"/>
      <c r="Y170" s="115"/>
      <c r="Z170" s="123"/>
      <c r="AB170" s="121"/>
      <c r="AC170" s="121"/>
      <c r="AD170" s="121"/>
      <c r="AE170" s="124"/>
      <c r="AF170" s="121"/>
      <c r="AG170" s="101"/>
      <c r="AH170" s="101"/>
      <c r="AI170" s="101"/>
      <c r="AK170" s="63"/>
      <c r="AL170" s="63"/>
    </row>
    <row r="171" spans="3:38" ht="15" customHeight="1" x14ac:dyDescent="0.2">
      <c r="C171" s="239"/>
      <c r="D171" s="730"/>
      <c r="E171" s="730"/>
      <c r="F171" s="730"/>
      <c r="G171" s="730"/>
      <c r="H171" s="730"/>
      <c r="I171" s="730"/>
      <c r="J171" s="730"/>
      <c r="K171" s="730"/>
      <c r="L171" s="730"/>
      <c r="M171" s="456"/>
      <c r="N171" s="89"/>
      <c r="O171" s="89"/>
      <c r="P171" s="89"/>
      <c r="Q171" s="89"/>
      <c r="U171" s="67"/>
      <c r="V171" s="67"/>
      <c r="W171" s="122"/>
      <c r="X171" s="121"/>
      <c r="Y171" s="115"/>
      <c r="Z171" s="123"/>
      <c r="AB171" s="121"/>
      <c r="AC171" s="121"/>
      <c r="AD171" s="121"/>
      <c r="AE171" s="124"/>
      <c r="AF171" s="121"/>
      <c r="AG171" s="101"/>
      <c r="AH171" s="101"/>
      <c r="AI171" s="101"/>
      <c r="AK171" s="63"/>
      <c r="AL171" s="63"/>
    </row>
    <row r="172" spans="3:38" ht="15" customHeight="1" x14ac:dyDescent="0.2">
      <c r="C172" s="239"/>
      <c r="D172" s="730"/>
      <c r="E172" s="730"/>
      <c r="F172" s="730"/>
      <c r="G172" s="730"/>
      <c r="H172" s="730"/>
      <c r="I172" s="730"/>
      <c r="J172" s="730"/>
      <c r="K172" s="730"/>
      <c r="L172" s="730"/>
      <c r="M172" s="456"/>
      <c r="N172" s="89"/>
      <c r="O172" s="89"/>
      <c r="P172" s="89"/>
      <c r="Q172" s="89"/>
      <c r="U172" s="67"/>
      <c r="V172" s="67"/>
      <c r="W172" s="122"/>
      <c r="X172" s="121"/>
      <c r="Y172" s="115"/>
      <c r="Z172" s="123"/>
      <c r="AB172" s="121"/>
      <c r="AC172" s="121"/>
      <c r="AD172" s="121"/>
      <c r="AE172" s="124"/>
      <c r="AF172" s="121"/>
      <c r="AG172" s="101"/>
      <c r="AH172" s="101"/>
      <c r="AI172" s="101"/>
      <c r="AK172" s="63"/>
      <c r="AL172" s="63"/>
    </row>
    <row r="173" spans="3:38" ht="15" customHeight="1" x14ac:dyDescent="0.2">
      <c r="C173" s="239"/>
      <c r="D173" s="730"/>
      <c r="E173" s="730"/>
      <c r="F173" s="730"/>
      <c r="G173" s="730"/>
      <c r="H173" s="730"/>
      <c r="I173" s="730"/>
      <c r="J173" s="730"/>
      <c r="K173" s="730"/>
      <c r="L173" s="730"/>
      <c r="M173" s="456"/>
      <c r="N173" s="89"/>
      <c r="O173" s="89"/>
      <c r="P173" s="89"/>
      <c r="Q173" s="89"/>
      <c r="U173" s="67"/>
      <c r="V173" s="67"/>
      <c r="W173" s="122"/>
      <c r="X173" s="121"/>
      <c r="Y173" s="115"/>
      <c r="Z173" s="123"/>
      <c r="AB173" s="121"/>
      <c r="AC173" s="121"/>
      <c r="AD173" s="121"/>
      <c r="AE173" s="124"/>
      <c r="AF173" s="121"/>
      <c r="AG173" s="101"/>
      <c r="AH173" s="101"/>
      <c r="AI173" s="101"/>
      <c r="AK173" s="63"/>
      <c r="AL173" s="63"/>
    </row>
    <row r="174" spans="3:38" ht="15" customHeight="1" x14ac:dyDescent="0.2">
      <c r="C174" s="239"/>
      <c r="D174" s="730"/>
      <c r="E174" s="730"/>
      <c r="F174" s="730"/>
      <c r="G174" s="730"/>
      <c r="H174" s="730"/>
      <c r="I174" s="730"/>
      <c r="J174" s="730"/>
      <c r="K174" s="730"/>
      <c r="L174" s="730"/>
      <c r="M174" s="456"/>
      <c r="N174" s="89"/>
      <c r="O174" s="89"/>
      <c r="P174" s="89"/>
      <c r="Q174" s="89"/>
      <c r="U174" s="67"/>
      <c r="V174" s="67"/>
      <c r="W174" s="122"/>
      <c r="X174" s="121"/>
      <c r="Y174" s="115"/>
      <c r="Z174" s="123"/>
      <c r="AB174" s="121"/>
      <c r="AC174" s="121"/>
      <c r="AD174" s="121"/>
      <c r="AE174" s="124"/>
      <c r="AF174" s="121"/>
      <c r="AG174" s="101"/>
      <c r="AH174" s="101"/>
      <c r="AI174" s="101"/>
      <c r="AK174" s="63"/>
      <c r="AL174" s="63"/>
    </row>
    <row r="175" spans="3:38" ht="15" customHeight="1" x14ac:dyDescent="0.2">
      <c r="C175" s="239"/>
      <c r="D175" s="729" t="s">
        <v>282</v>
      </c>
      <c r="E175" s="730"/>
      <c r="F175" s="730"/>
      <c r="G175" s="730"/>
      <c r="H175" s="730"/>
      <c r="I175" s="730"/>
      <c r="J175" s="730"/>
      <c r="K175" s="730"/>
      <c r="L175" s="730"/>
      <c r="M175" s="456"/>
      <c r="N175" s="89"/>
      <c r="O175" s="89"/>
      <c r="P175" s="89"/>
      <c r="Q175" s="89"/>
      <c r="U175" s="67"/>
      <c r="V175" s="67"/>
      <c r="W175" s="122"/>
      <c r="X175" s="121"/>
      <c r="Y175" s="115"/>
      <c r="Z175" s="123"/>
      <c r="AB175" s="121"/>
      <c r="AC175" s="121"/>
      <c r="AD175" s="121"/>
      <c r="AE175" s="124"/>
      <c r="AF175" s="121"/>
      <c r="AG175" s="101"/>
      <c r="AH175" s="101"/>
      <c r="AI175" s="101"/>
      <c r="AK175" s="63"/>
      <c r="AL175" s="63"/>
    </row>
    <row r="176" spans="3:38" ht="15" customHeight="1" x14ac:dyDescent="0.2">
      <c r="C176" s="239"/>
      <c r="D176" s="729"/>
      <c r="E176" s="730"/>
      <c r="F176" s="730"/>
      <c r="G176" s="730"/>
      <c r="H176" s="730"/>
      <c r="I176" s="730"/>
      <c r="J176" s="730"/>
      <c r="K176" s="730"/>
      <c r="L176" s="730"/>
      <c r="M176" s="456"/>
      <c r="N176" s="89"/>
      <c r="O176" s="89"/>
      <c r="P176" s="89"/>
      <c r="Q176" s="89"/>
      <c r="U176" s="67"/>
      <c r="V176" s="67"/>
      <c r="W176" s="122"/>
      <c r="X176" s="121"/>
      <c r="Y176" s="115"/>
      <c r="Z176" s="123"/>
      <c r="AB176" s="121"/>
      <c r="AC176" s="121"/>
      <c r="AD176" s="121"/>
      <c r="AE176" s="124"/>
      <c r="AF176" s="121"/>
      <c r="AG176" s="101"/>
      <c r="AH176" s="101"/>
      <c r="AI176" s="101"/>
      <c r="AK176" s="63"/>
      <c r="AL176" s="63"/>
    </row>
    <row r="177" spans="3:38" ht="15" customHeight="1" x14ac:dyDescent="0.2">
      <c r="C177" s="239"/>
      <c r="D177" s="730"/>
      <c r="E177" s="730"/>
      <c r="F177" s="730"/>
      <c r="G177" s="730"/>
      <c r="H177" s="730"/>
      <c r="I177" s="730"/>
      <c r="J177" s="730"/>
      <c r="K177" s="730"/>
      <c r="L177" s="730"/>
      <c r="M177" s="456"/>
      <c r="N177" s="89"/>
      <c r="O177" s="89"/>
      <c r="P177" s="89"/>
      <c r="Q177" s="89"/>
      <c r="U177" s="67"/>
      <c r="V177" s="67"/>
      <c r="W177" s="122"/>
      <c r="X177" s="121"/>
      <c r="Y177" s="115"/>
      <c r="Z177" s="123"/>
      <c r="AB177" s="121"/>
      <c r="AC177" s="121"/>
      <c r="AD177" s="121"/>
      <c r="AE177" s="124"/>
      <c r="AF177" s="121"/>
      <c r="AG177" s="101"/>
      <c r="AH177" s="101"/>
      <c r="AI177" s="101"/>
      <c r="AK177" s="63"/>
      <c r="AL177" s="63"/>
    </row>
    <row r="178" spans="3:38" ht="5.25" customHeight="1" thickBot="1" x14ac:dyDescent="0.25">
      <c r="C178" s="245"/>
      <c r="D178" s="384" t="s">
        <v>1</v>
      </c>
      <c r="E178" s="276"/>
      <c r="F178" s="276"/>
      <c r="G178" s="276"/>
      <c r="H178" s="276"/>
      <c r="I178" s="276"/>
      <c r="J178" s="277"/>
      <c r="K178" s="277"/>
      <c r="L178" s="276"/>
      <c r="M178" s="474"/>
      <c r="N178" s="4"/>
      <c r="O178" s="4"/>
      <c r="P178" s="4"/>
      <c r="Q178" s="4"/>
      <c r="W178" s="101"/>
      <c r="X178" s="101"/>
      <c r="Y178" s="101"/>
      <c r="AH178" s="101"/>
    </row>
    <row r="179" spans="3:38" ht="12" customHeight="1" thickBot="1" x14ac:dyDescent="0.25">
      <c r="C179" s="58"/>
      <c r="D179" s="61"/>
      <c r="E179" s="59"/>
      <c r="F179" s="59"/>
      <c r="G179" s="59"/>
      <c r="H179" s="59"/>
      <c r="I179" s="59"/>
      <c r="J179" s="59"/>
      <c r="K179" s="59"/>
      <c r="L179" s="59"/>
      <c r="M179" s="59"/>
      <c r="N179" s="433"/>
      <c r="O179" s="4"/>
      <c r="P179" s="4"/>
      <c r="Q179" s="4"/>
      <c r="R179" s="63"/>
      <c r="U179" s="4"/>
      <c r="W179" s="101"/>
      <c r="X179" s="101"/>
      <c r="Y179" s="101"/>
      <c r="Z179" s="119"/>
      <c r="AH179" s="101"/>
    </row>
    <row r="180" spans="3:38" ht="15" customHeight="1" thickTop="1" x14ac:dyDescent="0.2">
      <c r="C180" s="235"/>
      <c r="D180" s="301"/>
      <c r="E180" s="264"/>
      <c r="F180" s="264"/>
      <c r="G180" s="264"/>
      <c r="H180" s="264"/>
      <c r="I180" s="264"/>
      <c r="J180" s="264"/>
      <c r="K180" s="264"/>
      <c r="L180" s="264"/>
      <c r="M180" s="264"/>
      <c r="N180" s="266"/>
      <c r="O180" s="4"/>
      <c r="P180" s="4"/>
      <c r="Q180" s="4"/>
      <c r="R180" s="63"/>
    </row>
    <row r="181" spans="3:38" ht="18.75" customHeight="1" x14ac:dyDescent="0.2">
      <c r="C181" s="239"/>
      <c r="D181" s="267" t="s">
        <v>110</v>
      </c>
      <c r="E181" s="247"/>
      <c r="F181" s="247"/>
      <c r="G181" s="247"/>
      <c r="H181" s="247"/>
      <c r="I181" s="247"/>
      <c r="J181" s="247"/>
      <c r="K181" s="247"/>
      <c r="L181" s="247"/>
      <c r="M181" s="247"/>
      <c r="N181" s="268"/>
      <c r="O181" s="4"/>
      <c r="P181" s="4"/>
      <c r="Q181" s="4"/>
      <c r="R181" s="63"/>
    </row>
    <row r="182" spans="3:38" ht="17.25" customHeight="1" x14ac:dyDescent="0.2">
      <c r="C182" s="239"/>
      <c r="D182" s="716" t="s">
        <v>241</v>
      </c>
      <c r="E182" s="716"/>
      <c r="F182" s="716"/>
      <c r="G182" s="716"/>
      <c r="H182" s="716"/>
      <c r="I182" s="716"/>
      <c r="J182" s="716"/>
      <c r="K182" s="716"/>
      <c r="L182" s="716"/>
      <c r="M182" s="716"/>
      <c r="N182" s="240"/>
      <c r="Q182" s="63"/>
    </row>
    <row r="183" spans="3:38" ht="27.75" customHeight="1" x14ac:dyDescent="0.2">
      <c r="C183" s="239"/>
      <c r="D183" s="716"/>
      <c r="E183" s="716"/>
      <c r="F183" s="716"/>
      <c r="G183" s="716"/>
      <c r="H183" s="716"/>
      <c r="I183" s="716"/>
      <c r="J183" s="716"/>
      <c r="K183" s="716"/>
      <c r="L183" s="716"/>
      <c r="M183" s="716"/>
      <c r="N183" s="240"/>
    </row>
    <row r="184" spans="3:38" ht="22.5" customHeight="1" x14ac:dyDescent="0.2">
      <c r="C184" s="296"/>
      <c r="D184" s="716" t="s">
        <v>283</v>
      </c>
      <c r="E184" s="716"/>
      <c r="F184" s="716"/>
      <c r="G184" s="716"/>
      <c r="H184" s="716"/>
      <c r="I184" s="716"/>
      <c r="J184" s="716"/>
      <c r="K184" s="716"/>
      <c r="L184" s="716"/>
      <c r="M184" s="716"/>
      <c r="N184" s="242"/>
      <c r="O184" s="11"/>
      <c r="P184" s="11"/>
      <c r="Q184" s="11"/>
    </row>
    <row r="185" spans="3:38" ht="15" customHeight="1" x14ac:dyDescent="0.2">
      <c r="C185" s="296"/>
      <c r="D185" s="716"/>
      <c r="E185" s="716"/>
      <c r="F185" s="716"/>
      <c r="G185" s="716"/>
      <c r="H185" s="716"/>
      <c r="I185" s="716"/>
      <c r="J185" s="716"/>
      <c r="K185" s="716"/>
      <c r="L185" s="716"/>
      <c r="M185" s="716"/>
      <c r="N185" s="242"/>
      <c r="O185" s="11"/>
      <c r="P185" s="11"/>
      <c r="Q185" s="11"/>
    </row>
    <row r="186" spans="3:38" ht="15" customHeight="1" x14ac:dyDescent="0.3">
      <c r="C186" s="296"/>
      <c r="D186" s="232"/>
      <c r="E186" s="304"/>
      <c r="F186" s="232"/>
      <c r="G186" s="279" t="s">
        <v>94</v>
      </c>
      <c r="H186" s="421">
        <f>F203/G203</f>
        <v>1.7686917960088693</v>
      </c>
      <c r="I186" s="243" t="s">
        <v>24</v>
      </c>
      <c r="J186" s="364"/>
      <c r="K186" s="302"/>
      <c r="L186" s="302"/>
      <c r="M186" s="302"/>
      <c r="N186" s="305"/>
      <c r="O186" s="34"/>
      <c r="P186" s="34"/>
      <c r="Q186" s="34"/>
    </row>
    <row r="187" spans="3:38" ht="17.25" customHeight="1" thickBot="1" x14ac:dyDescent="0.35">
      <c r="C187" s="296"/>
      <c r="D187" s="270"/>
      <c r="E187" s="304"/>
      <c r="F187" s="302"/>
      <c r="G187" s="302"/>
      <c r="H187" s="306"/>
      <c r="I187" s="302"/>
      <c r="J187" s="302"/>
      <c r="K187" s="726" t="s">
        <v>104</v>
      </c>
      <c r="L187" s="727"/>
      <c r="M187" s="302"/>
      <c r="N187" s="305"/>
      <c r="O187" s="34"/>
      <c r="P187" s="34"/>
      <c r="Q187" s="34"/>
    </row>
    <row r="188" spans="3:38" ht="18.75" customHeight="1" thickTop="1" x14ac:dyDescent="0.2">
      <c r="C188" s="296"/>
      <c r="D188" s="232"/>
      <c r="E188" s="232"/>
      <c r="F188" s="822" t="str">
        <f>J123</f>
        <v>House Vote Entitlement</v>
      </c>
      <c r="G188" s="825" t="s">
        <v>129</v>
      </c>
      <c r="H188" s="826"/>
      <c r="I188" s="829" t="s">
        <v>227</v>
      </c>
      <c r="J188" s="830"/>
      <c r="K188" s="722" t="s">
        <v>103</v>
      </c>
      <c r="L188" s="723"/>
      <c r="M188" s="232"/>
      <c r="N188" s="240"/>
    </row>
    <row r="189" spans="3:38" ht="20.25" customHeight="1" x14ac:dyDescent="0.2">
      <c r="C189" s="296"/>
      <c r="D189" s="232"/>
      <c r="E189" s="448"/>
      <c r="F189" s="823"/>
      <c r="G189" s="823"/>
      <c r="H189" s="827"/>
      <c r="I189" s="831"/>
      <c r="J189" s="832"/>
      <c r="K189" s="833" t="s">
        <v>112</v>
      </c>
      <c r="L189" s="724" t="s">
        <v>105</v>
      </c>
      <c r="M189" s="232"/>
      <c r="N189" s="240"/>
    </row>
    <row r="190" spans="3:38" ht="18.75" customHeight="1" thickBot="1" x14ac:dyDescent="0.25">
      <c r="C190" s="296"/>
      <c r="D190" s="232"/>
      <c r="E190" s="307"/>
      <c r="F190" s="824"/>
      <c r="G190" s="824"/>
      <c r="H190" s="828"/>
      <c r="I190" s="831"/>
      <c r="J190" s="832"/>
      <c r="K190" s="833"/>
      <c r="L190" s="725"/>
      <c r="M190" s="232"/>
      <c r="N190" s="240"/>
    </row>
    <row r="191" spans="3:38" ht="17.25" customHeight="1" thickTop="1" x14ac:dyDescent="0.2">
      <c r="C191" s="296"/>
      <c r="D191" s="252">
        <v>1</v>
      </c>
      <c r="E191" s="136" t="str">
        <f t="shared" ref="E191:E201" si="73">E44</f>
        <v>Lincoln Republicans</v>
      </c>
      <c r="F191" s="509">
        <f t="shared" ref="F191:F202" si="74">IF(K153=0,0,J124)</f>
        <v>130</v>
      </c>
      <c r="G191" s="768">
        <f t="shared" ref="G191:G202" si="75">K153</f>
        <v>130</v>
      </c>
      <c r="H191" s="769"/>
      <c r="I191" s="761">
        <f>IF(G191=0,0,F191/G191)</f>
        <v>1</v>
      </c>
      <c r="J191" s="761"/>
      <c r="K191" s="510">
        <f t="shared" ref="K191:K202" si="76">F191/F$207</f>
        <v>0.16153989426479648</v>
      </c>
      <c r="L191" s="511">
        <f t="shared" ref="L191:L202" si="77">IF(F191=0,0,F77/(F$89+F$91))</f>
        <v>0.16297262059973924</v>
      </c>
      <c r="M191" s="232"/>
      <c r="N191" s="240"/>
    </row>
    <row r="192" spans="3:38" ht="15.75" customHeight="1" x14ac:dyDescent="0.2">
      <c r="C192" s="296"/>
      <c r="D192" s="252">
        <f>1+D191</f>
        <v>2</v>
      </c>
      <c r="E192" s="138" t="str">
        <f t="shared" si="73"/>
        <v>Democratic Party</v>
      </c>
      <c r="F192" s="512">
        <f t="shared" si="74"/>
        <v>181.99999999999997</v>
      </c>
      <c r="G192" s="714">
        <f t="shared" si="75"/>
        <v>135</v>
      </c>
      <c r="H192" s="715"/>
      <c r="I192" s="743">
        <f>IF(G192=0,0,F192/G192)</f>
        <v>1.3481481481481479</v>
      </c>
      <c r="J192" s="743"/>
      <c r="K192" s="513">
        <f t="shared" si="76"/>
        <v>0.22615585197071503</v>
      </c>
      <c r="L192" s="514">
        <f t="shared" si="77"/>
        <v>0.22816166883963493</v>
      </c>
      <c r="M192" s="232"/>
      <c r="N192" s="240"/>
      <c r="AD192" s="206"/>
    </row>
    <row r="193" spans="3:33" ht="15" x14ac:dyDescent="0.2">
      <c r="C193" s="296"/>
      <c r="D193" s="253">
        <f t="shared" ref="D193:D201" si="78">1+D192</f>
        <v>3</v>
      </c>
      <c r="E193" s="138" t="str">
        <f t="shared" si="73"/>
        <v>MAGA Party</v>
      </c>
      <c r="F193" s="512">
        <f t="shared" si="74"/>
        <v>130</v>
      </c>
      <c r="G193" s="714">
        <f t="shared" si="75"/>
        <v>70</v>
      </c>
      <c r="H193" s="715"/>
      <c r="I193" s="743">
        <f>IF(G193=0,0,F193/G193)</f>
        <v>1.8571428571428572</v>
      </c>
      <c r="J193" s="743"/>
      <c r="K193" s="513">
        <f t="shared" si="76"/>
        <v>0.16153989426479648</v>
      </c>
      <c r="L193" s="514">
        <f t="shared" si="77"/>
        <v>0.16297262059973924</v>
      </c>
      <c r="M193" s="232"/>
      <c r="N193" s="240"/>
      <c r="AD193" s="206"/>
    </row>
    <row r="194" spans="3:33" ht="15" x14ac:dyDescent="0.2">
      <c r="C194" s="296"/>
      <c r="D194" s="253">
        <f t="shared" si="78"/>
        <v>4</v>
      </c>
      <c r="E194" s="138" t="str">
        <f t="shared" si="73"/>
        <v>Progressive Democratic Party</v>
      </c>
      <c r="F194" s="512">
        <f t="shared" si="74"/>
        <v>155.99999999999997</v>
      </c>
      <c r="G194" s="714">
        <f t="shared" si="75"/>
        <v>77</v>
      </c>
      <c r="H194" s="715"/>
      <c r="I194" s="743">
        <f t="shared" ref="I194:I202" si="79">IF(G194=0,0,F194/G194)</f>
        <v>2.0259740259740258</v>
      </c>
      <c r="J194" s="743"/>
      <c r="K194" s="513">
        <f t="shared" si="76"/>
        <v>0.19384787311775575</v>
      </c>
      <c r="L194" s="514">
        <f t="shared" si="77"/>
        <v>0.19556714471968709</v>
      </c>
      <c r="M194" s="232"/>
      <c r="N194" s="240"/>
      <c r="AD194" s="206"/>
    </row>
    <row r="195" spans="3:33" ht="15" customHeight="1" x14ac:dyDescent="0.2">
      <c r="C195" s="296"/>
      <c r="D195" s="253">
        <f t="shared" si="78"/>
        <v>5</v>
      </c>
      <c r="E195" s="138" t="str">
        <f t="shared" si="73"/>
        <v>Green Party</v>
      </c>
      <c r="F195" s="512">
        <f t="shared" si="74"/>
        <v>77.999999999999986</v>
      </c>
      <c r="G195" s="714">
        <f t="shared" si="75"/>
        <v>16</v>
      </c>
      <c r="H195" s="715"/>
      <c r="I195" s="743">
        <f t="shared" si="79"/>
        <v>4.8749999999999991</v>
      </c>
      <c r="J195" s="743"/>
      <c r="K195" s="513">
        <f t="shared" si="76"/>
        <v>9.6923936558877877E-2</v>
      </c>
      <c r="L195" s="514">
        <f t="shared" si="77"/>
        <v>9.7783572359843543E-2</v>
      </c>
      <c r="M195" s="232"/>
      <c r="N195" s="240"/>
      <c r="AD195" s="206"/>
    </row>
    <row r="196" spans="3:33" ht="16.5" customHeight="1" x14ac:dyDescent="0.2">
      <c r="C196" s="296"/>
      <c r="D196" s="253">
        <f t="shared" si="78"/>
        <v>6</v>
      </c>
      <c r="E196" s="138" t="str">
        <f t="shared" si="73"/>
        <v>Libertarian Party</v>
      </c>
      <c r="F196" s="512">
        <f t="shared" si="74"/>
        <v>104</v>
      </c>
      <c r="G196" s="714">
        <f t="shared" si="75"/>
        <v>19</v>
      </c>
      <c r="H196" s="715"/>
      <c r="I196" s="743">
        <f t="shared" si="79"/>
        <v>5.4736842105263159</v>
      </c>
      <c r="J196" s="743"/>
      <c r="K196" s="513">
        <f t="shared" si="76"/>
        <v>0.12923191541183718</v>
      </c>
      <c r="L196" s="514">
        <f t="shared" si="77"/>
        <v>0.1303780964797914</v>
      </c>
      <c r="M196" s="232"/>
      <c r="N196" s="240"/>
      <c r="AD196" s="206"/>
    </row>
    <row r="197" spans="3:33" ht="16.5" customHeight="1" x14ac:dyDescent="0.2">
      <c r="C197" s="296"/>
      <c r="D197" s="253">
        <f t="shared" si="78"/>
        <v>7</v>
      </c>
      <c r="E197" s="138" t="str">
        <f t="shared" si="73"/>
        <v>New West Party</v>
      </c>
      <c r="F197" s="512">
        <f t="shared" si="74"/>
        <v>2.0799999999999996</v>
      </c>
      <c r="G197" s="714">
        <f t="shared" si="75"/>
        <v>1</v>
      </c>
      <c r="H197" s="715"/>
      <c r="I197" s="743">
        <f t="shared" si="79"/>
        <v>2.0799999999999996</v>
      </c>
      <c r="J197" s="743"/>
      <c r="K197" s="513">
        <f t="shared" si="76"/>
        <v>2.5846383082367432E-3</v>
      </c>
      <c r="L197" s="514">
        <f t="shared" si="77"/>
        <v>2.6075619295958278E-3</v>
      </c>
      <c r="M197" s="232"/>
      <c r="N197" s="240"/>
      <c r="AD197" s="206"/>
    </row>
    <row r="198" spans="3:33" ht="16.5" customHeight="1" x14ac:dyDescent="0.2">
      <c r="C198" s="296"/>
      <c r="D198" s="253">
        <f t="shared" si="78"/>
        <v>8</v>
      </c>
      <c r="E198" s="138" t="str">
        <f t="shared" si="73"/>
        <v>First Americans Party</v>
      </c>
      <c r="F198" s="512">
        <f t="shared" si="74"/>
        <v>15.6</v>
      </c>
      <c r="G198" s="714">
        <f t="shared" si="75"/>
        <v>3</v>
      </c>
      <c r="H198" s="715"/>
      <c r="I198" s="743">
        <f t="shared" si="79"/>
        <v>5.2</v>
      </c>
      <c r="J198" s="743"/>
      <c r="K198" s="513">
        <f t="shared" si="76"/>
        <v>1.9384787311775578E-2</v>
      </c>
      <c r="L198" s="514">
        <f t="shared" si="77"/>
        <v>1.955671447196871E-2</v>
      </c>
      <c r="M198" s="232"/>
      <c r="N198" s="240"/>
      <c r="AD198" s="206"/>
    </row>
    <row r="199" spans="3:33" ht="16.5" customHeight="1" x14ac:dyDescent="0.2">
      <c r="C199" s="296"/>
      <c r="D199" s="253">
        <f t="shared" si="78"/>
        <v>9</v>
      </c>
      <c r="E199" s="138" t="str">
        <f t="shared" si="73"/>
        <v>New Morality Party</v>
      </c>
      <c r="F199" s="512">
        <f t="shared" si="74"/>
        <v>0</v>
      </c>
      <c r="G199" s="714">
        <f t="shared" si="75"/>
        <v>0</v>
      </c>
      <c r="H199" s="715"/>
      <c r="I199" s="743">
        <f t="shared" si="79"/>
        <v>0</v>
      </c>
      <c r="J199" s="743"/>
      <c r="K199" s="513">
        <f t="shared" si="76"/>
        <v>0</v>
      </c>
      <c r="L199" s="514">
        <f t="shared" si="77"/>
        <v>0</v>
      </c>
      <c r="M199" s="232"/>
      <c r="N199" s="240"/>
      <c r="AD199" s="206"/>
    </row>
    <row r="200" spans="3:33" ht="16.5" customHeight="1" x14ac:dyDescent="0.2">
      <c r="C200" s="296"/>
      <c r="D200" s="253">
        <f t="shared" si="78"/>
        <v>10</v>
      </c>
      <c r="E200" s="138" t="str">
        <f t="shared" si="73"/>
        <v>Other New Party</v>
      </c>
      <c r="F200" s="512">
        <f t="shared" si="74"/>
        <v>0</v>
      </c>
      <c r="G200" s="714">
        <f t="shared" si="75"/>
        <v>0</v>
      </c>
      <c r="H200" s="715"/>
      <c r="I200" s="743">
        <f t="shared" si="79"/>
        <v>0</v>
      </c>
      <c r="J200" s="743"/>
      <c r="K200" s="513">
        <f t="shared" si="76"/>
        <v>0</v>
      </c>
      <c r="L200" s="514">
        <f t="shared" si="77"/>
        <v>0</v>
      </c>
      <c r="M200" s="232"/>
      <c r="N200" s="240"/>
      <c r="AD200" s="206"/>
    </row>
    <row r="201" spans="3:33" ht="16.5" customHeight="1" x14ac:dyDescent="0.2">
      <c r="C201" s="296"/>
      <c r="D201" s="253">
        <f t="shared" si="78"/>
        <v>11</v>
      </c>
      <c r="E201" s="138">
        <f t="shared" si="73"/>
        <v>0</v>
      </c>
      <c r="F201" s="512">
        <f t="shared" si="74"/>
        <v>0</v>
      </c>
      <c r="G201" s="714">
        <f t="shared" si="75"/>
        <v>0</v>
      </c>
      <c r="H201" s="715"/>
      <c r="I201" s="743">
        <f t="shared" si="79"/>
        <v>0</v>
      </c>
      <c r="J201" s="743"/>
      <c r="K201" s="513">
        <f t="shared" si="76"/>
        <v>0</v>
      </c>
      <c r="L201" s="514">
        <f t="shared" si="77"/>
        <v>0</v>
      </c>
      <c r="M201" s="232"/>
      <c r="N201" s="240"/>
      <c r="AD201" s="206"/>
    </row>
    <row r="202" spans="3:33" ht="16.5" customHeight="1" thickBot="1" x14ac:dyDescent="0.25">
      <c r="C202" s="296"/>
      <c r="D202" s="253">
        <v>12</v>
      </c>
      <c r="E202" s="140" t="s">
        <v>25</v>
      </c>
      <c r="F202" s="512">
        <f t="shared" si="74"/>
        <v>0</v>
      </c>
      <c r="G202" s="714">
        <f t="shared" si="75"/>
        <v>0</v>
      </c>
      <c r="H202" s="715"/>
      <c r="I202" s="743">
        <f t="shared" si="79"/>
        <v>0</v>
      </c>
      <c r="J202" s="743"/>
      <c r="K202" s="513">
        <f t="shared" si="76"/>
        <v>0</v>
      </c>
      <c r="L202" s="514">
        <f t="shared" si="77"/>
        <v>0</v>
      </c>
      <c r="M202" s="232"/>
      <c r="N202" s="240"/>
      <c r="AD202" s="206"/>
    </row>
    <row r="203" spans="3:33" ht="18" customHeight="1" thickTop="1" thickBot="1" x14ac:dyDescent="0.25">
      <c r="C203" s="296"/>
      <c r="D203" s="232"/>
      <c r="E203" s="26" t="s">
        <v>22</v>
      </c>
      <c r="F203" s="80">
        <f>SUM(F191:F202)</f>
        <v>797.68000000000006</v>
      </c>
      <c r="G203" s="843">
        <f>SUM(G191:G202)</f>
        <v>451</v>
      </c>
      <c r="H203" s="844"/>
      <c r="I203" s="841">
        <f>F203/G203</f>
        <v>1.7686917960088693</v>
      </c>
      <c r="J203" s="842"/>
      <c r="K203" s="496">
        <f>SUM(K191:K202)</f>
        <v>0.99120879120879124</v>
      </c>
      <c r="L203" s="497">
        <f>SUM(L191:L202)</f>
        <v>1</v>
      </c>
      <c r="M203" s="232"/>
      <c r="N203" s="240"/>
      <c r="AD203" s="206"/>
    </row>
    <row r="204" spans="3:33" ht="18" customHeight="1" thickTop="1" x14ac:dyDescent="0.2">
      <c r="C204" s="296"/>
      <c r="D204" s="232"/>
      <c r="E204" s="166" t="s">
        <v>138</v>
      </c>
      <c r="F204" s="515"/>
      <c r="G204" s="839"/>
      <c r="H204" s="840"/>
      <c r="I204" s="516"/>
      <c r="J204" s="691" t="s">
        <v>284</v>
      </c>
      <c r="K204" s="517"/>
      <c r="L204" s="518"/>
      <c r="M204" s="232"/>
      <c r="N204" s="240"/>
      <c r="AD204" s="206"/>
    </row>
    <row r="205" spans="3:33" ht="18" customHeight="1" x14ac:dyDescent="0.2">
      <c r="C205" s="296"/>
      <c r="D205" s="232"/>
      <c r="E205" s="519" t="str">
        <f>E58</f>
        <v>Independents elected</v>
      </c>
      <c r="F205" s="520">
        <f>I203*G58</f>
        <v>7.0747671840354771</v>
      </c>
      <c r="G205" s="774">
        <f>G58</f>
        <v>4</v>
      </c>
      <c r="H205" s="775"/>
      <c r="I205" s="744">
        <f>IF(G205&gt;0,I$203,0)</f>
        <v>1.7686917960088693</v>
      </c>
      <c r="J205" s="745"/>
      <c r="K205" s="513">
        <f>IF(G205=0,0,F205/F$207)</f>
        <v>8.7912087912087912E-3</v>
      </c>
      <c r="L205" s="514">
        <f>IF(F205=0,0,J58)</f>
        <v>3.8619979402677654E-3</v>
      </c>
      <c r="M205" s="232"/>
      <c r="N205" s="240"/>
      <c r="AD205" s="206"/>
    </row>
    <row r="206" spans="3:33" ht="18" customHeight="1" thickBot="1" x14ac:dyDescent="0.25">
      <c r="C206" s="296"/>
      <c r="D206" s="232"/>
      <c r="E206" s="521" t="str">
        <f>E59</f>
        <v>Votes cast for non-winners</v>
      </c>
      <c r="F206" s="520">
        <f t="shared" ref="F206" si="80">IF(G206&gt;0,I206/G206,0)</f>
        <v>0</v>
      </c>
      <c r="G206" s="837">
        <f>G59</f>
        <v>0</v>
      </c>
      <c r="H206" s="838"/>
      <c r="I206" s="744">
        <f t="shared" ref="I206" si="81">IF(G206&gt;0,I$203,0)</f>
        <v>0</v>
      </c>
      <c r="J206" s="745"/>
      <c r="K206" s="513">
        <f>IF(G206=0,0,F206/F$207)</f>
        <v>0</v>
      </c>
      <c r="L206" s="514">
        <f>IF(F206=0,0,J59)</f>
        <v>0</v>
      </c>
      <c r="M206" s="232"/>
      <c r="N206" s="240"/>
    </row>
    <row r="207" spans="3:33" ht="21" customHeight="1" thickTop="1" thickBot="1" x14ac:dyDescent="0.3">
      <c r="C207" s="296"/>
      <c r="D207" s="232"/>
      <c r="E207" s="475" t="s">
        <v>12</v>
      </c>
      <c r="F207" s="476">
        <f>SUM(F191:F206)-F203</f>
        <v>804.75476718403547</v>
      </c>
      <c r="G207" s="772">
        <f>SUM(G191:H206)-G203</f>
        <v>455</v>
      </c>
      <c r="H207" s="773"/>
      <c r="I207" s="752">
        <f>F207/G207</f>
        <v>1.7686917960088693</v>
      </c>
      <c r="J207" s="753"/>
      <c r="K207" s="480">
        <f>SUM(K191:K202)+K205</f>
        <v>1</v>
      </c>
      <c r="L207" s="498">
        <f>SUM(L203:L206)</f>
        <v>1.0038619979402679</v>
      </c>
      <c r="M207" s="232"/>
      <c r="N207" s="240"/>
      <c r="AG207" s="125"/>
    </row>
    <row r="208" spans="3:33" ht="18" customHeight="1" thickTop="1" x14ac:dyDescent="0.2">
      <c r="C208" s="296"/>
      <c r="D208" s="735" t="s">
        <v>285</v>
      </c>
      <c r="E208" s="735"/>
      <c r="F208" s="735"/>
      <c r="G208" s="735"/>
      <c r="H208" s="735"/>
      <c r="I208" s="735"/>
      <c r="J208" s="735"/>
      <c r="K208" s="735"/>
      <c r="L208" s="735"/>
      <c r="M208" s="232"/>
      <c r="N208" s="240"/>
      <c r="AG208" s="125"/>
    </row>
    <row r="209" spans="3:33" ht="18" customHeight="1" x14ac:dyDescent="0.2">
      <c r="C209" s="296"/>
      <c r="D209" s="735"/>
      <c r="E209" s="735"/>
      <c r="F209" s="735"/>
      <c r="G209" s="735"/>
      <c r="H209" s="735"/>
      <c r="I209" s="735"/>
      <c r="J209" s="735"/>
      <c r="K209" s="735"/>
      <c r="L209" s="735"/>
      <c r="M209" s="232"/>
      <c r="N209" s="240"/>
      <c r="AD209" s="125"/>
      <c r="AE209" s="125"/>
      <c r="AF209" s="125"/>
      <c r="AG209" s="125"/>
    </row>
    <row r="210" spans="3:33" ht="18" customHeight="1" thickBot="1" x14ac:dyDescent="0.3">
      <c r="C210" s="308"/>
      <c r="D210" s="736"/>
      <c r="E210" s="736"/>
      <c r="F210" s="736"/>
      <c r="G210" s="736"/>
      <c r="H210" s="736"/>
      <c r="I210" s="736"/>
      <c r="J210" s="736"/>
      <c r="K210" s="736"/>
      <c r="L210" s="736"/>
      <c r="M210" s="282"/>
      <c r="N210" s="300"/>
      <c r="Q210" s="127" t="s">
        <v>74</v>
      </c>
      <c r="AG210" s="126"/>
    </row>
    <row r="211" spans="3:33" ht="18" customHeight="1" thickTop="1" x14ac:dyDescent="0.2">
      <c r="C211" s="5"/>
      <c r="D211" s="4"/>
      <c r="E211" s="81">
        <f>F207/2+0.1</f>
        <v>402.47738359201776</v>
      </c>
      <c r="F211" s="62" t="s">
        <v>286</v>
      </c>
      <c r="L211" s="17"/>
      <c r="M211" s="17"/>
      <c r="N211" s="17"/>
      <c r="O211" s="17"/>
      <c r="P211" s="17"/>
      <c r="Q211" s="704" t="s">
        <v>289</v>
      </c>
      <c r="R211" s="705"/>
      <c r="S211" s="705"/>
      <c r="T211" s="705"/>
      <c r="U211" s="705"/>
      <c r="V211" s="525"/>
    </row>
    <row r="212" spans="3:33" ht="18" customHeight="1" x14ac:dyDescent="0.2">
      <c r="C212" s="5"/>
      <c r="D212" s="4"/>
      <c r="E212" s="42">
        <f>(J165)/G207</f>
        <v>4.3956043956043959E-2</v>
      </c>
      <c r="F212" s="422" t="s">
        <v>287</v>
      </c>
      <c r="L212" s="17"/>
      <c r="M212" s="17"/>
      <c r="N212" s="17"/>
      <c r="O212" s="17"/>
      <c r="P212" s="17"/>
      <c r="Q212" s="705"/>
      <c r="R212" s="705"/>
      <c r="S212" s="705"/>
      <c r="T212" s="705"/>
      <c r="U212" s="705"/>
      <c r="V212" s="525"/>
    </row>
    <row r="213" spans="3:33" ht="18" customHeight="1" x14ac:dyDescent="0.2">
      <c r="C213" s="5"/>
      <c r="D213" s="4"/>
      <c r="L213" s="17"/>
      <c r="M213" s="17"/>
      <c r="N213" s="17"/>
      <c r="O213" s="17"/>
      <c r="P213" s="17"/>
      <c r="Q213" s="705"/>
      <c r="R213" s="705"/>
      <c r="S213" s="705"/>
      <c r="T213" s="705"/>
      <c r="U213" s="705"/>
      <c r="V213" s="525"/>
    </row>
    <row r="214" spans="3:33" ht="15" x14ac:dyDescent="0.2">
      <c r="C214" s="309"/>
      <c r="D214" s="310"/>
      <c r="E214" s="310"/>
      <c r="F214" s="310"/>
      <c r="G214" s="311"/>
      <c r="H214" s="311"/>
      <c r="I214" s="311"/>
      <c r="J214" s="311"/>
      <c r="K214" s="310"/>
      <c r="L214" s="312"/>
      <c r="Q214" s="705"/>
      <c r="R214" s="705"/>
      <c r="S214" s="705"/>
      <c r="T214" s="705"/>
      <c r="U214" s="705"/>
      <c r="V214" s="525"/>
    </row>
    <row r="215" spans="3:33" ht="18" x14ac:dyDescent="0.25">
      <c r="C215" s="313"/>
      <c r="D215" s="869" t="s">
        <v>139</v>
      </c>
      <c r="E215" s="865"/>
      <c r="F215" s="865"/>
      <c r="G215" s="315"/>
      <c r="H215" s="315"/>
      <c r="I215" s="315"/>
      <c r="J215" s="315"/>
      <c r="K215" s="269"/>
      <c r="L215" s="316"/>
      <c r="Q215" s="705"/>
      <c r="R215" s="705"/>
      <c r="S215" s="705"/>
      <c r="T215" s="705"/>
      <c r="U215" s="705"/>
      <c r="V215" s="525"/>
    </row>
    <row r="216" spans="3:33" ht="15" x14ac:dyDescent="0.2">
      <c r="C216" s="317"/>
      <c r="D216" s="764" t="s">
        <v>288</v>
      </c>
      <c r="E216" s="765"/>
      <c r="F216" s="765"/>
      <c r="G216" s="765"/>
      <c r="H216" s="765"/>
      <c r="I216" s="765"/>
      <c r="J216" s="765"/>
      <c r="K216" s="765"/>
      <c r="L216" s="318"/>
      <c r="Q216" s="705"/>
      <c r="R216" s="705"/>
      <c r="S216" s="705"/>
      <c r="T216" s="705"/>
      <c r="U216" s="705"/>
      <c r="V216" s="525"/>
      <c r="Y216" s="215"/>
    </row>
    <row r="217" spans="3:33" ht="15" customHeight="1" x14ac:dyDescent="0.2">
      <c r="C217" s="317"/>
      <c r="D217" s="764"/>
      <c r="E217" s="765"/>
      <c r="F217" s="765"/>
      <c r="G217" s="765"/>
      <c r="H217" s="765"/>
      <c r="I217" s="765"/>
      <c r="J217" s="765"/>
      <c r="K217" s="765"/>
      <c r="L217" s="318"/>
      <c r="Q217" s="705"/>
      <c r="R217" s="705"/>
      <c r="S217" s="705"/>
      <c r="T217" s="705"/>
      <c r="U217" s="705"/>
      <c r="V217" s="525"/>
    </row>
    <row r="218" spans="3:33" ht="15" customHeight="1" x14ac:dyDescent="0.2">
      <c r="C218" s="317"/>
      <c r="D218" s="765"/>
      <c r="E218" s="765"/>
      <c r="F218" s="765"/>
      <c r="G218" s="765"/>
      <c r="H218" s="765"/>
      <c r="I218" s="765"/>
      <c r="J218" s="765"/>
      <c r="K218" s="765"/>
      <c r="L218" s="318"/>
      <c r="Q218" s="705"/>
      <c r="R218" s="705"/>
      <c r="S218" s="705"/>
      <c r="T218" s="705"/>
      <c r="U218" s="705"/>
    </row>
    <row r="219" spans="3:33" ht="23.25" customHeight="1" x14ac:dyDescent="0.2">
      <c r="C219" s="317"/>
      <c r="D219" s="765"/>
      <c r="E219" s="765"/>
      <c r="F219" s="765"/>
      <c r="G219" s="765"/>
      <c r="H219" s="765"/>
      <c r="I219" s="765"/>
      <c r="J219" s="765"/>
      <c r="K219" s="765"/>
      <c r="L219" s="318"/>
      <c r="S219" s="770" t="s">
        <v>113</v>
      </c>
      <c r="T219" s="771"/>
    </row>
    <row r="220" spans="3:33" ht="12.75" customHeight="1" x14ac:dyDescent="0.2">
      <c r="C220" s="319"/>
      <c r="D220" s="765"/>
      <c r="E220" s="765"/>
      <c r="F220" s="765"/>
      <c r="G220" s="765"/>
      <c r="H220" s="765"/>
      <c r="I220" s="765"/>
      <c r="J220" s="765"/>
      <c r="K220" s="765"/>
      <c r="L220" s="318"/>
      <c r="R220" s="776" t="s">
        <v>178</v>
      </c>
      <c r="S220" s="776" t="s">
        <v>179</v>
      </c>
      <c r="T220" s="780" t="s">
        <v>55</v>
      </c>
    </row>
    <row r="221" spans="3:33" ht="12.75" customHeight="1" x14ac:dyDescent="0.2">
      <c r="C221" s="319"/>
      <c r="D221" s="765"/>
      <c r="E221" s="765"/>
      <c r="F221" s="765"/>
      <c r="G221" s="765"/>
      <c r="H221" s="765"/>
      <c r="I221" s="765"/>
      <c r="J221" s="765"/>
      <c r="K221" s="765"/>
      <c r="L221" s="318"/>
      <c r="R221" s="777"/>
      <c r="S221" s="777"/>
      <c r="T221" s="781"/>
      <c r="AC221" s="526" t="s">
        <v>59</v>
      </c>
      <c r="AD221" s="523"/>
    </row>
    <row r="222" spans="3:33" ht="12.75" customHeight="1" x14ac:dyDescent="0.2">
      <c r="C222" s="319"/>
      <c r="D222" s="765"/>
      <c r="E222" s="765"/>
      <c r="F222" s="765"/>
      <c r="G222" s="765"/>
      <c r="H222" s="765"/>
      <c r="I222" s="765"/>
      <c r="J222" s="765"/>
      <c r="K222" s="765"/>
      <c r="L222" s="318"/>
      <c r="R222" s="779"/>
      <c r="S222" s="778"/>
      <c r="T222" s="779"/>
      <c r="AC222" s="207"/>
      <c r="AD222" s="98"/>
    </row>
    <row r="223" spans="3:33" ht="18" customHeight="1" x14ac:dyDescent="0.2">
      <c r="C223" s="319"/>
      <c r="D223" s="765"/>
      <c r="E223" s="765"/>
      <c r="F223" s="765"/>
      <c r="G223" s="765"/>
      <c r="H223" s="765"/>
      <c r="I223" s="765"/>
      <c r="J223" s="765"/>
      <c r="K223" s="765"/>
      <c r="L223" s="318"/>
      <c r="Q223">
        <v>1</v>
      </c>
      <c r="R223" s="408" t="s">
        <v>147</v>
      </c>
      <c r="S223" s="374">
        <v>2</v>
      </c>
      <c r="T223" s="99" t="str">
        <f t="shared" ref="T223:T250" si="82">IF(AD223&gt;0,AD223,"")</f>
        <v/>
      </c>
      <c r="AB223" s="530" t="str">
        <f t="shared" ref="AB223:AB250" si="83">IF(R223="","X","Y")</f>
        <v>Y</v>
      </c>
      <c r="AC223" s="207">
        <f t="shared" ref="AC223:AC250" si="84">IF(AB223="Y",IF(S223&gt;0,S223,0))</f>
        <v>2</v>
      </c>
      <c r="AD223" s="98">
        <f t="shared" ref="AD223:AD250" si="85">IF(AC223&gt;0,0,$AG$252)</f>
        <v>0</v>
      </c>
      <c r="AE223">
        <f t="shared" ref="AE223:AE250" si="86">IF(S223&gt;0,1,0)</f>
        <v>1</v>
      </c>
      <c r="AF223">
        <f t="shared" ref="AF223:AF250" si="87">IF(R223="",0,1)</f>
        <v>1</v>
      </c>
      <c r="AG223">
        <f>AE223-AF223</f>
        <v>0</v>
      </c>
    </row>
    <row r="224" spans="3:33" ht="13.5" customHeight="1" thickBot="1" x14ac:dyDescent="0.25">
      <c r="C224" s="319"/>
      <c r="D224" s="320"/>
      <c r="E224" s="320"/>
      <c r="F224" s="320"/>
      <c r="G224" s="320"/>
      <c r="H224" s="320"/>
      <c r="I224" s="320"/>
      <c r="J224" s="320"/>
      <c r="K224" s="320"/>
      <c r="L224" s="318"/>
      <c r="Q224">
        <f t="shared" ref="Q224:Q250" si="88">1+Q223</f>
        <v>2</v>
      </c>
      <c r="R224" s="408" t="s">
        <v>243</v>
      </c>
      <c r="S224" s="374"/>
      <c r="T224" s="99">
        <f t="shared" si="82"/>
        <v>1</v>
      </c>
      <c r="AB224" s="530" t="str">
        <f t="shared" si="83"/>
        <v>Y</v>
      </c>
      <c r="AC224" s="207">
        <f t="shared" si="84"/>
        <v>0</v>
      </c>
      <c r="AD224" s="98">
        <f t="shared" si="85"/>
        <v>1</v>
      </c>
      <c r="AE224">
        <f t="shared" si="86"/>
        <v>0</v>
      </c>
      <c r="AF224">
        <f t="shared" si="87"/>
        <v>1</v>
      </c>
      <c r="AG224">
        <f t="shared" ref="AG224:AG250" si="89">AE224-AF224</f>
        <v>-1</v>
      </c>
    </row>
    <row r="225" spans="3:33" ht="12.75" customHeight="1" thickTop="1" x14ac:dyDescent="0.2">
      <c r="C225" s="321"/>
      <c r="D225" s="232"/>
      <c r="E225" s="232"/>
      <c r="F225" s="809" t="str">
        <f>F188</f>
        <v>House Vote Entitlement</v>
      </c>
      <c r="G225" s="737" t="s">
        <v>98</v>
      </c>
      <c r="H225" s="738"/>
      <c r="I225" s="739"/>
      <c r="J225" s="812" t="s">
        <v>93</v>
      </c>
      <c r="K225" s="320"/>
      <c r="L225" s="328"/>
      <c r="Q225">
        <f t="shared" si="88"/>
        <v>3</v>
      </c>
      <c r="R225" s="408" t="s">
        <v>46</v>
      </c>
      <c r="S225" s="374"/>
      <c r="T225" s="99">
        <f t="shared" si="82"/>
        <v>1</v>
      </c>
      <c r="AB225" s="530" t="str">
        <f t="shared" si="83"/>
        <v>Y</v>
      </c>
      <c r="AC225" s="207">
        <f t="shared" si="84"/>
        <v>0</v>
      </c>
      <c r="AD225" s="98">
        <f t="shared" si="85"/>
        <v>1</v>
      </c>
      <c r="AE225">
        <f t="shared" si="86"/>
        <v>0</v>
      </c>
      <c r="AF225">
        <f t="shared" si="87"/>
        <v>1</v>
      </c>
      <c r="AG225">
        <f t="shared" si="89"/>
        <v>-1</v>
      </c>
    </row>
    <row r="226" spans="3:33" ht="17.25" customHeight="1" x14ac:dyDescent="0.2">
      <c r="C226" s="321"/>
      <c r="D226" s="232"/>
      <c r="E226" s="232"/>
      <c r="F226" s="810"/>
      <c r="G226" s="740"/>
      <c r="H226" s="741"/>
      <c r="I226" s="742"/>
      <c r="J226" s="813"/>
      <c r="K226" s="320"/>
      <c r="L226" s="328"/>
      <c r="Q226">
        <f t="shared" si="88"/>
        <v>4</v>
      </c>
      <c r="R226" s="408" t="s">
        <v>47</v>
      </c>
      <c r="S226" s="374"/>
      <c r="T226" s="99">
        <f t="shared" si="82"/>
        <v>1</v>
      </c>
      <c r="AB226" s="530" t="str">
        <f t="shared" si="83"/>
        <v>Y</v>
      </c>
      <c r="AC226" s="207">
        <f t="shared" si="84"/>
        <v>0</v>
      </c>
      <c r="AD226" s="98">
        <f t="shared" si="85"/>
        <v>1</v>
      </c>
      <c r="AE226">
        <f t="shared" si="86"/>
        <v>0</v>
      </c>
      <c r="AF226">
        <f t="shared" si="87"/>
        <v>1</v>
      </c>
      <c r="AG226">
        <f t="shared" si="89"/>
        <v>-1</v>
      </c>
    </row>
    <row r="227" spans="3:33" ht="15.75" customHeight="1" thickBot="1" x14ac:dyDescent="0.25">
      <c r="C227" s="313"/>
      <c r="D227" s="269"/>
      <c r="E227" s="269"/>
      <c r="F227" s="811"/>
      <c r="G227" s="815" t="s">
        <v>72</v>
      </c>
      <c r="H227" s="816"/>
      <c r="I227" s="817"/>
      <c r="J227" s="814"/>
      <c r="K227" s="320"/>
      <c r="L227" s="316"/>
      <c r="Q227">
        <f t="shared" si="88"/>
        <v>5</v>
      </c>
      <c r="R227" s="408" t="s">
        <v>48</v>
      </c>
      <c r="S227" s="374">
        <v>3</v>
      </c>
      <c r="T227" s="99" t="str">
        <f t="shared" si="82"/>
        <v/>
      </c>
      <c r="AB227" s="530" t="str">
        <f t="shared" si="83"/>
        <v>Y</v>
      </c>
      <c r="AC227" s="207">
        <f t="shared" si="84"/>
        <v>3</v>
      </c>
      <c r="AD227" s="98">
        <f t="shared" si="85"/>
        <v>0</v>
      </c>
      <c r="AE227">
        <f t="shared" si="86"/>
        <v>1</v>
      </c>
      <c r="AF227">
        <f t="shared" si="87"/>
        <v>1</v>
      </c>
      <c r="AG227">
        <f t="shared" si="89"/>
        <v>0</v>
      </c>
    </row>
    <row r="228" spans="3:33" ht="19.5" customHeight="1" thickTop="1" x14ac:dyDescent="0.2">
      <c r="C228" s="313"/>
      <c r="D228" s="322">
        <v>1</v>
      </c>
      <c r="E228" s="166" t="str">
        <f t="shared" ref="E228:E239" si="90">E44</f>
        <v>Lincoln Republicans</v>
      </c>
      <c r="F228" s="167">
        <f t="shared" ref="F228:F239" si="91">J124</f>
        <v>130</v>
      </c>
      <c r="G228" s="168"/>
      <c r="H228" s="375">
        <v>5</v>
      </c>
      <c r="I228" s="169"/>
      <c r="J228" s="170">
        <f t="shared" ref="J228:J232" si="92">IF(F228="Excluded"," ",IF(H228=0," ",F228/H228))</f>
        <v>26</v>
      </c>
      <c r="K228" s="320"/>
      <c r="L228" s="328"/>
      <c r="Q228">
        <f t="shared" si="88"/>
        <v>6</v>
      </c>
      <c r="R228" s="408" t="s">
        <v>49</v>
      </c>
      <c r="S228" s="374"/>
      <c r="T228" s="99">
        <f t="shared" si="82"/>
        <v>1</v>
      </c>
      <c r="AB228" s="530" t="str">
        <f t="shared" si="83"/>
        <v>Y</v>
      </c>
      <c r="AC228" s="207">
        <f t="shared" si="84"/>
        <v>0</v>
      </c>
      <c r="AD228" s="98">
        <f t="shared" si="85"/>
        <v>1</v>
      </c>
      <c r="AE228">
        <f t="shared" si="86"/>
        <v>0</v>
      </c>
      <c r="AF228">
        <f t="shared" si="87"/>
        <v>1</v>
      </c>
      <c r="AG228">
        <f t="shared" si="89"/>
        <v>-1</v>
      </c>
    </row>
    <row r="229" spans="3:33" ht="15" customHeight="1" x14ac:dyDescent="0.2">
      <c r="C229" s="313"/>
      <c r="D229" s="322">
        <v>2</v>
      </c>
      <c r="E229" s="171" t="str">
        <f t="shared" si="90"/>
        <v>Democratic Party</v>
      </c>
      <c r="F229" s="172">
        <f t="shared" si="91"/>
        <v>181.99999999999997</v>
      </c>
      <c r="G229" s="173"/>
      <c r="H229" s="376">
        <v>5</v>
      </c>
      <c r="I229" s="174"/>
      <c r="J229" s="175">
        <f t="shared" si="92"/>
        <v>36.399999999999991</v>
      </c>
      <c r="K229" s="320"/>
      <c r="L229" s="328"/>
      <c r="Q229">
        <f t="shared" si="88"/>
        <v>7</v>
      </c>
      <c r="R229" s="408" t="s">
        <v>87</v>
      </c>
      <c r="S229" s="374"/>
      <c r="T229" s="99">
        <f t="shared" si="82"/>
        <v>1</v>
      </c>
      <c r="AB229" s="530" t="str">
        <f t="shared" si="83"/>
        <v>Y</v>
      </c>
      <c r="AC229" s="207">
        <f t="shared" si="84"/>
        <v>0</v>
      </c>
      <c r="AD229" s="98">
        <f t="shared" si="85"/>
        <v>1</v>
      </c>
      <c r="AE229">
        <f t="shared" si="86"/>
        <v>0</v>
      </c>
      <c r="AF229">
        <f t="shared" si="87"/>
        <v>1</v>
      </c>
      <c r="AG229">
        <f t="shared" si="89"/>
        <v>-1</v>
      </c>
    </row>
    <row r="230" spans="3:33" ht="15" customHeight="1" x14ac:dyDescent="0.2">
      <c r="C230" s="313"/>
      <c r="D230" s="322">
        <v>3</v>
      </c>
      <c r="E230" s="171" t="str">
        <f t="shared" si="90"/>
        <v>MAGA Party</v>
      </c>
      <c r="F230" s="172">
        <f t="shared" si="91"/>
        <v>130</v>
      </c>
      <c r="G230" s="173"/>
      <c r="H230" s="376">
        <v>2</v>
      </c>
      <c r="I230" s="174"/>
      <c r="J230" s="175">
        <f t="shared" si="92"/>
        <v>65</v>
      </c>
      <c r="K230" s="320"/>
      <c r="L230" s="328"/>
      <c r="Q230">
        <f t="shared" si="88"/>
        <v>8</v>
      </c>
      <c r="R230" s="408" t="s">
        <v>50</v>
      </c>
      <c r="S230" s="374"/>
      <c r="T230" s="99">
        <f t="shared" si="82"/>
        <v>1</v>
      </c>
      <c r="AB230" s="530" t="str">
        <f t="shared" si="83"/>
        <v>Y</v>
      </c>
      <c r="AC230" s="207">
        <f t="shared" si="84"/>
        <v>0</v>
      </c>
      <c r="AD230" s="98">
        <f t="shared" si="85"/>
        <v>1</v>
      </c>
      <c r="AE230">
        <f t="shared" si="86"/>
        <v>0</v>
      </c>
      <c r="AF230">
        <f t="shared" si="87"/>
        <v>1</v>
      </c>
      <c r="AG230">
        <f t="shared" si="89"/>
        <v>-1</v>
      </c>
    </row>
    <row r="231" spans="3:33" ht="15" customHeight="1" x14ac:dyDescent="0.2">
      <c r="C231" s="313"/>
      <c r="D231" s="322">
        <v>4</v>
      </c>
      <c r="E231" s="171" t="str">
        <f t="shared" si="90"/>
        <v>Progressive Democratic Party</v>
      </c>
      <c r="F231" s="172">
        <f t="shared" si="91"/>
        <v>155.99999999999997</v>
      </c>
      <c r="G231" s="173"/>
      <c r="H231" s="376">
        <v>2</v>
      </c>
      <c r="I231" s="174"/>
      <c r="J231" s="175">
        <f t="shared" si="92"/>
        <v>77.999999999999986</v>
      </c>
      <c r="K231" s="320"/>
      <c r="L231" s="328"/>
      <c r="Q231">
        <f t="shared" si="88"/>
        <v>9</v>
      </c>
      <c r="R231" s="408" t="s">
        <v>51</v>
      </c>
      <c r="S231" s="374"/>
      <c r="T231" s="99">
        <f t="shared" si="82"/>
        <v>1</v>
      </c>
      <c r="AB231" s="530" t="str">
        <f t="shared" si="83"/>
        <v>Y</v>
      </c>
      <c r="AC231" s="207">
        <f t="shared" si="84"/>
        <v>0</v>
      </c>
      <c r="AD231" s="98">
        <f t="shared" si="85"/>
        <v>1</v>
      </c>
      <c r="AE231">
        <f t="shared" si="86"/>
        <v>0</v>
      </c>
      <c r="AF231">
        <f t="shared" si="87"/>
        <v>1</v>
      </c>
      <c r="AG231">
        <f t="shared" si="89"/>
        <v>-1</v>
      </c>
    </row>
    <row r="232" spans="3:33" ht="15" customHeight="1" x14ac:dyDescent="0.2">
      <c r="C232" s="313"/>
      <c r="D232" s="322">
        <v>5</v>
      </c>
      <c r="E232" s="171" t="str">
        <f t="shared" si="90"/>
        <v>Green Party</v>
      </c>
      <c r="F232" s="172">
        <f t="shared" si="91"/>
        <v>77.999999999999986</v>
      </c>
      <c r="G232" s="173"/>
      <c r="H232" s="376">
        <v>1</v>
      </c>
      <c r="I232" s="174"/>
      <c r="J232" s="175">
        <f t="shared" si="92"/>
        <v>77.999999999999986</v>
      </c>
      <c r="K232" s="320"/>
      <c r="L232" s="328"/>
      <c r="Q232">
        <f t="shared" si="88"/>
        <v>10</v>
      </c>
      <c r="R232" s="408" t="s">
        <v>52</v>
      </c>
      <c r="S232" s="374">
        <v>3</v>
      </c>
      <c r="T232" s="99" t="str">
        <f t="shared" si="82"/>
        <v/>
      </c>
      <c r="AB232" s="530" t="str">
        <f t="shared" si="83"/>
        <v>Y</v>
      </c>
      <c r="AC232" s="207">
        <f t="shared" si="84"/>
        <v>3</v>
      </c>
      <c r="AD232" s="98">
        <f t="shared" si="85"/>
        <v>0</v>
      </c>
      <c r="AE232">
        <f t="shared" si="86"/>
        <v>1</v>
      </c>
      <c r="AF232">
        <f t="shared" si="87"/>
        <v>1</v>
      </c>
      <c r="AG232">
        <f t="shared" si="89"/>
        <v>0</v>
      </c>
    </row>
    <row r="233" spans="3:33" ht="15" customHeight="1" x14ac:dyDescent="0.2">
      <c r="C233" s="313"/>
      <c r="D233" s="322">
        <v>6</v>
      </c>
      <c r="E233" s="171" t="str">
        <f t="shared" si="90"/>
        <v>Libertarian Party</v>
      </c>
      <c r="F233" s="172">
        <f t="shared" si="91"/>
        <v>104</v>
      </c>
      <c r="G233" s="173"/>
      <c r="H233" s="376">
        <v>2</v>
      </c>
      <c r="I233" s="174"/>
      <c r="J233" s="175">
        <f>IF(F233="Excluded"," ",IF(H233=0," ",F233/H233))</f>
        <v>52</v>
      </c>
      <c r="K233" s="320"/>
      <c r="L233" s="328"/>
      <c r="Q233">
        <f t="shared" si="88"/>
        <v>11</v>
      </c>
      <c r="R233" s="408" t="s">
        <v>86</v>
      </c>
      <c r="S233" s="374"/>
      <c r="T233" s="99">
        <f t="shared" si="82"/>
        <v>1</v>
      </c>
      <c r="AB233" s="530" t="str">
        <f t="shared" si="83"/>
        <v>Y</v>
      </c>
      <c r="AC233" s="207">
        <f t="shared" si="84"/>
        <v>0</v>
      </c>
      <c r="AD233" s="98">
        <f t="shared" si="85"/>
        <v>1</v>
      </c>
      <c r="AE233">
        <f t="shared" si="86"/>
        <v>0</v>
      </c>
      <c r="AF233">
        <f t="shared" si="87"/>
        <v>1</v>
      </c>
      <c r="AG233">
        <f t="shared" si="89"/>
        <v>-1</v>
      </c>
    </row>
    <row r="234" spans="3:33" ht="15" customHeight="1" x14ac:dyDescent="0.2">
      <c r="C234" s="313"/>
      <c r="D234" s="322">
        <v>7</v>
      </c>
      <c r="E234" s="171" t="str">
        <f t="shared" si="90"/>
        <v>New West Party</v>
      </c>
      <c r="F234" s="172">
        <f t="shared" si="91"/>
        <v>2.0799999999999996</v>
      </c>
      <c r="G234" s="173"/>
      <c r="H234" s="376">
        <v>1</v>
      </c>
      <c r="I234" s="174"/>
      <c r="J234" s="175">
        <f t="shared" ref="J234:J240" si="93">IF(F234="Excluded"," ",IF(H234=0," ",F234/H234))</f>
        <v>2.0799999999999996</v>
      </c>
      <c r="K234" s="320"/>
      <c r="L234" s="328"/>
      <c r="Q234">
        <f t="shared" si="88"/>
        <v>12</v>
      </c>
      <c r="R234" s="408" t="s">
        <v>53</v>
      </c>
      <c r="S234" s="374"/>
      <c r="T234" s="99">
        <f t="shared" si="82"/>
        <v>1</v>
      </c>
      <c r="AB234" s="530" t="str">
        <f t="shared" si="83"/>
        <v>Y</v>
      </c>
      <c r="AC234" s="207">
        <f t="shared" si="84"/>
        <v>0</v>
      </c>
      <c r="AD234" s="98">
        <f t="shared" si="85"/>
        <v>1</v>
      </c>
      <c r="AE234">
        <f t="shared" si="86"/>
        <v>0</v>
      </c>
      <c r="AF234">
        <f t="shared" si="87"/>
        <v>1</v>
      </c>
      <c r="AG234">
        <f t="shared" si="89"/>
        <v>-1</v>
      </c>
    </row>
    <row r="235" spans="3:33" ht="15" customHeight="1" x14ac:dyDescent="0.2">
      <c r="C235" s="313"/>
      <c r="D235" s="322">
        <v>8</v>
      </c>
      <c r="E235" s="171" t="str">
        <f t="shared" si="90"/>
        <v>First Americans Party</v>
      </c>
      <c r="F235" s="172">
        <f t="shared" si="91"/>
        <v>15.6</v>
      </c>
      <c r="G235" s="173"/>
      <c r="H235" s="376"/>
      <c r="I235" s="174"/>
      <c r="J235" s="175" t="str">
        <f t="shared" si="93"/>
        <v xml:space="preserve"> </v>
      </c>
      <c r="K235" s="320"/>
      <c r="L235" s="328"/>
      <c r="Q235">
        <f t="shared" si="88"/>
        <v>13</v>
      </c>
      <c r="R235" s="408" t="s">
        <v>54</v>
      </c>
      <c r="S235" s="374"/>
      <c r="T235" s="99">
        <f t="shared" si="82"/>
        <v>1</v>
      </c>
      <c r="AB235" s="530" t="str">
        <f t="shared" si="83"/>
        <v>Y</v>
      </c>
      <c r="AC235" s="207">
        <f t="shared" si="84"/>
        <v>0</v>
      </c>
      <c r="AD235" s="98">
        <f t="shared" si="85"/>
        <v>1</v>
      </c>
      <c r="AE235">
        <f t="shared" si="86"/>
        <v>0</v>
      </c>
      <c r="AF235">
        <f t="shared" si="87"/>
        <v>1</v>
      </c>
      <c r="AG235">
        <f t="shared" si="89"/>
        <v>-1</v>
      </c>
    </row>
    <row r="236" spans="3:33" ht="15" customHeight="1" x14ac:dyDescent="0.2">
      <c r="C236" s="313"/>
      <c r="D236" s="322">
        <v>9</v>
      </c>
      <c r="E236" s="171" t="str">
        <f t="shared" si="90"/>
        <v>New Morality Party</v>
      </c>
      <c r="F236" s="172" t="str">
        <f t="shared" si="91"/>
        <v>Excluded</v>
      </c>
      <c r="G236" s="173"/>
      <c r="H236" s="376">
        <v>0</v>
      </c>
      <c r="I236" s="174"/>
      <c r="J236" s="175" t="str">
        <f t="shared" si="93"/>
        <v xml:space="preserve"> </v>
      </c>
      <c r="K236" s="320"/>
      <c r="L236" s="328"/>
      <c r="Q236">
        <f t="shared" si="88"/>
        <v>14</v>
      </c>
      <c r="R236" s="408" t="s">
        <v>161</v>
      </c>
      <c r="S236" s="374">
        <v>2.5</v>
      </c>
      <c r="T236" s="99" t="str">
        <f t="shared" si="82"/>
        <v/>
      </c>
      <c r="AB236" s="530" t="str">
        <f t="shared" si="83"/>
        <v>Y</v>
      </c>
      <c r="AC236" s="207">
        <f t="shared" si="84"/>
        <v>2.5</v>
      </c>
      <c r="AD236" s="98">
        <f t="shared" si="85"/>
        <v>0</v>
      </c>
      <c r="AE236">
        <f t="shared" si="86"/>
        <v>1</v>
      </c>
      <c r="AF236">
        <f t="shared" si="87"/>
        <v>1</v>
      </c>
      <c r="AG236">
        <f t="shared" si="89"/>
        <v>0</v>
      </c>
    </row>
    <row r="237" spans="3:33" ht="15" customHeight="1" x14ac:dyDescent="0.2">
      <c r="C237" s="313"/>
      <c r="D237" s="322">
        <v>10</v>
      </c>
      <c r="E237" s="171" t="str">
        <f t="shared" si="90"/>
        <v>Other New Party</v>
      </c>
      <c r="F237" s="172" t="str">
        <f t="shared" si="91"/>
        <v>Excluded</v>
      </c>
      <c r="G237" s="173"/>
      <c r="H237" s="376">
        <v>5</v>
      </c>
      <c r="I237" s="174"/>
      <c r="J237" s="175" t="str">
        <f t="shared" si="93"/>
        <v xml:space="preserve"> </v>
      </c>
      <c r="K237" s="320"/>
      <c r="L237" s="328"/>
      <c r="Q237">
        <f t="shared" si="88"/>
        <v>15</v>
      </c>
      <c r="R237" s="408" t="s">
        <v>57</v>
      </c>
      <c r="S237" s="374">
        <v>3</v>
      </c>
      <c r="T237" s="99" t="str">
        <f t="shared" si="82"/>
        <v/>
      </c>
      <c r="AB237" s="530" t="str">
        <f t="shared" si="83"/>
        <v>Y</v>
      </c>
      <c r="AC237" s="207">
        <f t="shared" si="84"/>
        <v>3</v>
      </c>
      <c r="AD237" s="98">
        <f t="shared" si="85"/>
        <v>0</v>
      </c>
      <c r="AE237">
        <f t="shared" si="86"/>
        <v>1</v>
      </c>
      <c r="AF237">
        <f t="shared" si="87"/>
        <v>1</v>
      </c>
      <c r="AG237">
        <f t="shared" si="89"/>
        <v>0</v>
      </c>
    </row>
    <row r="238" spans="3:33" ht="15" customHeight="1" x14ac:dyDescent="0.2">
      <c r="C238" s="313"/>
      <c r="D238" s="322">
        <v>11</v>
      </c>
      <c r="E238" s="171">
        <f t="shared" si="90"/>
        <v>0</v>
      </c>
      <c r="F238" s="172" t="str">
        <f t="shared" si="91"/>
        <v>Excluded</v>
      </c>
      <c r="G238" s="173"/>
      <c r="H238" s="376"/>
      <c r="I238" s="174"/>
      <c r="J238" s="175" t="str">
        <f t="shared" si="93"/>
        <v xml:space="preserve"> </v>
      </c>
      <c r="K238" s="320"/>
      <c r="L238" s="328"/>
      <c r="Q238">
        <f t="shared" si="88"/>
        <v>16</v>
      </c>
      <c r="R238" s="408" t="s">
        <v>56</v>
      </c>
      <c r="S238" s="374"/>
      <c r="T238" s="99">
        <f t="shared" si="82"/>
        <v>1</v>
      </c>
      <c r="AB238" s="530" t="str">
        <f t="shared" si="83"/>
        <v>Y</v>
      </c>
      <c r="AC238" s="207">
        <f t="shared" si="84"/>
        <v>0</v>
      </c>
      <c r="AD238" s="98">
        <f t="shared" si="85"/>
        <v>1</v>
      </c>
      <c r="AE238">
        <f t="shared" si="86"/>
        <v>0</v>
      </c>
      <c r="AF238">
        <f t="shared" si="87"/>
        <v>1</v>
      </c>
      <c r="AG238">
        <f t="shared" si="89"/>
        <v>-1</v>
      </c>
    </row>
    <row r="239" spans="3:33" ht="14.25" x14ac:dyDescent="0.2">
      <c r="C239" s="313"/>
      <c r="D239" s="322">
        <v>12</v>
      </c>
      <c r="E239" s="171" t="str">
        <f t="shared" si="90"/>
        <v>Other (non-winning) parties*</v>
      </c>
      <c r="F239" s="172" t="str">
        <f t="shared" si="91"/>
        <v>Excluded</v>
      </c>
      <c r="G239" s="173"/>
      <c r="H239" s="376"/>
      <c r="I239" s="174"/>
      <c r="J239" s="175" t="str">
        <f t="shared" si="93"/>
        <v xml:space="preserve"> </v>
      </c>
      <c r="K239" s="320"/>
      <c r="L239" s="328"/>
      <c r="Q239">
        <f t="shared" si="88"/>
        <v>17</v>
      </c>
      <c r="R239" s="408" t="s">
        <v>290</v>
      </c>
      <c r="S239" s="374"/>
      <c r="T239" s="99">
        <f t="shared" si="82"/>
        <v>1</v>
      </c>
      <c r="U239" s="858" t="s">
        <v>181</v>
      </c>
      <c r="V239" s="859"/>
      <c r="AB239" s="530" t="str">
        <f t="shared" si="83"/>
        <v>Y</v>
      </c>
      <c r="AC239" s="207">
        <f t="shared" si="84"/>
        <v>0</v>
      </c>
      <c r="AD239" s="98">
        <f t="shared" si="85"/>
        <v>1</v>
      </c>
      <c r="AE239">
        <f t="shared" si="86"/>
        <v>0</v>
      </c>
      <c r="AF239">
        <f t="shared" si="87"/>
        <v>1</v>
      </c>
      <c r="AG239">
        <f t="shared" si="89"/>
        <v>-1</v>
      </c>
    </row>
    <row r="240" spans="3:33" ht="15" thickBot="1" x14ac:dyDescent="0.25">
      <c r="C240" s="313"/>
      <c r="D240" s="322"/>
      <c r="E240" s="171" t="s">
        <v>65</v>
      </c>
      <c r="F240" s="172">
        <f>F205</f>
        <v>7.0747671840354771</v>
      </c>
      <c r="G240" s="173"/>
      <c r="H240" s="376">
        <v>2</v>
      </c>
      <c r="I240" s="174"/>
      <c r="J240" s="176">
        <f t="shared" si="93"/>
        <v>3.5373835920177386</v>
      </c>
      <c r="K240" s="320"/>
      <c r="L240" s="328"/>
      <c r="Q240">
        <f t="shared" si="88"/>
        <v>18</v>
      </c>
      <c r="R240" s="408" t="s">
        <v>60</v>
      </c>
      <c r="S240" s="374"/>
      <c r="T240" s="99">
        <f t="shared" si="82"/>
        <v>1</v>
      </c>
      <c r="U240" s="858"/>
      <c r="V240" s="859"/>
      <c r="AB240" s="530" t="str">
        <f t="shared" si="83"/>
        <v>Y</v>
      </c>
      <c r="AC240" s="207">
        <f t="shared" si="84"/>
        <v>0</v>
      </c>
      <c r="AD240" s="98">
        <f t="shared" si="85"/>
        <v>1</v>
      </c>
      <c r="AE240">
        <f t="shared" si="86"/>
        <v>0</v>
      </c>
      <c r="AF240">
        <f t="shared" si="87"/>
        <v>1</v>
      </c>
      <c r="AG240">
        <f t="shared" si="89"/>
        <v>-1</v>
      </c>
    </row>
    <row r="241" spans="3:33" ht="17.25" customHeight="1" thickTop="1" thickBot="1" x14ac:dyDescent="0.25">
      <c r="C241" s="313"/>
      <c r="D241" s="322"/>
      <c r="E241" s="177" t="s">
        <v>40</v>
      </c>
      <c r="F241" s="178">
        <f>SUM(F228:F240)</f>
        <v>804.75476718403559</v>
      </c>
      <c r="G241" s="179"/>
      <c r="H241" s="180">
        <f>SUM(H228:H240)</f>
        <v>25</v>
      </c>
      <c r="I241" s="181"/>
      <c r="J241" s="327"/>
      <c r="K241" s="320"/>
      <c r="L241" s="328"/>
      <c r="Q241">
        <f t="shared" si="88"/>
        <v>19</v>
      </c>
      <c r="R241" s="408" t="s">
        <v>61</v>
      </c>
      <c r="S241" s="374">
        <v>3</v>
      </c>
      <c r="T241" s="99" t="str">
        <f t="shared" si="82"/>
        <v/>
      </c>
      <c r="U241" s="860"/>
      <c r="V241" s="861"/>
      <c r="AB241" s="530" t="str">
        <f t="shared" si="83"/>
        <v>Y</v>
      </c>
      <c r="AC241" s="207">
        <f t="shared" si="84"/>
        <v>3</v>
      </c>
      <c r="AD241" s="98">
        <f t="shared" si="85"/>
        <v>0</v>
      </c>
      <c r="AE241">
        <f t="shared" si="86"/>
        <v>1</v>
      </c>
      <c r="AF241">
        <f t="shared" si="87"/>
        <v>1</v>
      </c>
      <c r="AG241">
        <f t="shared" si="89"/>
        <v>0</v>
      </c>
    </row>
    <row r="242" spans="3:33" ht="13.5" thickTop="1" x14ac:dyDescent="0.2">
      <c r="C242" s="323"/>
      <c r="D242" s="324"/>
      <c r="E242" s="324"/>
      <c r="F242" s="324"/>
      <c r="G242" s="324"/>
      <c r="H242" s="324"/>
      <c r="I242" s="324"/>
      <c r="J242" s="324"/>
      <c r="K242" s="325"/>
      <c r="L242" s="326"/>
      <c r="Q242">
        <f t="shared" si="88"/>
        <v>20</v>
      </c>
      <c r="R242" s="408" t="s">
        <v>62</v>
      </c>
      <c r="S242" s="374">
        <v>1.5</v>
      </c>
      <c r="T242" s="99" t="str">
        <f t="shared" si="82"/>
        <v/>
      </c>
      <c r="AB242" s="530" t="str">
        <f t="shared" si="83"/>
        <v>Y</v>
      </c>
      <c r="AC242" s="207">
        <f t="shared" si="84"/>
        <v>1.5</v>
      </c>
      <c r="AD242" s="98">
        <f t="shared" si="85"/>
        <v>0</v>
      </c>
      <c r="AE242">
        <f t="shared" si="86"/>
        <v>1</v>
      </c>
      <c r="AF242">
        <f t="shared" si="87"/>
        <v>1</v>
      </c>
      <c r="AG242">
        <f t="shared" si="89"/>
        <v>0</v>
      </c>
    </row>
    <row r="243" spans="3:33" ht="12.75" customHeight="1" x14ac:dyDescent="0.2">
      <c r="Q243">
        <f t="shared" si="88"/>
        <v>21</v>
      </c>
      <c r="R243" s="532" t="s">
        <v>180</v>
      </c>
      <c r="S243" s="374"/>
      <c r="T243" s="99">
        <f t="shared" si="82"/>
        <v>1</v>
      </c>
      <c r="AB243" s="530" t="str">
        <f t="shared" si="83"/>
        <v>Y</v>
      </c>
      <c r="AC243" s="207">
        <f t="shared" si="84"/>
        <v>0</v>
      </c>
      <c r="AD243" s="98">
        <f t="shared" si="85"/>
        <v>1</v>
      </c>
      <c r="AE243">
        <f t="shared" si="86"/>
        <v>0</v>
      </c>
      <c r="AF243">
        <f t="shared" si="87"/>
        <v>1</v>
      </c>
      <c r="AG243">
        <f t="shared" si="89"/>
        <v>-1</v>
      </c>
    </row>
    <row r="244" spans="3:33" ht="12" customHeight="1" x14ac:dyDescent="0.2">
      <c r="C244" s="309"/>
      <c r="D244" s="310"/>
      <c r="E244" s="310"/>
      <c r="F244" s="310"/>
      <c r="G244" s="311"/>
      <c r="H244" s="311"/>
      <c r="I244" s="311"/>
      <c r="J244" s="311"/>
      <c r="K244" s="310"/>
      <c r="L244" s="312"/>
      <c r="Q244">
        <f t="shared" si="88"/>
        <v>22</v>
      </c>
      <c r="R244" s="532"/>
      <c r="S244" s="374"/>
      <c r="T244" s="99" t="str">
        <f t="shared" si="82"/>
        <v/>
      </c>
      <c r="AB244" s="530" t="str">
        <f t="shared" si="83"/>
        <v>X</v>
      </c>
      <c r="AC244" s="207" t="b">
        <f t="shared" si="84"/>
        <v>0</v>
      </c>
      <c r="AD244" s="98">
        <f t="shared" si="85"/>
        <v>0</v>
      </c>
      <c r="AE244">
        <f t="shared" si="86"/>
        <v>0</v>
      </c>
      <c r="AF244">
        <f t="shared" si="87"/>
        <v>0</v>
      </c>
      <c r="AG244">
        <f t="shared" si="89"/>
        <v>0</v>
      </c>
    </row>
    <row r="245" spans="3:33" ht="14.1" customHeight="1" x14ac:dyDescent="0.25">
      <c r="C245" s="329"/>
      <c r="D245" s="314" t="s">
        <v>75</v>
      </c>
      <c r="E245" s="269"/>
      <c r="F245" s="269"/>
      <c r="G245" s="315"/>
      <c r="H245" s="315"/>
      <c r="I245" s="315"/>
      <c r="J245" s="315"/>
      <c r="K245" s="269"/>
      <c r="L245" s="316"/>
      <c r="Q245">
        <f t="shared" si="88"/>
        <v>23</v>
      </c>
      <c r="R245" s="532"/>
      <c r="S245" s="374"/>
      <c r="T245" s="99" t="str">
        <f t="shared" si="82"/>
        <v/>
      </c>
      <c r="AB245" s="530" t="str">
        <f t="shared" si="83"/>
        <v>X</v>
      </c>
      <c r="AC245" s="207" t="b">
        <f t="shared" si="84"/>
        <v>0</v>
      </c>
      <c r="AD245" s="98">
        <f t="shared" si="85"/>
        <v>0</v>
      </c>
      <c r="AE245">
        <f t="shared" si="86"/>
        <v>0</v>
      </c>
      <c r="AF245">
        <f t="shared" si="87"/>
        <v>0</v>
      </c>
      <c r="AG245">
        <f t="shared" si="89"/>
        <v>0</v>
      </c>
    </row>
    <row r="246" spans="3:33" ht="14.1" customHeight="1" x14ac:dyDescent="0.2">
      <c r="C246" s="706" t="s">
        <v>269</v>
      </c>
      <c r="D246" s="707"/>
      <c r="E246" s="707"/>
      <c r="F246" s="707"/>
      <c r="G246" s="707"/>
      <c r="H246" s="707"/>
      <c r="I246" s="707"/>
      <c r="J246" s="707"/>
      <c r="K246" s="707"/>
      <c r="L246" s="708"/>
      <c r="Q246">
        <f t="shared" si="88"/>
        <v>24</v>
      </c>
      <c r="R246" s="374"/>
      <c r="S246" s="374"/>
      <c r="T246" s="99" t="str">
        <f t="shared" si="82"/>
        <v/>
      </c>
      <c r="AB246" s="530" t="str">
        <f t="shared" si="83"/>
        <v>X</v>
      </c>
      <c r="AC246" s="207" t="b">
        <f t="shared" si="84"/>
        <v>0</v>
      </c>
      <c r="AD246" s="98">
        <f t="shared" si="85"/>
        <v>0</v>
      </c>
      <c r="AE246">
        <f t="shared" si="86"/>
        <v>0</v>
      </c>
      <c r="AF246">
        <f t="shared" si="87"/>
        <v>0</v>
      </c>
      <c r="AG246">
        <f t="shared" si="89"/>
        <v>0</v>
      </c>
    </row>
    <row r="247" spans="3:33" ht="14.1" customHeight="1" x14ac:dyDescent="0.2">
      <c r="C247" s="709"/>
      <c r="D247" s="707"/>
      <c r="E247" s="707"/>
      <c r="F247" s="707"/>
      <c r="G247" s="707"/>
      <c r="H247" s="707"/>
      <c r="I247" s="707"/>
      <c r="J247" s="707"/>
      <c r="K247" s="707"/>
      <c r="L247" s="708"/>
      <c r="Q247">
        <f t="shared" si="88"/>
        <v>25</v>
      </c>
      <c r="R247" s="374"/>
      <c r="S247" s="374"/>
      <c r="T247" s="99" t="str">
        <f t="shared" si="82"/>
        <v/>
      </c>
      <c r="AB247" s="530" t="str">
        <f t="shared" si="83"/>
        <v>X</v>
      </c>
      <c r="AC247" s="207" t="b">
        <f t="shared" si="84"/>
        <v>0</v>
      </c>
      <c r="AD247" s="98">
        <f t="shared" si="85"/>
        <v>0</v>
      </c>
      <c r="AE247">
        <f t="shared" si="86"/>
        <v>0</v>
      </c>
      <c r="AF247">
        <f t="shared" si="87"/>
        <v>0</v>
      </c>
      <c r="AG247">
        <f t="shared" si="89"/>
        <v>0</v>
      </c>
    </row>
    <row r="248" spans="3:33" ht="14.1" customHeight="1" x14ac:dyDescent="0.2">
      <c r="C248" s="709"/>
      <c r="D248" s="707"/>
      <c r="E248" s="707"/>
      <c r="F248" s="707"/>
      <c r="G248" s="707"/>
      <c r="H248" s="707"/>
      <c r="I248" s="707"/>
      <c r="J248" s="707"/>
      <c r="K248" s="707"/>
      <c r="L248" s="708"/>
      <c r="Q248">
        <f t="shared" si="88"/>
        <v>26</v>
      </c>
      <c r="R248" s="374"/>
      <c r="S248" s="374"/>
      <c r="T248" s="99" t="str">
        <f t="shared" si="82"/>
        <v/>
      </c>
      <c r="AB248" s="530" t="str">
        <f t="shared" si="83"/>
        <v>X</v>
      </c>
      <c r="AC248" s="207" t="b">
        <f t="shared" si="84"/>
        <v>0</v>
      </c>
      <c r="AD248" s="98">
        <f t="shared" si="85"/>
        <v>0</v>
      </c>
      <c r="AE248">
        <f t="shared" si="86"/>
        <v>0</v>
      </c>
      <c r="AF248">
        <f t="shared" si="87"/>
        <v>0</v>
      </c>
      <c r="AG248">
        <f t="shared" si="89"/>
        <v>0</v>
      </c>
    </row>
    <row r="249" spans="3:33" ht="14.1" customHeight="1" x14ac:dyDescent="0.2">
      <c r="C249" s="709"/>
      <c r="D249" s="707"/>
      <c r="E249" s="707"/>
      <c r="F249" s="707"/>
      <c r="G249" s="707"/>
      <c r="H249" s="707"/>
      <c r="I249" s="707"/>
      <c r="J249" s="707"/>
      <c r="K249" s="707"/>
      <c r="L249" s="708"/>
      <c r="Q249">
        <f t="shared" si="88"/>
        <v>27</v>
      </c>
      <c r="R249" s="374"/>
      <c r="S249" s="374"/>
      <c r="T249" s="99" t="str">
        <f t="shared" si="82"/>
        <v/>
      </c>
      <c r="AB249" s="530" t="str">
        <f t="shared" si="83"/>
        <v>X</v>
      </c>
      <c r="AC249" s="207" t="b">
        <f t="shared" si="84"/>
        <v>0</v>
      </c>
      <c r="AD249" s="98">
        <f t="shared" si="85"/>
        <v>0</v>
      </c>
      <c r="AE249">
        <f t="shared" si="86"/>
        <v>0</v>
      </c>
      <c r="AF249">
        <f t="shared" si="87"/>
        <v>0</v>
      </c>
      <c r="AG249">
        <f t="shared" si="89"/>
        <v>0</v>
      </c>
    </row>
    <row r="250" spans="3:33" x14ac:dyDescent="0.2">
      <c r="C250" s="709"/>
      <c r="D250" s="707"/>
      <c r="E250" s="707"/>
      <c r="F250" s="707"/>
      <c r="G250" s="707"/>
      <c r="H250" s="707"/>
      <c r="I250" s="707"/>
      <c r="J250" s="707"/>
      <c r="K250" s="707"/>
      <c r="L250" s="708"/>
      <c r="Q250">
        <f t="shared" si="88"/>
        <v>28</v>
      </c>
      <c r="R250" s="529"/>
      <c r="S250" s="529"/>
      <c r="T250" s="99" t="str">
        <f t="shared" si="82"/>
        <v/>
      </c>
      <c r="AB250" s="530" t="str">
        <f t="shared" si="83"/>
        <v>X</v>
      </c>
      <c r="AC250" s="207" t="b">
        <f t="shared" si="84"/>
        <v>0</v>
      </c>
      <c r="AD250" s="98">
        <f t="shared" si="85"/>
        <v>0</v>
      </c>
      <c r="AE250">
        <f t="shared" si="86"/>
        <v>0</v>
      </c>
      <c r="AF250">
        <f t="shared" si="87"/>
        <v>0</v>
      </c>
      <c r="AG250">
        <f t="shared" si="89"/>
        <v>0</v>
      </c>
    </row>
    <row r="251" spans="3:33" x14ac:dyDescent="0.2">
      <c r="C251" s="709"/>
      <c r="D251" s="707"/>
      <c r="E251" s="707"/>
      <c r="F251" s="707"/>
      <c r="G251" s="707"/>
      <c r="H251" s="707"/>
      <c r="I251" s="707"/>
      <c r="J251" s="707"/>
      <c r="K251" s="707"/>
      <c r="L251" s="708"/>
      <c r="R251" s="524"/>
      <c r="S251" s="528">
        <f>SUM(S223:S250)</f>
        <v>18</v>
      </c>
      <c r="T251" s="97">
        <f>S252-S251</f>
        <v>14</v>
      </c>
      <c r="AB251" s="530"/>
      <c r="AC251" s="207"/>
      <c r="AD251" s="98">
        <f>SUM(AD223:AD250)</f>
        <v>14</v>
      </c>
      <c r="AE251">
        <f>SUM(AE223:AE250)</f>
        <v>7</v>
      </c>
      <c r="AF251">
        <f>SUM(AF223:AF250)</f>
        <v>21</v>
      </c>
      <c r="AG251">
        <f>SUM(AG223:AG250)</f>
        <v>-14</v>
      </c>
    </row>
    <row r="252" spans="3:33" ht="15.75" x14ac:dyDescent="0.2">
      <c r="C252" s="709"/>
      <c r="D252" s="707"/>
      <c r="E252" s="707"/>
      <c r="F252" s="707"/>
      <c r="G252" s="707"/>
      <c r="H252" s="707"/>
      <c r="I252" s="707"/>
      <c r="J252" s="707"/>
      <c r="K252" s="707"/>
      <c r="L252" s="708"/>
      <c r="R252" s="527" t="s">
        <v>58</v>
      </c>
      <c r="S252" s="717">
        <v>32</v>
      </c>
      <c r="T252" s="718"/>
      <c r="AC252" s="96"/>
      <c r="AG252" s="522">
        <f>T251/-AG251</f>
        <v>1</v>
      </c>
    </row>
    <row r="253" spans="3:33" x14ac:dyDescent="0.2">
      <c r="C253" s="709"/>
      <c r="D253" s="707"/>
      <c r="E253" s="707"/>
      <c r="F253" s="707"/>
      <c r="G253" s="707"/>
      <c r="H253" s="707"/>
      <c r="I253" s="707"/>
      <c r="J253" s="707"/>
      <c r="K253" s="707"/>
      <c r="L253" s="708"/>
      <c r="T253" s="531">
        <f>SUM(T223:T250)</f>
        <v>14</v>
      </c>
    </row>
    <row r="254" spans="3:33" x14ac:dyDescent="0.2">
      <c r="C254" s="709"/>
      <c r="D254" s="707"/>
      <c r="E254" s="707"/>
      <c r="F254" s="707"/>
      <c r="G254" s="707"/>
      <c r="H254" s="707"/>
      <c r="I254" s="707"/>
      <c r="J254" s="707"/>
      <c r="K254" s="707"/>
      <c r="L254" s="708"/>
    </row>
    <row r="255" spans="3:33" x14ac:dyDescent="0.2">
      <c r="C255" s="710"/>
      <c r="D255" s="711"/>
      <c r="E255" s="711"/>
      <c r="F255" s="711"/>
      <c r="G255" s="711"/>
      <c r="H255" s="711"/>
      <c r="I255" s="711"/>
      <c r="J255" s="711"/>
      <c r="K255" s="711"/>
      <c r="L255" s="712"/>
      <c r="S255" s="701" t="s">
        <v>114</v>
      </c>
      <c r="T255" s="701"/>
    </row>
    <row r="256" spans="3:33" x14ac:dyDescent="0.2">
      <c r="S256" s="701"/>
      <c r="T256" s="701"/>
    </row>
    <row r="257" spans="3:20" ht="21.75" customHeight="1" x14ac:dyDescent="0.2">
      <c r="C257"/>
      <c r="S257" s="702"/>
      <c r="T257" s="702"/>
    </row>
    <row r="258" spans="3:20" x14ac:dyDescent="0.2">
      <c r="C258"/>
      <c r="S258" s="703"/>
      <c r="T258" s="703"/>
    </row>
    <row r="259" spans="3:20" x14ac:dyDescent="0.2">
      <c r="C259"/>
    </row>
    <row r="260" spans="3:20" x14ac:dyDescent="0.2">
      <c r="C260"/>
    </row>
    <row r="261" spans="3:20" x14ac:dyDescent="0.2">
      <c r="C261"/>
    </row>
    <row r="262" spans="3:20" x14ac:dyDescent="0.2">
      <c r="C262"/>
    </row>
    <row r="263" spans="3:20" x14ac:dyDescent="0.2">
      <c r="C263"/>
    </row>
    <row r="264" spans="3:20" x14ac:dyDescent="0.2">
      <c r="C264"/>
    </row>
    <row r="265" spans="3:20" x14ac:dyDescent="0.2">
      <c r="C265"/>
    </row>
    <row r="266" spans="3:20" x14ac:dyDescent="0.2">
      <c r="C266"/>
    </row>
    <row r="267" spans="3:20" x14ac:dyDescent="0.2">
      <c r="C267"/>
    </row>
    <row r="268" spans="3:20" x14ac:dyDescent="0.2">
      <c r="C268"/>
    </row>
    <row r="269" spans="3:20" x14ac:dyDescent="0.2">
      <c r="C269"/>
    </row>
  </sheetData>
  <sheetProtection algorithmName="SHA-512" hashValue="NWUr6dbl80NGIXl2l5RpRN29Psfc0i2OCNDIgiCaVIdYk1AWPPTJ8jg4hsY7+9JQ6lI8RPOMg2dQ5JS0lJrUGw==" saltValue="jaJCzzL4An6gFNgfZpAdAg==" spinCount="100000" sheet="1" formatCells="0" formatColumns="0" formatRows="0" insertColumns="0" insertRows="0" insertHyperlinks="0"/>
  <protectedRanges>
    <protectedRange sqref="H32:H33" name="Range32"/>
    <protectedRange sqref="H29" name="Range30"/>
    <protectedRange sqref="E45" name="Range1_3"/>
    <protectedRange sqref="E45" name="Range3_3"/>
    <protectedRange sqref="F59" name="Range2_1_3_1"/>
    <protectedRange sqref="G59:I59" name="Range2_1_2_1"/>
    <protectedRange sqref="I44:I45 E44:H44 F45:H45 E46:I50 F51:I55 E51:E53" name="Range1_3_1"/>
    <protectedRange sqref="E44:I44 F45:I49 E46:E49 F51:I55 E50:I50 E51:E53" name="Range3_3_1"/>
    <protectedRange sqref="E40:G40" name="Range6"/>
    <protectedRange sqref="F58:I58" name="Range7_2_1_2"/>
    <protectedRange sqref="F58:I58" name="Range2_3_1_2"/>
    <protectedRange sqref="E54" name="Range3_1_1_2_1_2"/>
    <protectedRange sqref="E54" name="Range1_1_1_2_1_2"/>
    <protectedRange sqref="H29 F28" name="Range23"/>
    <protectedRange sqref="R223:S250" name="Range17"/>
    <protectedRange sqref="E58:E59" name="Range2_2_1"/>
    <protectedRange sqref="G61:H61 E61 E65:E67 F64:I67" name="Range3_1"/>
    <protectedRange sqref="G61:H61 E61 E65:E67 F64:I67" name="Range1_1"/>
    <protectedRange sqref="E77:E88" name="Range1"/>
    <protectedRange sqref="E92 E57:I57" name="Range2"/>
    <protectedRange sqref="E77:E88" name="Range3"/>
    <protectedRange sqref="J148" name="Range11"/>
    <protectedRange sqref="S252:T252" name="Range18"/>
    <protectedRange sqref="V192:V204 AG192:AG204" name="Range20"/>
    <protectedRange sqref="H27:H28" name="Range24"/>
    <protectedRange sqref="H228:H240" name="Range26"/>
    <protectedRange sqref="H228:H240" name="Range28"/>
    <protectedRange sqref="Q44:Q57" name="Range1_3_1_1"/>
    <protectedRange sqref="Q44:Q57" name="Range3_3_1_1"/>
    <protectedRange sqref="H32 F35:F37" name="Range29"/>
    <protectedRange sqref="H35:H36" name="Range31"/>
  </protectedRanges>
  <customSheetViews>
    <customSheetView guid="{828C1003-5BBC-4D2D-BF7A-3218457CB106}" scale="75" showPageBreaks="1" showGridLines="0" fitToPage="1" printArea="1" topLeftCell="F45">
      <selection activeCell="J191" sqref="J191"/>
      <rowBreaks count="1" manualBreakCount="1">
        <brk id="29" min="1" max="12" man="1"/>
      </rowBreaks>
      <pageMargins left="0.49" right="0.3" top="0.21" bottom="0.27" header="0" footer="0"/>
      <printOptions horizontalCentered="1" verticalCentered="1"/>
      <pageSetup scale="81" fitToHeight="2" orientation="portrait" horizontalDpi="300" verticalDpi="300" r:id="rId1"/>
      <headerFooter alignWithMargins="0"/>
    </customSheetView>
  </customSheetViews>
  <mergeCells count="164">
    <mergeCell ref="U239:V241"/>
    <mergeCell ref="C4:N4"/>
    <mergeCell ref="D6:M6"/>
    <mergeCell ref="D215:F215"/>
    <mergeCell ref="D7:M7"/>
    <mergeCell ref="D5:M5"/>
    <mergeCell ref="D9:L9"/>
    <mergeCell ref="G55:I55"/>
    <mergeCell ref="G59:I59"/>
    <mergeCell ref="G60:I60"/>
    <mergeCell ref="D10:M10"/>
    <mergeCell ref="E43:I43"/>
    <mergeCell ref="G46:I46"/>
    <mergeCell ref="G45:I45"/>
    <mergeCell ref="G42:I42"/>
    <mergeCell ref="D15:M15"/>
    <mergeCell ref="D13:M13"/>
    <mergeCell ref="D19:M20"/>
    <mergeCell ref="G44:I44"/>
    <mergeCell ref="G57:I57"/>
    <mergeCell ref="J42:J43"/>
    <mergeCell ref="K42:K43"/>
    <mergeCell ref="D68:L68"/>
    <mergeCell ref="G100:I100"/>
    <mergeCell ref="G105:I105"/>
    <mergeCell ref="G153:I153"/>
    <mergeCell ref="G108:I108"/>
    <mergeCell ref="G88:I88"/>
    <mergeCell ref="G85:I85"/>
    <mergeCell ref="G79:I79"/>
    <mergeCell ref="G80:I80"/>
    <mergeCell ref="G81:I81"/>
    <mergeCell ref="G82:I82"/>
    <mergeCell ref="G89:I89"/>
    <mergeCell ref="G202:H202"/>
    <mergeCell ref="G204:H204"/>
    <mergeCell ref="I203:J203"/>
    <mergeCell ref="G203:H203"/>
    <mergeCell ref="G201:H201"/>
    <mergeCell ref="G76:I76"/>
    <mergeCell ref="G78:I78"/>
    <mergeCell ref="P77:Q86"/>
    <mergeCell ref="D118:K118"/>
    <mergeCell ref="D122:K122"/>
    <mergeCell ref="D28:E28"/>
    <mergeCell ref="D22:M22"/>
    <mergeCell ref="R42:T42"/>
    <mergeCell ref="U42:U43"/>
    <mergeCell ref="V42:V43"/>
    <mergeCell ref="AL126:AL128"/>
    <mergeCell ref="G56:I56"/>
    <mergeCell ref="G77:I77"/>
    <mergeCell ref="G107:I107"/>
    <mergeCell ref="AK126:AK128"/>
    <mergeCell ref="AD126:AD128"/>
    <mergeCell ref="AE126:AE128"/>
    <mergeCell ref="AF126:AF128"/>
    <mergeCell ref="AG126:AG128"/>
    <mergeCell ref="AH126:AH128"/>
    <mergeCell ref="AI126:AI128"/>
    <mergeCell ref="G113:I113"/>
    <mergeCell ref="G103:I103"/>
    <mergeCell ref="AC75:AC76"/>
    <mergeCell ref="G86:I86"/>
    <mergeCell ref="G87:I87"/>
    <mergeCell ref="D30:I31"/>
    <mergeCell ref="G50:I50"/>
    <mergeCell ref="C39:D41"/>
    <mergeCell ref="AC126:AC128"/>
    <mergeCell ref="D216:K223"/>
    <mergeCell ref="G156:I156"/>
    <mergeCell ref="G111:I111"/>
    <mergeCell ref="G101:I101"/>
    <mergeCell ref="AA126:AA128"/>
    <mergeCell ref="AB126:AB128"/>
    <mergeCell ref="G193:H193"/>
    <mergeCell ref="G191:H191"/>
    <mergeCell ref="I193:J193"/>
    <mergeCell ref="S219:T219"/>
    <mergeCell ref="G207:H207"/>
    <mergeCell ref="I196:J196"/>
    <mergeCell ref="G196:H196"/>
    <mergeCell ref="I202:J202"/>
    <mergeCell ref="G198:H198"/>
    <mergeCell ref="I198:J198"/>
    <mergeCell ref="G197:H197"/>
    <mergeCell ref="G205:H205"/>
    <mergeCell ref="I205:J205"/>
    <mergeCell ref="S220:S222"/>
    <mergeCell ref="R220:R222"/>
    <mergeCell ref="T220:T222"/>
    <mergeCell ref="G155:I155"/>
    <mergeCell ref="D14:L14"/>
    <mergeCell ref="G49:I49"/>
    <mergeCell ref="W42:W43"/>
    <mergeCell ref="G47:I47"/>
    <mergeCell ref="I207:J207"/>
    <mergeCell ref="I192:J192"/>
    <mergeCell ref="I200:J200"/>
    <mergeCell ref="G152:I152"/>
    <mergeCell ref="G158:I158"/>
    <mergeCell ref="G159:I159"/>
    <mergeCell ref="G154:I154"/>
    <mergeCell ref="G52:I52"/>
    <mergeCell ref="G110:I110"/>
    <mergeCell ref="I199:J199"/>
    <mergeCell ref="G104:I104"/>
    <mergeCell ref="G51:I51"/>
    <mergeCell ref="E40:H40"/>
    <mergeCell ref="L165:M165"/>
    <mergeCell ref="G102:I102"/>
    <mergeCell ref="I194:J194"/>
    <mergeCell ref="I191:J191"/>
    <mergeCell ref="G192:H192"/>
    <mergeCell ref="G195:H195"/>
    <mergeCell ref="I195:J195"/>
    <mergeCell ref="G48:I48"/>
    <mergeCell ref="G53:I53"/>
    <mergeCell ref="K188:L188"/>
    <mergeCell ref="L189:L190"/>
    <mergeCell ref="K187:L187"/>
    <mergeCell ref="D96:L96"/>
    <mergeCell ref="D168:L174"/>
    <mergeCell ref="D145:L146"/>
    <mergeCell ref="G162:I162"/>
    <mergeCell ref="G157:I157"/>
    <mergeCell ref="D182:M183"/>
    <mergeCell ref="G54:I54"/>
    <mergeCell ref="G58:I58"/>
    <mergeCell ref="G163:I163"/>
    <mergeCell ref="G106:I106"/>
    <mergeCell ref="G160:I160"/>
    <mergeCell ref="G161:I161"/>
    <mergeCell ref="D137:K137"/>
    <mergeCell ref="D175:L177"/>
    <mergeCell ref="E140:K141"/>
    <mergeCell ref="F188:F190"/>
    <mergeCell ref="G188:H190"/>
    <mergeCell ref="I188:J190"/>
    <mergeCell ref="K189:K190"/>
    <mergeCell ref="G164:I164"/>
    <mergeCell ref="G83:I83"/>
    <mergeCell ref="G109:I109"/>
    <mergeCell ref="G84:I84"/>
    <mergeCell ref="S255:T258"/>
    <mergeCell ref="Q211:U218"/>
    <mergeCell ref="C246:L255"/>
    <mergeCell ref="Q65:R67"/>
    <mergeCell ref="G194:H194"/>
    <mergeCell ref="D184:M185"/>
    <mergeCell ref="S252:T252"/>
    <mergeCell ref="D208:L210"/>
    <mergeCell ref="G200:H200"/>
    <mergeCell ref="G225:I226"/>
    <mergeCell ref="I201:J201"/>
    <mergeCell ref="I206:J206"/>
    <mergeCell ref="F225:F227"/>
    <mergeCell ref="J225:J227"/>
    <mergeCell ref="G227:I227"/>
    <mergeCell ref="I197:J197"/>
    <mergeCell ref="G165:I165"/>
    <mergeCell ref="G112:I112"/>
    <mergeCell ref="G206:H206"/>
    <mergeCell ref="G199:H199"/>
  </mergeCells>
  <phoneticPr fontId="2" type="noConversion"/>
  <printOptions horizontalCentered="1" verticalCentered="1"/>
  <pageMargins left="0.49" right="0.3" top="0.21" bottom="0.27" header="0" footer="0"/>
  <pageSetup fitToHeight="2" orientation="landscape" horizontalDpi="300" verticalDpi="300" r:id="rId2"/>
  <headerFooter alignWithMargins="0"/>
  <ignoredErrors>
    <ignoredError sqref="T56" formula="1"/>
  </ignoredError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N152"/>
  <sheetViews>
    <sheetView showGridLines="0" topLeftCell="A69" zoomScale="130" zoomScaleNormal="130" workbookViewId="0">
      <selection activeCell="E79" sqref="E79"/>
    </sheetView>
  </sheetViews>
  <sheetFormatPr defaultRowHeight="12.75" x14ac:dyDescent="0.2"/>
  <cols>
    <col min="1" max="1" width="14.28515625" customWidth="1"/>
    <col min="2" max="2" width="3.28515625" customWidth="1"/>
    <col min="3" max="3" width="4.28515625" customWidth="1"/>
    <col min="4" max="4" width="33.7109375" customWidth="1"/>
    <col min="5" max="5" width="16.140625" customWidth="1"/>
    <col min="6" max="6" width="10.85546875" customWidth="1"/>
    <col min="7" max="7" width="11.5703125" customWidth="1"/>
    <col min="8" max="8" width="10.42578125" customWidth="1"/>
    <col min="9" max="9" width="8.140625" customWidth="1"/>
    <col min="10" max="10" width="10.28515625" customWidth="1"/>
    <col min="11" max="11" width="9.7109375" customWidth="1"/>
    <col min="12" max="12" width="11" customWidth="1"/>
    <col min="13" max="13" width="14.85546875" customWidth="1"/>
    <col min="14" max="14" width="9.5703125" customWidth="1"/>
    <col min="15" max="15" width="8.7109375" customWidth="1"/>
    <col min="16" max="16" width="11.5703125" customWidth="1"/>
  </cols>
  <sheetData>
    <row r="3" spans="1:14" ht="30.75" customHeight="1" x14ac:dyDescent="0.2">
      <c r="A3" t="s">
        <v>1</v>
      </c>
      <c r="B3" s="899" t="s">
        <v>171</v>
      </c>
      <c r="C3" s="900"/>
      <c r="D3" s="900"/>
      <c r="E3" s="900"/>
      <c r="F3" s="900"/>
      <c r="G3" s="900"/>
      <c r="H3" s="900"/>
      <c r="I3" s="900"/>
      <c r="J3" s="900"/>
      <c r="K3" s="900"/>
      <c r="L3" s="865"/>
      <c r="M3" s="865"/>
    </row>
    <row r="4" spans="1:14" ht="30.75" customHeight="1" x14ac:dyDescent="0.3">
      <c r="D4" s="907" t="s">
        <v>64</v>
      </c>
      <c r="E4" s="907"/>
      <c r="F4" s="907"/>
      <c r="G4" s="907"/>
      <c r="H4" s="907"/>
      <c r="I4" s="907"/>
      <c r="J4" s="907"/>
      <c r="K4" s="907"/>
      <c r="L4" s="907"/>
      <c r="M4" s="907"/>
      <c r="N4" s="203"/>
    </row>
    <row r="5" spans="1:14" ht="27" customHeight="1" thickBot="1" x14ac:dyDescent="0.25">
      <c r="D5" s="677" t="s">
        <v>92</v>
      </c>
      <c r="K5" s="904" t="s">
        <v>160</v>
      </c>
      <c r="L5" s="905"/>
      <c r="M5" s="906"/>
    </row>
    <row r="6" spans="1:14" ht="12.75" customHeight="1" x14ac:dyDescent="0.2">
      <c r="B6" s="334"/>
      <c r="C6" s="233"/>
      <c r="D6" s="233"/>
      <c r="E6" s="233"/>
      <c r="F6" s="233"/>
      <c r="G6" s="233"/>
      <c r="H6" s="233"/>
      <c r="I6" s="233"/>
      <c r="J6" s="233"/>
      <c r="K6" s="233"/>
      <c r="L6" s="233"/>
      <c r="M6" s="234"/>
      <c r="N6" s="673"/>
    </row>
    <row r="7" spans="1:14" ht="30" customHeight="1" x14ac:dyDescent="0.55000000000000004">
      <c r="B7" s="335"/>
      <c r="C7" s="331"/>
      <c r="D7" s="672" t="s">
        <v>168</v>
      </c>
      <c r="E7" s="333"/>
      <c r="F7" s="332"/>
      <c r="G7" s="332"/>
      <c r="H7" s="332"/>
      <c r="I7" s="332"/>
      <c r="J7" s="332"/>
      <c r="K7" s="332"/>
      <c r="L7" s="232"/>
      <c r="M7" s="336"/>
      <c r="N7" s="673"/>
    </row>
    <row r="8" spans="1:14" x14ac:dyDescent="0.2">
      <c r="B8" s="335"/>
      <c r="C8" s="232"/>
      <c r="D8" s="232"/>
      <c r="E8" s="232"/>
      <c r="F8" s="232"/>
      <c r="G8" s="232"/>
      <c r="H8" s="232"/>
      <c r="I8" s="232"/>
      <c r="J8" s="232"/>
      <c r="K8" s="232"/>
      <c r="L8" s="232"/>
      <c r="M8" s="336"/>
      <c r="N8" s="673"/>
    </row>
    <row r="9" spans="1:14" ht="36" customHeight="1" x14ac:dyDescent="0.25">
      <c r="B9" s="335"/>
      <c r="C9" s="232"/>
      <c r="D9" s="932" t="s">
        <v>174</v>
      </c>
      <c r="E9" s="933"/>
      <c r="F9" s="933"/>
      <c r="G9" s="933"/>
      <c r="H9" s="933"/>
      <c r="I9" s="933"/>
      <c r="J9" s="933"/>
      <c r="K9" s="933"/>
      <c r="L9" s="933"/>
      <c r="M9" s="336"/>
      <c r="N9" s="673"/>
    </row>
    <row r="10" spans="1:14" ht="51" customHeight="1" x14ac:dyDescent="0.2">
      <c r="B10" s="335"/>
      <c r="C10" s="232"/>
      <c r="D10" s="784" t="s">
        <v>254</v>
      </c>
      <c r="E10" s="933"/>
      <c r="F10" s="933"/>
      <c r="G10" s="933"/>
      <c r="H10" s="933"/>
      <c r="I10" s="933"/>
      <c r="J10" s="933"/>
      <c r="K10" s="933"/>
      <c r="L10" s="933"/>
      <c r="M10" s="336"/>
      <c r="N10" s="673"/>
    </row>
    <row r="11" spans="1:14" ht="49.5" customHeight="1" x14ac:dyDescent="0.2">
      <c r="B11" s="335"/>
      <c r="C11" s="232"/>
      <c r="D11" s="784" t="s">
        <v>255</v>
      </c>
      <c r="E11" s="933"/>
      <c r="F11" s="933"/>
      <c r="G11" s="933"/>
      <c r="H11" s="933"/>
      <c r="I11" s="933"/>
      <c r="J11" s="933"/>
      <c r="K11" s="933"/>
      <c r="L11" s="933"/>
      <c r="M11" s="336"/>
      <c r="N11" s="673"/>
    </row>
    <row r="12" spans="1:14" ht="51" customHeight="1" x14ac:dyDescent="0.2">
      <c r="B12" s="335"/>
      <c r="C12" s="232"/>
      <c r="D12" s="735" t="s">
        <v>256</v>
      </c>
      <c r="E12" s="934"/>
      <c r="F12" s="934"/>
      <c r="G12" s="934"/>
      <c r="H12" s="934"/>
      <c r="I12" s="934"/>
      <c r="J12" s="934"/>
      <c r="K12" s="934"/>
      <c r="L12" s="934"/>
      <c r="M12" s="336"/>
      <c r="N12" s="673"/>
    </row>
    <row r="13" spans="1:14" ht="13.5" thickBot="1" x14ac:dyDescent="0.25">
      <c r="B13" s="337"/>
      <c r="C13" s="338"/>
      <c r="D13" s="338"/>
      <c r="E13" s="338"/>
      <c r="F13" s="338"/>
      <c r="G13" s="338"/>
      <c r="H13" s="338"/>
      <c r="I13" s="338"/>
      <c r="J13" s="338"/>
      <c r="K13" s="338"/>
      <c r="L13" s="338"/>
      <c r="M13" s="339"/>
      <c r="N13" s="673"/>
    </row>
    <row r="14" spans="1:14" ht="13.5" thickBot="1" x14ac:dyDescent="0.25">
      <c r="B14" s="60"/>
      <c r="C14" s="341"/>
      <c r="D14" s="341"/>
      <c r="E14" s="341"/>
      <c r="F14" s="341"/>
      <c r="G14" s="341"/>
      <c r="H14" s="341"/>
      <c r="I14" s="341"/>
      <c r="J14" s="341"/>
      <c r="K14" s="341"/>
      <c r="L14" s="341"/>
      <c r="M14" s="60"/>
    </row>
    <row r="15" spans="1:14" ht="33.75" x14ac:dyDescent="0.5">
      <c r="B15" s="334"/>
      <c r="C15" s="343"/>
      <c r="D15" s="671" t="s">
        <v>169</v>
      </c>
      <c r="E15" s="233"/>
      <c r="F15" s="233"/>
      <c r="G15" s="233"/>
      <c r="H15" s="233"/>
      <c r="I15" s="233"/>
      <c r="J15" s="233"/>
      <c r="K15" s="233"/>
      <c r="L15" s="233"/>
      <c r="M15" s="234"/>
    </row>
    <row r="16" spans="1:14" x14ac:dyDescent="0.2">
      <c r="B16" s="335"/>
      <c r="C16" s="232"/>
      <c r="D16" s="232"/>
      <c r="E16" s="232"/>
      <c r="F16" s="232"/>
      <c r="G16" s="232"/>
      <c r="H16" s="232"/>
      <c r="I16" s="232"/>
      <c r="J16" s="232"/>
      <c r="K16" s="232"/>
      <c r="L16" s="232"/>
      <c r="M16" s="336"/>
    </row>
    <row r="17" spans="2:14" ht="32.25" customHeight="1" x14ac:dyDescent="0.2">
      <c r="B17" s="335"/>
      <c r="C17" s="260">
        <v>1</v>
      </c>
      <c r="D17" s="849" t="s">
        <v>123</v>
      </c>
      <c r="E17" s="850"/>
      <c r="F17" s="850"/>
      <c r="G17" s="850"/>
      <c r="H17" s="850"/>
      <c r="I17" s="850"/>
      <c r="J17" s="850"/>
      <c r="K17" s="850"/>
      <c r="L17" s="850"/>
      <c r="M17" s="344"/>
    </row>
    <row r="18" spans="2:14" ht="7.5" customHeight="1" x14ac:dyDescent="0.2">
      <c r="B18" s="335"/>
      <c r="C18" s="243"/>
      <c r="D18" s="345"/>
      <c r="E18" s="345"/>
      <c r="F18" s="345"/>
      <c r="G18" s="345"/>
      <c r="H18" s="345"/>
      <c r="I18" s="345"/>
      <c r="J18" s="345"/>
      <c r="K18" s="345"/>
      <c r="L18" s="345"/>
      <c r="M18" s="346"/>
    </row>
    <row r="19" spans="2:14" ht="30" customHeight="1" x14ac:dyDescent="0.2">
      <c r="B19" s="335"/>
      <c r="C19" s="260">
        <v>2</v>
      </c>
      <c r="D19" s="716" t="s">
        <v>257</v>
      </c>
      <c r="E19" s="728"/>
      <c r="F19" s="728"/>
      <c r="G19" s="728"/>
      <c r="H19" s="728"/>
      <c r="I19" s="728"/>
      <c r="J19" s="728"/>
      <c r="K19" s="728"/>
      <c r="L19" s="728"/>
      <c r="M19" s="346"/>
    </row>
    <row r="20" spans="2:14" ht="7.5" customHeight="1" x14ac:dyDescent="0.2">
      <c r="B20" s="335"/>
      <c r="C20" s="243"/>
      <c r="D20" s="345"/>
      <c r="E20" s="345"/>
      <c r="F20" s="345"/>
      <c r="G20" s="345"/>
      <c r="H20" s="345"/>
      <c r="I20" s="345"/>
      <c r="J20" s="345"/>
      <c r="K20" s="345"/>
      <c r="L20" s="345"/>
      <c r="M20" s="346"/>
    </row>
    <row r="21" spans="2:14" ht="60.75" customHeight="1" x14ac:dyDescent="0.2">
      <c r="B21" s="335"/>
      <c r="C21" s="260">
        <v>3</v>
      </c>
      <c r="D21" s="716" t="s">
        <v>164</v>
      </c>
      <c r="E21" s="728"/>
      <c r="F21" s="728"/>
      <c r="G21" s="728"/>
      <c r="H21" s="728"/>
      <c r="I21" s="728"/>
      <c r="J21" s="728"/>
      <c r="K21" s="728"/>
      <c r="L21" s="728"/>
      <c r="M21" s="346"/>
    </row>
    <row r="22" spans="2:14" ht="9" customHeight="1" x14ac:dyDescent="0.2">
      <c r="B22" s="335"/>
      <c r="C22" s="260"/>
      <c r="D22" s="345"/>
      <c r="E22" s="345"/>
      <c r="F22" s="345"/>
      <c r="G22" s="345"/>
      <c r="H22" s="345"/>
      <c r="I22" s="345"/>
      <c r="J22" s="345"/>
      <c r="K22" s="345"/>
      <c r="L22" s="345"/>
      <c r="M22" s="347"/>
    </row>
    <row r="23" spans="2:14" ht="45" customHeight="1" x14ac:dyDescent="0.2">
      <c r="B23" s="335"/>
      <c r="C23" s="260">
        <v>4</v>
      </c>
      <c r="D23" s="716" t="s">
        <v>232</v>
      </c>
      <c r="E23" s="728"/>
      <c r="F23" s="728"/>
      <c r="G23" s="728"/>
      <c r="H23" s="728"/>
      <c r="I23" s="728"/>
      <c r="J23" s="728"/>
      <c r="K23" s="728"/>
      <c r="L23" s="728"/>
      <c r="M23" s="348"/>
    </row>
    <row r="24" spans="2:14" ht="7.5" customHeight="1" x14ac:dyDescent="0.2">
      <c r="B24" s="335"/>
      <c r="C24" s="243"/>
      <c r="D24" s="345"/>
      <c r="E24" s="345"/>
      <c r="F24" s="345"/>
      <c r="G24" s="345"/>
      <c r="H24" s="345"/>
      <c r="I24" s="345"/>
      <c r="J24" s="345"/>
      <c r="K24" s="345"/>
      <c r="L24" s="345"/>
      <c r="M24" s="347"/>
    </row>
    <row r="25" spans="2:14" ht="92.25" customHeight="1" x14ac:dyDescent="0.2">
      <c r="B25" s="335"/>
      <c r="C25" s="260">
        <v>5</v>
      </c>
      <c r="D25" s="849" t="s">
        <v>258</v>
      </c>
      <c r="E25" s="728"/>
      <c r="F25" s="728"/>
      <c r="G25" s="728"/>
      <c r="H25" s="728"/>
      <c r="I25" s="728"/>
      <c r="J25" s="728"/>
      <c r="K25" s="728"/>
      <c r="L25" s="728"/>
      <c r="M25" s="336"/>
    </row>
    <row r="26" spans="2:14" ht="7.5" customHeight="1" x14ac:dyDescent="0.2">
      <c r="B26" s="335"/>
      <c r="C26" s="260"/>
      <c r="D26" s="345"/>
      <c r="E26" s="345"/>
      <c r="F26" s="345"/>
      <c r="G26" s="345"/>
      <c r="H26" s="345"/>
      <c r="I26" s="345"/>
      <c r="J26" s="345"/>
      <c r="K26" s="345"/>
      <c r="L26" s="345"/>
      <c r="M26" s="346"/>
    </row>
    <row r="27" spans="2:14" ht="63" customHeight="1" x14ac:dyDescent="0.2">
      <c r="B27" s="335"/>
      <c r="C27" s="260">
        <v>6</v>
      </c>
      <c r="D27" s="885" t="s">
        <v>259</v>
      </c>
      <c r="E27" s="901"/>
      <c r="F27" s="901"/>
      <c r="G27" s="901"/>
      <c r="H27" s="901"/>
      <c r="I27" s="901"/>
      <c r="J27" s="901"/>
      <c r="K27" s="901"/>
      <c r="L27" s="901"/>
      <c r="M27" s="346"/>
    </row>
    <row r="28" spans="2:14" ht="10.5" customHeight="1" x14ac:dyDescent="0.2">
      <c r="B28" s="335"/>
      <c r="C28" s="260"/>
      <c r="D28" s="345"/>
      <c r="E28" s="345"/>
      <c r="F28" s="345"/>
      <c r="G28" s="345"/>
      <c r="H28" s="345"/>
      <c r="I28" s="345"/>
      <c r="J28" s="345"/>
      <c r="K28" s="345"/>
      <c r="L28" s="345"/>
      <c r="M28" s="347"/>
    </row>
    <row r="29" spans="2:14" ht="33.75" customHeight="1" thickBot="1" x14ac:dyDescent="0.25">
      <c r="B29" s="337"/>
      <c r="C29" s="246">
        <v>7</v>
      </c>
      <c r="D29" s="902" t="s">
        <v>115</v>
      </c>
      <c r="E29" s="903"/>
      <c r="F29" s="903"/>
      <c r="G29" s="903"/>
      <c r="H29" s="903"/>
      <c r="I29" s="903"/>
      <c r="J29" s="903"/>
      <c r="K29" s="903"/>
      <c r="L29" s="903"/>
      <c r="M29" s="339"/>
      <c r="N29" s="673"/>
    </row>
    <row r="30" spans="2:14" ht="15.75" thickBot="1" x14ac:dyDescent="0.25">
      <c r="B30" s="340"/>
      <c r="C30" s="340"/>
      <c r="D30" s="342"/>
      <c r="E30" s="342"/>
      <c r="F30" s="342"/>
      <c r="G30" s="342"/>
      <c r="H30" s="342"/>
      <c r="I30" s="342"/>
      <c r="J30" s="342"/>
      <c r="K30" s="342"/>
      <c r="L30" s="342"/>
      <c r="M30" s="342"/>
    </row>
    <row r="31" spans="2:14" ht="39" customHeight="1" thickTop="1" x14ac:dyDescent="0.55000000000000004">
      <c r="B31" s="330"/>
      <c r="C31" s="349"/>
      <c r="D31" s="678" t="s">
        <v>260</v>
      </c>
      <c r="E31" s="345"/>
      <c r="F31" s="345"/>
      <c r="G31" s="345"/>
      <c r="H31" s="345"/>
      <c r="I31" s="345"/>
      <c r="J31" s="345"/>
      <c r="K31" s="345"/>
      <c r="L31" s="345"/>
      <c r="M31" s="240"/>
      <c r="N31" s="36"/>
    </row>
    <row r="32" spans="2:14" ht="15" x14ac:dyDescent="0.2">
      <c r="B32" s="330"/>
      <c r="C32" s="232"/>
      <c r="D32" s="345"/>
      <c r="E32" s="345"/>
      <c r="F32" s="345"/>
      <c r="G32" s="345"/>
      <c r="H32" s="345"/>
      <c r="I32" s="345"/>
      <c r="J32" s="345"/>
      <c r="K32" s="345"/>
      <c r="L32" s="345"/>
      <c r="M32" s="240"/>
    </row>
    <row r="33" spans="2:13" ht="15" x14ac:dyDescent="0.2">
      <c r="B33" s="330"/>
      <c r="C33" s="260">
        <v>1</v>
      </c>
      <c r="D33" s="849" t="s">
        <v>261</v>
      </c>
      <c r="E33" s="850"/>
      <c r="F33" s="850"/>
      <c r="G33" s="850"/>
      <c r="H33" s="850"/>
      <c r="I33" s="850"/>
      <c r="J33" s="850"/>
      <c r="K33" s="850"/>
      <c r="L33" s="850"/>
      <c r="M33" s="240"/>
    </row>
    <row r="34" spans="2:13" ht="15" x14ac:dyDescent="0.2">
      <c r="B34" s="330"/>
      <c r="C34" s="260"/>
      <c r="D34" s="850"/>
      <c r="E34" s="850"/>
      <c r="F34" s="850"/>
      <c r="G34" s="850"/>
      <c r="H34" s="850"/>
      <c r="I34" s="850"/>
      <c r="J34" s="850"/>
      <c r="K34" s="850"/>
      <c r="L34" s="850"/>
      <c r="M34" s="240"/>
    </row>
    <row r="35" spans="2:13" ht="16.5" customHeight="1" x14ac:dyDescent="0.2">
      <c r="B35" s="330"/>
      <c r="C35" s="232"/>
      <c r="D35" s="850"/>
      <c r="E35" s="850"/>
      <c r="F35" s="850"/>
      <c r="G35" s="850"/>
      <c r="H35" s="850"/>
      <c r="I35" s="850"/>
      <c r="J35" s="850"/>
      <c r="K35" s="850"/>
      <c r="L35" s="850"/>
      <c r="M35" s="240"/>
    </row>
    <row r="36" spans="2:13" ht="7.5" customHeight="1" x14ac:dyDescent="0.2">
      <c r="B36" s="330"/>
      <c r="C36" s="232"/>
      <c r="D36" s="345"/>
      <c r="E36" s="345"/>
      <c r="F36" s="345"/>
      <c r="G36" s="345"/>
      <c r="H36" s="345"/>
      <c r="I36" s="345"/>
      <c r="J36" s="345"/>
      <c r="K36" s="345"/>
      <c r="L36" s="345"/>
      <c r="M36" s="240"/>
    </row>
    <row r="37" spans="2:13" ht="16.5" customHeight="1" x14ac:dyDescent="0.2">
      <c r="B37" s="330"/>
      <c r="C37" s="260">
        <v>2</v>
      </c>
      <c r="D37" s="849" t="s">
        <v>233</v>
      </c>
      <c r="E37" s="728"/>
      <c r="F37" s="728"/>
      <c r="G37" s="728"/>
      <c r="H37" s="728"/>
      <c r="I37" s="728"/>
      <c r="J37" s="728"/>
      <c r="K37" s="728"/>
      <c r="L37" s="728"/>
      <c r="M37" s="350"/>
    </row>
    <row r="38" spans="2:13" ht="32.25" customHeight="1" x14ac:dyDescent="0.2">
      <c r="B38" s="330"/>
      <c r="C38" s="260"/>
      <c r="D38" s="728"/>
      <c r="E38" s="728"/>
      <c r="F38" s="728"/>
      <c r="G38" s="728"/>
      <c r="H38" s="728"/>
      <c r="I38" s="728"/>
      <c r="J38" s="728"/>
      <c r="K38" s="728"/>
      <c r="L38" s="728"/>
      <c r="M38" s="350"/>
    </row>
    <row r="39" spans="2:13" ht="13.5" customHeight="1" x14ac:dyDescent="0.2">
      <c r="B39" s="330"/>
      <c r="C39" s="260"/>
      <c r="D39" s="728"/>
      <c r="E39" s="728"/>
      <c r="F39" s="728"/>
      <c r="G39" s="728"/>
      <c r="H39" s="728"/>
      <c r="I39" s="728"/>
      <c r="J39" s="728"/>
      <c r="K39" s="728"/>
      <c r="L39" s="728"/>
      <c r="M39" s="350"/>
    </row>
    <row r="40" spans="2:13" ht="6" customHeight="1" x14ac:dyDescent="0.2">
      <c r="B40" s="330"/>
      <c r="C40" s="260" t="s">
        <v>1</v>
      </c>
      <c r="D40" s="345"/>
      <c r="E40" s="351"/>
      <c r="F40" s="351"/>
      <c r="G40" s="351"/>
      <c r="H40" s="351"/>
      <c r="I40" s="351"/>
      <c r="J40" s="351"/>
      <c r="K40" s="351"/>
      <c r="L40" s="351"/>
      <c r="M40" s="352"/>
    </row>
    <row r="41" spans="2:13" ht="48" customHeight="1" x14ac:dyDescent="0.2">
      <c r="B41" s="330"/>
      <c r="C41" s="260">
        <v>3</v>
      </c>
      <c r="D41" s="849" t="s">
        <v>141</v>
      </c>
      <c r="E41" s="728"/>
      <c r="F41" s="728"/>
      <c r="G41" s="728"/>
      <c r="H41" s="728"/>
      <c r="I41" s="728"/>
      <c r="J41" s="728"/>
      <c r="K41" s="728"/>
      <c r="L41" s="728"/>
      <c r="M41" s="352"/>
    </row>
    <row r="42" spans="2:13" ht="9.75" customHeight="1" x14ac:dyDescent="0.2">
      <c r="B42" s="330"/>
      <c r="C42" s="260"/>
      <c r="D42" s="345"/>
      <c r="E42" s="351"/>
      <c r="F42" s="351"/>
      <c r="G42" s="351"/>
      <c r="H42" s="351"/>
      <c r="I42" s="351"/>
      <c r="J42" s="351"/>
      <c r="K42" s="351"/>
      <c r="L42" s="351"/>
      <c r="M42" s="352"/>
    </row>
    <row r="43" spans="2:13" ht="45.75" customHeight="1" x14ac:dyDescent="0.2">
      <c r="B43" s="330"/>
      <c r="C43" s="260">
        <v>4</v>
      </c>
      <c r="D43" s="849" t="s">
        <v>262</v>
      </c>
      <c r="E43" s="728"/>
      <c r="F43" s="728"/>
      <c r="G43" s="728"/>
      <c r="H43" s="728"/>
      <c r="I43" s="728"/>
      <c r="J43" s="728"/>
      <c r="K43" s="728"/>
      <c r="L43" s="728"/>
      <c r="M43" s="352"/>
    </row>
    <row r="44" spans="2:13" ht="6.75" customHeight="1" x14ac:dyDescent="0.2">
      <c r="B44" s="330"/>
      <c r="C44" s="260"/>
      <c r="D44" s="353"/>
      <c r="E44" s="354"/>
      <c r="F44" s="354"/>
      <c r="G44" s="354"/>
      <c r="H44" s="354"/>
      <c r="I44" s="354"/>
      <c r="J44" s="354"/>
      <c r="K44" s="354"/>
      <c r="L44" s="354"/>
      <c r="M44" s="352"/>
    </row>
    <row r="45" spans="2:13" ht="64.5" customHeight="1" x14ac:dyDescent="0.2">
      <c r="B45" s="330"/>
      <c r="C45" s="260">
        <v>5</v>
      </c>
      <c r="D45" s="849" t="s">
        <v>263</v>
      </c>
      <c r="E45" s="728"/>
      <c r="F45" s="728"/>
      <c r="G45" s="728"/>
      <c r="H45" s="728"/>
      <c r="I45" s="728"/>
      <c r="J45" s="728"/>
      <c r="K45" s="728"/>
      <c r="L45" s="728"/>
      <c r="M45" s="352"/>
    </row>
    <row r="46" spans="2:13" ht="9" customHeight="1" x14ac:dyDescent="0.2">
      <c r="B46" s="330"/>
      <c r="C46" s="260"/>
      <c r="D46" s="353"/>
      <c r="E46" s="354"/>
      <c r="F46" s="354"/>
      <c r="G46" s="354"/>
      <c r="H46" s="354"/>
      <c r="I46" s="354"/>
      <c r="J46" s="354"/>
      <c r="K46" s="354"/>
      <c r="L46" s="354"/>
      <c r="M46" s="352"/>
    </row>
    <row r="47" spans="2:13" ht="59.25" customHeight="1" x14ac:dyDescent="0.2">
      <c r="B47" s="330"/>
      <c r="C47" s="260">
        <v>6</v>
      </c>
      <c r="D47" s="849" t="s">
        <v>264</v>
      </c>
      <c r="E47" s="728"/>
      <c r="F47" s="728"/>
      <c r="G47" s="728"/>
      <c r="H47" s="728"/>
      <c r="I47" s="728"/>
      <c r="J47" s="728"/>
      <c r="K47" s="728"/>
      <c r="L47" s="728"/>
      <c r="M47" s="352"/>
    </row>
    <row r="48" spans="2:13" ht="8.25" customHeight="1" x14ac:dyDescent="0.2">
      <c r="B48" s="330"/>
      <c r="C48" s="260"/>
      <c r="D48" s="345"/>
      <c r="E48" s="354"/>
      <c r="F48" s="354"/>
      <c r="G48" s="354"/>
      <c r="H48" s="354"/>
      <c r="I48" s="354"/>
      <c r="J48" s="354"/>
      <c r="K48" s="354"/>
      <c r="L48" s="354"/>
      <c r="M48" s="352"/>
    </row>
    <row r="49" spans="2:13" ht="15" customHeight="1" x14ac:dyDescent="0.2">
      <c r="B49" s="330"/>
      <c r="C49" s="260">
        <v>7</v>
      </c>
      <c r="D49" s="885" t="s">
        <v>80</v>
      </c>
      <c r="E49" s="901"/>
      <c r="F49" s="901"/>
      <c r="G49" s="901"/>
      <c r="H49" s="901"/>
      <c r="I49" s="901"/>
      <c r="J49" s="901"/>
      <c r="K49" s="901"/>
      <c r="L49" s="901"/>
      <c r="M49" s="350"/>
    </row>
    <row r="50" spans="2:13" ht="7.5" customHeight="1" x14ac:dyDescent="0.2">
      <c r="B50" s="330"/>
      <c r="C50" s="260"/>
      <c r="D50" s="345"/>
      <c r="E50" s="351"/>
      <c r="F50" s="351"/>
      <c r="G50" s="351"/>
      <c r="H50" s="351"/>
      <c r="I50" s="351"/>
      <c r="J50" s="351"/>
      <c r="K50" s="351"/>
      <c r="L50" s="351"/>
      <c r="M50" s="352"/>
    </row>
    <row r="51" spans="2:13" ht="31.5" customHeight="1" x14ac:dyDescent="0.2">
      <c r="B51" s="330"/>
      <c r="C51" s="260">
        <v>8</v>
      </c>
      <c r="D51" s="849" t="s">
        <v>234</v>
      </c>
      <c r="E51" s="728"/>
      <c r="F51" s="728"/>
      <c r="G51" s="728"/>
      <c r="H51" s="728"/>
      <c r="I51" s="728"/>
      <c r="J51" s="728"/>
      <c r="K51" s="728"/>
      <c r="L51" s="728"/>
      <c r="M51" s="350"/>
    </row>
    <row r="52" spans="2:13" ht="7.5" customHeight="1" x14ac:dyDescent="0.2">
      <c r="B52" s="330"/>
      <c r="C52" s="260"/>
      <c r="D52" s="345"/>
      <c r="E52" s="351"/>
      <c r="F52" s="351"/>
      <c r="G52" s="351"/>
      <c r="H52" s="351"/>
      <c r="I52" s="351"/>
      <c r="J52" s="351"/>
      <c r="K52" s="351"/>
      <c r="L52" s="351"/>
      <c r="M52" s="352"/>
    </row>
    <row r="53" spans="2:13" ht="45.75" customHeight="1" x14ac:dyDescent="0.2">
      <c r="B53" s="330"/>
      <c r="C53" s="260">
        <v>9</v>
      </c>
      <c r="D53" s="716" t="s">
        <v>265</v>
      </c>
      <c r="E53" s="728"/>
      <c r="F53" s="728"/>
      <c r="G53" s="728"/>
      <c r="H53" s="728"/>
      <c r="I53" s="728"/>
      <c r="J53" s="728"/>
      <c r="K53" s="728"/>
      <c r="L53" s="728"/>
      <c r="M53" s="352"/>
    </row>
    <row r="54" spans="2:13" ht="9" customHeight="1" x14ac:dyDescent="0.2">
      <c r="B54" s="330"/>
      <c r="C54" s="260"/>
      <c r="D54" s="345"/>
      <c r="E54" s="351"/>
      <c r="F54" s="351"/>
      <c r="G54" s="351"/>
      <c r="H54" s="351"/>
      <c r="I54" s="351"/>
      <c r="J54" s="351"/>
      <c r="K54" s="351"/>
      <c r="L54" s="351"/>
      <c r="M54" s="352"/>
    </row>
    <row r="55" spans="2:13" ht="48" customHeight="1" x14ac:dyDescent="0.2">
      <c r="B55" s="330"/>
      <c r="C55" s="260">
        <v>10</v>
      </c>
      <c r="D55" s="849" t="s">
        <v>266</v>
      </c>
      <c r="E55" s="728"/>
      <c r="F55" s="728"/>
      <c r="G55" s="728"/>
      <c r="H55" s="728"/>
      <c r="I55" s="728"/>
      <c r="J55" s="728"/>
      <c r="K55" s="728"/>
      <c r="L55" s="728"/>
      <c r="M55" s="352"/>
    </row>
    <row r="56" spans="2:13" ht="8.25" customHeight="1" x14ac:dyDescent="0.2">
      <c r="B56" s="330"/>
      <c r="C56" s="260"/>
      <c r="D56" s="345"/>
      <c r="E56" s="351"/>
      <c r="F56" s="351"/>
      <c r="G56" s="351"/>
      <c r="H56" s="351"/>
      <c r="I56" s="351"/>
      <c r="J56" s="351"/>
      <c r="K56" s="351"/>
      <c r="L56" s="351"/>
      <c r="M56" s="352"/>
    </row>
    <row r="57" spans="2:13" ht="78" customHeight="1" x14ac:dyDescent="0.2">
      <c r="B57" s="330"/>
      <c r="C57" s="260">
        <v>11</v>
      </c>
      <c r="D57" s="849" t="s">
        <v>267</v>
      </c>
      <c r="E57" s="728"/>
      <c r="F57" s="728"/>
      <c r="G57" s="728"/>
      <c r="H57" s="728"/>
      <c r="I57" s="728"/>
      <c r="J57" s="728"/>
      <c r="K57" s="728"/>
      <c r="L57" s="728"/>
      <c r="M57" s="350"/>
    </row>
    <row r="58" spans="2:13" ht="6.75" customHeight="1" x14ac:dyDescent="0.2">
      <c r="B58" s="330"/>
      <c r="C58" s="355"/>
      <c r="D58" s="354"/>
      <c r="E58" s="354"/>
      <c r="F58" s="354"/>
      <c r="G58" s="354"/>
      <c r="H58" s="354"/>
      <c r="I58" s="354"/>
      <c r="J58" s="354"/>
      <c r="K58" s="354"/>
      <c r="L58" s="354"/>
      <c r="M58" s="356"/>
    </row>
    <row r="59" spans="2:13" ht="44.25" customHeight="1" x14ac:dyDescent="0.2">
      <c r="B59" s="330"/>
      <c r="C59" s="260">
        <v>12</v>
      </c>
      <c r="D59" s="849" t="s">
        <v>124</v>
      </c>
      <c r="E59" s="850"/>
      <c r="F59" s="850"/>
      <c r="G59" s="850"/>
      <c r="H59" s="850"/>
      <c r="I59" s="850"/>
      <c r="J59" s="850"/>
      <c r="K59" s="850"/>
      <c r="L59" s="850"/>
      <c r="M59" s="356"/>
    </row>
    <row r="60" spans="2:13" ht="7.5" customHeight="1" x14ac:dyDescent="0.2">
      <c r="B60" s="330"/>
      <c r="C60" s="260"/>
      <c r="D60" s="354"/>
      <c r="E60" s="354"/>
      <c r="F60" s="354"/>
      <c r="G60" s="354"/>
      <c r="H60" s="354"/>
      <c r="I60" s="354"/>
      <c r="J60" s="354"/>
      <c r="K60" s="354"/>
      <c r="L60" s="354"/>
      <c r="M60" s="356"/>
    </row>
    <row r="61" spans="2:13" ht="44.25" customHeight="1" x14ac:dyDescent="0.2">
      <c r="B61" s="330"/>
      <c r="C61" s="260">
        <v>13</v>
      </c>
      <c r="D61" s="716" t="s">
        <v>268</v>
      </c>
      <c r="E61" s="728"/>
      <c r="F61" s="728"/>
      <c r="G61" s="728"/>
      <c r="H61" s="728"/>
      <c r="I61" s="728"/>
      <c r="J61" s="728"/>
      <c r="K61" s="728"/>
      <c r="L61" s="728"/>
      <c r="M61" s="356"/>
    </row>
    <row r="62" spans="2:13" ht="7.5" customHeight="1" x14ac:dyDescent="0.2">
      <c r="B62" s="330"/>
      <c r="C62" s="260"/>
      <c r="D62" s="354"/>
      <c r="E62" s="593"/>
      <c r="F62" s="593"/>
      <c r="G62" s="593"/>
      <c r="H62" s="593"/>
      <c r="I62" s="593"/>
      <c r="J62" s="593"/>
      <c r="K62" s="593"/>
      <c r="L62" s="593"/>
      <c r="M62" s="356"/>
    </row>
    <row r="63" spans="2:13" ht="62.25" customHeight="1" x14ac:dyDescent="0.2">
      <c r="B63" s="330"/>
      <c r="C63" s="260">
        <v>14</v>
      </c>
      <c r="D63" s="849" t="s">
        <v>235</v>
      </c>
      <c r="E63" s="850"/>
      <c r="F63" s="850"/>
      <c r="G63" s="850"/>
      <c r="H63" s="850"/>
      <c r="I63" s="850"/>
      <c r="J63" s="850"/>
      <c r="K63" s="850"/>
      <c r="L63" s="850"/>
      <c r="M63" s="356"/>
    </row>
    <row r="64" spans="2:13" ht="10.5" customHeight="1" thickBot="1" x14ac:dyDescent="0.35">
      <c r="B64" s="308"/>
      <c r="C64" s="357"/>
      <c r="D64" s="358"/>
      <c r="E64" s="358"/>
      <c r="F64" s="358"/>
      <c r="G64" s="358"/>
      <c r="H64" s="358"/>
      <c r="I64" s="358"/>
      <c r="J64" s="358"/>
      <c r="K64" s="358"/>
      <c r="L64" s="358"/>
      <c r="M64" s="359"/>
    </row>
    <row r="65" spans="3:14" ht="13.5" thickTop="1" x14ac:dyDescent="0.2"/>
    <row r="67" spans="3:14" ht="54.75" customHeight="1" x14ac:dyDescent="0.25">
      <c r="C67" s="931" t="s">
        <v>191</v>
      </c>
      <c r="D67" s="931"/>
      <c r="E67" s="931"/>
      <c r="F67" s="931"/>
      <c r="G67" s="931"/>
      <c r="H67" s="931"/>
      <c r="I67" s="931"/>
      <c r="J67" s="931"/>
      <c r="K67" s="931"/>
      <c r="L67" s="931"/>
      <c r="M67" s="931"/>
      <c r="N67" s="931"/>
    </row>
    <row r="69" spans="3:14" ht="22.5" customHeight="1" x14ac:dyDescent="0.3">
      <c r="C69" s="187"/>
      <c r="D69" s="188"/>
      <c r="E69" s="189"/>
      <c r="F69" s="189"/>
      <c r="G69" s="189"/>
      <c r="H69" s="189"/>
      <c r="I69" s="189"/>
      <c r="J69" s="189"/>
      <c r="K69" s="594" t="s">
        <v>170</v>
      </c>
      <c r="L69" s="189"/>
      <c r="M69" s="189"/>
      <c r="N69" s="190"/>
    </row>
    <row r="70" spans="3:14" ht="20.25" x14ac:dyDescent="0.3">
      <c r="C70" s="191"/>
      <c r="D70" s="184"/>
      <c r="E70" s="184"/>
      <c r="F70" s="184"/>
      <c r="G70" s="184"/>
      <c r="H70" s="184"/>
      <c r="I70" s="184"/>
      <c r="J70" s="184"/>
      <c r="K70" s="486" t="str">
        <f>D77</f>
        <v xml:space="preserve"> A National Election for the House of Representatives</v>
      </c>
      <c r="L70" s="184"/>
      <c r="M70" s="184"/>
      <c r="N70" s="192"/>
    </row>
    <row r="71" spans="3:14" ht="6.75" customHeight="1" x14ac:dyDescent="0.3">
      <c r="C71" s="191"/>
      <c r="D71" s="184"/>
      <c r="E71" s="184"/>
      <c r="F71" s="184"/>
      <c r="G71" s="184"/>
      <c r="H71" s="184"/>
      <c r="I71" s="184"/>
      <c r="J71" s="184"/>
      <c r="K71" s="486"/>
      <c r="L71" s="184"/>
      <c r="M71" s="184"/>
      <c r="N71" s="192"/>
    </row>
    <row r="72" spans="3:14" ht="15.75" x14ac:dyDescent="0.25">
      <c r="C72" s="191"/>
      <c r="D72" s="488" t="s">
        <v>63</v>
      </c>
      <c r="E72" s="185"/>
      <c r="F72" s="185"/>
      <c r="G72" s="185"/>
      <c r="H72" s="185"/>
      <c r="I72" s="185"/>
      <c r="J72" s="185"/>
      <c r="K72" s="185"/>
      <c r="L72" s="185"/>
      <c r="M72" s="185"/>
      <c r="N72" s="192"/>
    </row>
    <row r="73" spans="3:14" ht="15.75" x14ac:dyDescent="0.25">
      <c r="C73" s="191"/>
      <c r="D73" s="219"/>
      <c r="E73" s="216" t="s">
        <v>45</v>
      </c>
      <c r="F73" s="217">
        <f>HowItWorks!F28</f>
        <v>0.03</v>
      </c>
      <c r="G73" s="218" t="s">
        <v>76</v>
      </c>
      <c r="H73" s="219"/>
      <c r="I73" s="219"/>
      <c r="J73" s="182"/>
      <c r="K73" s="182"/>
      <c r="L73" s="182"/>
      <c r="M73" s="182"/>
      <c r="N73" s="192"/>
    </row>
    <row r="74" spans="3:14" ht="15.75" x14ac:dyDescent="0.25">
      <c r="C74" s="191"/>
      <c r="D74" s="219"/>
      <c r="E74" s="216" t="s">
        <v>148</v>
      </c>
      <c r="F74" s="487">
        <f>HowItWorks!H150</f>
        <v>20</v>
      </c>
      <c r="G74" s="218" t="s">
        <v>229</v>
      </c>
      <c r="H74" s="219"/>
      <c r="I74" s="219"/>
      <c r="J74" s="182"/>
      <c r="K74" s="219"/>
      <c r="L74" s="220">
        <f>HowItWorks!J148</f>
        <v>0.1</v>
      </c>
      <c r="M74" s="218" t="s">
        <v>44</v>
      </c>
      <c r="N74" s="192"/>
    </row>
    <row r="75" spans="3:14" x14ac:dyDescent="0.2">
      <c r="C75" s="191"/>
      <c r="D75" s="184"/>
      <c r="E75" s="184"/>
      <c r="F75" s="184"/>
      <c r="G75" s="184"/>
      <c r="H75" s="184"/>
      <c r="I75" s="184"/>
      <c r="J75" s="184"/>
      <c r="K75" s="183"/>
      <c r="L75" s="183"/>
      <c r="M75" s="183"/>
      <c r="N75" s="192"/>
    </row>
    <row r="76" spans="3:14" ht="15.75" thickBot="1" x14ac:dyDescent="0.25">
      <c r="C76" s="191"/>
      <c r="D76" s="928" t="s">
        <v>144</v>
      </c>
      <c r="E76" s="741"/>
      <c r="F76" s="741"/>
      <c r="G76" s="741"/>
      <c r="H76" s="741"/>
      <c r="I76" s="184"/>
      <c r="J76" s="929" t="s">
        <v>228</v>
      </c>
      <c r="K76" s="930"/>
      <c r="L76" s="930"/>
      <c r="M76" s="930"/>
      <c r="N76" s="192"/>
    </row>
    <row r="77" spans="3:14" ht="13.5" thickTop="1" x14ac:dyDescent="0.2">
      <c r="C77" s="191"/>
      <c r="D77" s="920" t="str">
        <f>HowItWorks!E40</f>
        <v xml:space="preserve"> A National Election for the House of Representatives</v>
      </c>
      <c r="E77" s="922" t="str">
        <f>HowItWorks!F42</f>
        <v>Total Popular Vote</v>
      </c>
      <c r="F77" s="922" t="s">
        <v>100</v>
      </c>
      <c r="G77" s="922" t="s">
        <v>101</v>
      </c>
      <c r="H77" s="922" t="str">
        <f>HowItWorks!J42</f>
        <v>% of Popular Vote</v>
      </c>
      <c r="I77" s="184"/>
      <c r="J77" s="924" t="str">
        <f>HowItWorks!J123</f>
        <v>House Vote Entitlement</v>
      </c>
      <c r="K77" s="826"/>
      <c r="L77" s="924" t="s">
        <v>99</v>
      </c>
      <c r="M77" s="922" t="s">
        <v>151</v>
      </c>
      <c r="N77" s="192"/>
    </row>
    <row r="78" spans="3:14" ht="33" customHeight="1" thickBot="1" x14ac:dyDescent="0.25">
      <c r="C78" s="191"/>
      <c r="D78" s="921"/>
      <c r="E78" s="923"/>
      <c r="F78" s="923"/>
      <c r="G78" s="923"/>
      <c r="H78" s="923"/>
      <c r="I78" s="184"/>
      <c r="J78" s="925"/>
      <c r="K78" s="926"/>
      <c r="L78" s="824"/>
      <c r="M78" s="923"/>
      <c r="N78" s="192"/>
    </row>
    <row r="79" spans="3:14" ht="16.5" thickTop="1" x14ac:dyDescent="0.2">
      <c r="C79" s="191"/>
      <c r="D79" s="77" t="str">
        <f>HowItWorks!E44</f>
        <v>Lincoln Republicans</v>
      </c>
      <c r="E79" s="661">
        <f>HowItWorks!F44</f>
        <v>25000000</v>
      </c>
      <c r="F79" s="49">
        <f>HowItWorks!G44</f>
        <v>130</v>
      </c>
      <c r="G79" s="69">
        <f t="shared" ref="G79:G90" si="0">F79/F$93</f>
        <v>0.2988505747126437</v>
      </c>
      <c r="H79" s="425">
        <f>HowItWorks!J44</f>
        <v>0.1609165808444902</v>
      </c>
      <c r="I79" s="204" t="str">
        <f>HowItWorks!L44</f>
        <v xml:space="preserve"> !! </v>
      </c>
      <c r="J79" s="84">
        <f>HowItWorks!F191</f>
        <v>130</v>
      </c>
      <c r="K79" s="93">
        <f>IF(J79="Excluded","",J79/J$93)</f>
        <v>0.16153989426479645</v>
      </c>
      <c r="L79" s="435">
        <f>IF(HowItWorks!G191=0,0,HowItWorks!G191)</f>
        <v>130</v>
      </c>
      <c r="M79" s="132">
        <f>IF(HowItWorks!I191=0," ",HowItWorks!I191)</f>
        <v>1</v>
      </c>
      <c r="N79" s="192"/>
    </row>
    <row r="80" spans="3:14" ht="15.75" x14ac:dyDescent="0.2">
      <c r="C80" s="191"/>
      <c r="D80" s="47" t="str">
        <f>HowItWorks!E45</f>
        <v>Democratic Party</v>
      </c>
      <c r="E80" s="662">
        <f>HowItWorks!F45</f>
        <v>35000000</v>
      </c>
      <c r="F80" s="49">
        <f>HowItWorks!G45</f>
        <v>135</v>
      </c>
      <c r="G80" s="87">
        <f t="shared" si="0"/>
        <v>0.31034482758620691</v>
      </c>
      <c r="H80" s="426">
        <f>HowItWorks!J45</f>
        <v>0.22528321318228631</v>
      </c>
      <c r="I80" s="204" t="str">
        <f>HowItWorks!L45</f>
        <v xml:space="preserve"> </v>
      </c>
      <c r="J80" s="85">
        <f>HowItWorks!F192</f>
        <v>181.99999999999997</v>
      </c>
      <c r="K80" s="93">
        <f>IF(J80="Excluded","",J80/J$93)</f>
        <v>0.226155851970715</v>
      </c>
      <c r="L80" s="435">
        <f>IF(HowItWorks!G192=0,0,HowItWorks!G192)</f>
        <v>135</v>
      </c>
      <c r="M80" s="132">
        <f>IF(HowItWorks!I192=0," ",HowItWorks!I192)</f>
        <v>1.3481481481481479</v>
      </c>
      <c r="N80" s="192"/>
    </row>
    <row r="81" spans="3:14" ht="15.75" x14ac:dyDescent="0.2">
      <c r="C81" s="191"/>
      <c r="D81" s="47" t="str">
        <f>HowItWorks!E46</f>
        <v>MAGA Party</v>
      </c>
      <c r="E81" s="662">
        <f>HowItWorks!F46</f>
        <v>25000000</v>
      </c>
      <c r="F81" s="49">
        <f>HowItWorks!G46</f>
        <v>70</v>
      </c>
      <c r="G81" s="87">
        <f t="shared" si="0"/>
        <v>0.16091954022988506</v>
      </c>
      <c r="H81" s="426">
        <f>HowItWorks!J46</f>
        <v>0.1609165808444902</v>
      </c>
      <c r="I81" s="204" t="str">
        <f>HowItWorks!L46</f>
        <v xml:space="preserve"> </v>
      </c>
      <c r="J81" s="85">
        <f>HowItWorks!F193</f>
        <v>130</v>
      </c>
      <c r="K81" s="93">
        <f t="shared" ref="K81:K90" si="1">IF(J81="Excluded","",J81/J$93)</f>
        <v>0.16153989426479645</v>
      </c>
      <c r="L81" s="435">
        <f>IF(HowItWorks!G193=0,0,HowItWorks!G193)</f>
        <v>70</v>
      </c>
      <c r="M81" s="132">
        <f>IF(HowItWorks!I193=0," ",HowItWorks!I193)</f>
        <v>1.8571428571428572</v>
      </c>
      <c r="N81" s="192"/>
    </row>
    <row r="82" spans="3:14" ht="15.75" x14ac:dyDescent="0.2">
      <c r="C82" s="191"/>
      <c r="D82" s="47" t="str">
        <f>HowItWorks!E47</f>
        <v>Progressive Democratic Party</v>
      </c>
      <c r="E82" s="662">
        <f>HowItWorks!F47</f>
        <v>30000000</v>
      </c>
      <c r="F82" s="49">
        <f>HowItWorks!G47</f>
        <v>77</v>
      </c>
      <c r="G82" s="87">
        <f t="shared" si="0"/>
        <v>0.17701149425287357</v>
      </c>
      <c r="H82" s="426">
        <f>HowItWorks!J47</f>
        <v>0.19309989701338826</v>
      </c>
      <c r="I82" s="204" t="str">
        <f>HowItWorks!L47</f>
        <v xml:space="preserve"> </v>
      </c>
      <c r="J82" s="85">
        <f>HowItWorks!F194</f>
        <v>155.99999999999997</v>
      </c>
      <c r="K82" s="93">
        <f t="shared" si="1"/>
        <v>0.19384787311775573</v>
      </c>
      <c r="L82" s="435">
        <f>IF(HowItWorks!G194=0,0,HowItWorks!G194)</f>
        <v>77</v>
      </c>
      <c r="M82" s="132">
        <f>IF(HowItWorks!I194=0," ",HowItWorks!I194)</f>
        <v>2.0259740259740258</v>
      </c>
      <c r="N82" s="192"/>
    </row>
    <row r="83" spans="3:14" ht="15.75" x14ac:dyDescent="0.2">
      <c r="C83" s="191"/>
      <c r="D83" s="47" t="str">
        <f>HowItWorks!E48</f>
        <v>Green Party</v>
      </c>
      <c r="E83" s="662">
        <f>HowItWorks!F48</f>
        <v>15000000</v>
      </c>
      <c r="F83" s="49">
        <f>HowItWorks!G48</f>
        <v>8</v>
      </c>
      <c r="G83" s="87">
        <f t="shared" si="0"/>
        <v>1.8390804597701149E-2</v>
      </c>
      <c r="H83" s="426">
        <f>HowItWorks!J48</f>
        <v>9.6549948506694128E-2</v>
      </c>
      <c r="I83" s="204" t="str">
        <f>HowItWorks!L48</f>
        <v xml:space="preserve"> </v>
      </c>
      <c r="J83" s="85">
        <f>HowItWorks!F195</f>
        <v>77.999999999999986</v>
      </c>
      <c r="K83" s="93">
        <f t="shared" si="1"/>
        <v>9.6923936558877863E-2</v>
      </c>
      <c r="L83" s="435">
        <f>IF(HowItWorks!G195=0,0,HowItWorks!G195)</f>
        <v>16</v>
      </c>
      <c r="M83" s="132">
        <f>IF(HowItWorks!I195=0," ",HowItWorks!I195)</f>
        <v>4.8749999999999991</v>
      </c>
      <c r="N83" s="193"/>
    </row>
    <row r="84" spans="3:14" ht="15.75" x14ac:dyDescent="0.2">
      <c r="C84" s="191"/>
      <c r="D84" s="47" t="str">
        <f>HowItWorks!E49</f>
        <v>Libertarian Party</v>
      </c>
      <c r="E84" s="662">
        <f>HowItWorks!F49</f>
        <v>20000000</v>
      </c>
      <c r="F84" s="49">
        <f>HowItWorks!G49</f>
        <v>8</v>
      </c>
      <c r="G84" s="87">
        <f t="shared" si="0"/>
        <v>1.8390804597701149E-2</v>
      </c>
      <c r="H84" s="426">
        <f>HowItWorks!J49</f>
        <v>0.12873326467559218</v>
      </c>
      <c r="I84" s="204" t="str">
        <f>HowItWorks!L49</f>
        <v xml:space="preserve"> </v>
      </c>
      <c r="J84" s="85">
        <f>HowItWorks!F196</f>
        <v>104</v>
      </c>
      <c r="K84" s="93">
        <f t="shared" si="1"/>
        <v>0.12923191541183718</v>
      </c>
      <c r="L84" s="435">
        <f>IF(HowItWorks!G196=0,0,HowItWorks!G196)</f>
        <v>19</v>
      </c>
      <c r="M84" s="132">
        <f>IF(HowItWorks!I196=0," ",HowItWorks!I196)</f>
        <v>5.4736842105263159</v>
      </c>
      <c r="N84" s="192"/>
    </row>
    <row r="85" spans="3:14" ht="15.75" x14ac:dyDescent="0.2">
      <c r="C85" s="191"/>
      <c r="D85" s="47" t="str">
        <f>HowItWorks!E50</f>
        <v>New West Party</v>
      </c>
      <c r="E85" s="48">
        <f>HowItWorks!F50</f>
        <v>400000</v>
      </c>
      <c r="F85" s="49">
        <f>HowItWorks!G50</f>
        <v>1</v>
      </c>
      <c r="G85" s="87">
        <f t="shared" si="0"/>
        <v>2.2988505747126436E-3</v>
      </c>
      <c r="H85" s="426">
        <f>HowItWorks!J50</f>
        <v>2.5746652935118436E-3</v>
      </c>
      <c r="I85" s="204" t="str">
        <f>HowItWorks!L50</f>
        <v xml:space="preserve"> </v>
      </c>
      <c r="J85" s="85">
        <f>HowItWorks!F197</f>
        <v>2.0799999999999996</v>
      </c>
      <c r="K85" s="93">
        <f t="shared" si="1"/>
        <v>2.5846383082367428E-3</v>
      </c>
      <c r="L85" s="435">
        <f>IF(HowItWorks!G197=0,0,HowItWorks!G197)</f>
        <v>1</v>
      </c>
      <c r="M85" s="132">
        <f>IF(HowItWorks!I197=0,0,HowItWorks!I197)</f>
        <v>2.0799999999999996</v>
      </c>
      <c r="N85" s="192"/>
    </row>
    <row r="86" spans="3:14" ht="15.75" x14ac:dyDescent="0.2">
      <c r="C86" s="191"/>
      <c r="D86" s="47" t="str">
        <f>HowItWorks!E51</f>
        <v>First Americans Party</v>
      </c>
      <c r="E86" s="48">
        <f>HowItWorks!F51</f>
        <v>3000000</v>
      </c>
      <c r="F86" s="49">
        <f>HowItWorks!G51</f>
        <v>2</v>
      </c>
      <c r="G86" s="87">
        <f t="shared" si="0"/>
        <v>4.5977011494252873E-3</v>
      </c>
      <c r="H86" s="426">
        <f>HowItWorks!J51</f>
        <v>1.9309989701338827E-2</v>
      </c>
      <c r="I86" s="204" t="str">
        <f>HowItWorks!L51</f>
        <v xml:space="preserve"> </v>
      </c>
      <c r="J86" s="85">
        <f>HowItWorks!F198</f>
        <v>15.6</v>
      </c>
      <c r="K86" s="93">
        <f t="shared" si="1"/>
        <v>1.9384787311775575E-2</v>
      </c>
      <c r="L86" s="435">
        <f>IF(HowItWorks!G198=0,0,HowItWorks!G198)</f>
        <v>3</v>
      </c>
      <c r="M86" s="132">
        <f>IF(HowItWorks!I198=0," ",HowItWorks!I198)</f>
        <v>5.2</v>
      </c>
      <c r="N86" s="192"/>
    </row>
    <row r="87" spans="3:14" ht="15.75" x14ac:dyDescent="0.2">
      <c r="C87" s="191"/>
      <c r="D87" s="47" t="str">
        <f>HowItWorks!E52</f>
        <v>New Morality Party</v>
      </c>
      <c r="E87" s="48">
        <f>HowItWorks!F52</f>
        <v>800000</v>
      </c>
      <c r="F87" s="49">
        <f>HowItWorks!G52</f>
        <v>0</v>
      </c>
      <c r="G87" s="87">
        <f t="shared" si="0"/>
        <v>0</v>
      </c>
      <c r="H87" s="426">
        <f>HowItWorks!J52</f>
        <v>5.1493305870236872E-3</v>
      </c>
      <c r="I87" s="204" t="str">
        <f>HowItWorks!L52</f>
        <v xml:space="preserve"> </v>
      </c>
      <c r="J87" s="85">
        <f>HowItWorks!F199</f>
        <v>0</v>
      </c>
      <c r="K87" s="93">
        <f t="shared" si="1"/>
        <v>0</v>
      </c>
      <c r="L87" s="435" t="str">
        <f>IF(HowItWorks!G199=0," ",HowItWorks!G199)</f>
        <v xml:space="preserve"> </v>
      </c>
      <c r="M87" s="132">
        <f>IF(HowItWorks!I199=0,0,HowItWorks!I199)</f>
        <v>0</v>
      </c>
      <c r="N87" s="192"/>
    </row>
    <row r="88" spans="3:14" ht="15" x14ac:dyDescent="0.2">
      <c r="C88" s="191"/>
      <c r="D88" s="47" t="str">
        <f>HowItWorks!E53</f>
        <v>Other New Party</v>
      </c>
      <c r="E88" s="48">
        <f>HowItWorks!F53</f>
        <v>400000</v>
      </c>
      <c r="F88" s="49">
        <f>HowItWorks!G53</f>
        <v>0</v>
      </c>
      <c r="G88" s="87">
        <f t="shared" si="0"/>
        <v>0</v>
      </c>
      <c r="H88" s="426">
        <f>HowItWorks!J53</f>
        <v>2.5746652935118436E-3</v>
      </c>
      <c r="I88" s="202" t="str">
        <f>HowItWorks!L53</f>
        <v xml:space="preserve"> </v>
      </c>
      <c r="J88" s="85">
        <f>HowItWorks!F200</f>
        <v>0</v>
      </c>
      <c r="K88" s="93">
        <f t="shared" si="1"/>
        <v>0</v>
      </c>
      <c r="L88" s="435" t="str">
        <f>IF(HowItWorks!G200=0," ",HowItWorks!G200)</f>
        <v xml:space="preserve"> </v>
      </c>
      <c r="M88" s="132">
        <f>IF(HowItWorks!I200=0,0,HowItWorks!I200)</f>
        <v>0</v>
      </c>
      <c r="N88" s="192"/>
    </row>
    <row r="89" spans="3:14" ht="15" x14ac:dyDescent="0.2">
      <c r="C89" s="191"/>
      <c r="D89" s="47">
        <f>HowItWorks!E54</f>
        <v>0</v>
      </c>
      <c r="E89" s="48">
        <f>HowItWorks!F54</f>
        <v>0</v>
      </c>
      <c r="F89" s="49">
        <f>HowItWorks!G54</f>
        <v>0</v>
      </c>
      <c r="G89" s="87">
        <f t="shared" si="0"/>
        <v>0</v>
      </c>
      <c r="H89" s="426">
        <f>HowItWorks!J54</f>
        <v>0</v>
      </c>
      <c r="I89" s="202" t="str">
        <f>HowItWorks!L54</f>
        <v xml:space="preserve"> </v>
      </c>
      <c r="J89" s="85">
        <f>HowItWorks!F201</f>
        <v>0</v>
      </c>
      <c r="K89" s="93">
        <f t="shared" si="1"/>
        <v>0</v>
      </c>
      <c r="L89" s="435" t="str">
        <f>IF(HowItWorks!G201=0," ",HowItWorks!G201)</f>
        <v xml:space="preserve"> </v>
      </c>
      <c r="M89" s="132">
        <f>IF(HowItWorks!I201=0,0,HowItWorks!I201)</f>
        <v>0</v>
      </c>
      <c r="N89" s="192"/>
    </row>
    <row r="90" spans="3:14" ht="15.75" thickBot="1" x14ac:dyDescent="0.25">
      <c r="C90" s="191"/>
      <c r="D90" s="47" t="str">
        <f>HowItWorks!E55</f>
        <v>Other (non-winning) parties*</v>
      </c>
      <c r="E90" s="48">
        <f>HowItWorks!F55</f>
        <v>100000</v>
      </c>
      <c r="F90" s="49">
        <f>HowItWorks!G55</f>
        <v>0</v>
      </c>
      <c r="G90" s="88">
        <f t="shared" si="0"/>
        <v>0</v>
      </c>
      <c r="H90" s="427">
        <f>HowItWorks!J55</f>
        <v>6.436663233779609E-4</v>
      </c>
      <c r="I90" s="202" t="str">
        <f>HowItWorks!L55</f>
        <v xml:space="preserve"> </v>
      </c>
      <c r="J90" s="86">
        <f>HowItWorks!F202</f>
        <v>0</v>
      </c>
      <c r="K90" s="93">
        <f t="shared" si="1"/>
        <v>0</v>
      </c>
      <c r="L90" s="436" t="str">
        <f>IF(HowItWorks!G202=0," ",HowItWorks!G202)</f>
        <v xml:space="preserve"> </v>
      </c>
      <c r="M90" s="132">
        <f>IF(HowItWorks!I202=0,0,HowItWorks!I202)</f>
        <v>0</v>
      </c>
      <c r="N90" s="192"/>
    </row>
    <row r="91" spans="3:14" ht="16.5" thickTop="1" thickBot="1" x14ac:dyDescent="0.25">
      <c r="C91" s="191"/>
      <c r="D91" s="131" t="str">
        <f>HowItWorks!E56</f>
        <v>Total for Political Parties</v>
      </c>
      <c r="E91" s="9">
        <f>HowItWorks!F56</f>
        <v>154700000</v>
      </c>
      <c r="F91" s="8">
        <f>HowItWorks!G56</f>
        <v>431</v>
      </c>
      <c r="G91" s="70">
        <f>SUM(G79:G90)</f>
        <v>0.99080459770114948</v>
      </c>
      <c r="H91" s="428">
        <f>HowItWorks!J56</f>
        <v>0.99575180226570537</v>
      </c>
      <c r="I91" s="184"/>
      <c r="J91" s="73">
        <f>HowItWorks!F203</f>
        <v>797.68000000000006</v>
      </c>
      <c r="K91" s="65">
        <f>SUM(K79:K90)</f>
        <v>0.99120879120879113</v>
      </c>
      <c r="L91" s="94">
        <f>SUM(L79:L90)</f>
        <v>451</v>
      </c>
      <c r="M91" s="676">
        <f>J91/L91</f>
        <v>1.7686917960088693</v>
      </c>
      <c r="N91" s="192"/>
    </row>
    <row r="92" spans="3:14" ht="16.5" thickTop="1" thickBot="1" x14ac:dyDescent="0.25">
      <c r="C92" s="191"/>
      <c r="D92" s="78" t="str">
        <f>HowItWorks!E57</f>
        <v>Independents</v>
      </c>
      <c r="E92" s="50">
        <f>HowItWorks!F58+HowItWorks!F59</f>
        <v>660000</v>
      </c>
      <c r="F92" s="51">
        <f>HowItWorks!G60-HowItWorks!G56</f>
        <v>4</v>
      </c>
      <c r="G92" s="71">
        <f>HowItWorks!K58+HowItWorks!K59</f>
        <v>9.1954022988505746E-3</v>
      </c>
      <c r="H92" s="429">
        <f>HowItWorks!J58+HowItWorks!J59</f>
        <v>4.2481977342945423E-3</v>
      </c>
      <c r="I92" s="184"/>
      <c r="J92" s="74">
        <f>IF(F92&gt;0,M91*F92,0)</f>
        <v>7.0747671840354771</v>
      </c>
      <c r="K92" s="93">
        <f>IF(J92="Excluded"," ",J92/J$93)</f>
        <v>8.7912087912087912E-3</v>
      </c>
      <c r="L92" s="95">
        <f>F92</f>
        <v>4</v>
      </c>
      <c r="M92" s="133">
        <f>IF(L92&gt;0,J91/L91,0)</f>
        <v>1.7686917960088693</v>
      </c>
      <c r="N92" s="194"/>
    </row>
    <row r="93" spans="3:14" ht="17.25" thickTop="1" thickBot="1" x14ac:dyDescent="0.25">
      <c r="C93" s="191"/>
      <c r="D93" s="19" t="str">
        <f>HowItWorks!E60</f>
        <v>Totals</v>
      </c>
      <c r="E93" s="20">
        <f>HowItWorks!F60</f>
        <v>155360000</v>
      </c>
      <c r="F93" s="21">
        <f>HowItWorks!G60</f>
        <v>435</v>
      </c>
      <c r="G93" s="72">
        <f>G92+G91</f>
        <v>1</v>
      </c>
      <c r="H93" s="72">
        <f>H92+H91</f>
        <v>0.99999999999999989</v>
      </c>
      <c r="I93" s="184"/>
      <c r="J93" s="75">
        <f>J92+J91</f>
        <v>804.75476718403559</v>
      </c>
      <c r="K93" s="66">
        <f>H93</f>
        <v>0.99999999999999989</v>
      </c>
      <c r="L93" s="481">
        <f>L92+L91</f>
        <v>455</v>
      </c>
      <c r="M93" s="482">
        <f>J93/L93</f>
        <v>1.7686917960088695</v>
      </c>
      <c r="N93" s="195"/>
    </row>
    <row r="94" spans="3:14" ht="15.75" thickTop="1" x14ac:dyDescent="0.2">
      <c r="C94" s="191"/>
      <c r="D94" s="196"/>
      <c r="E94" s="197"/>
      <c r="F94" s="196"/>
      <c r="G94" s="196"/>
      <c r="H94" s="196"/>
      <c r="I94" s="184"/>
      <c r="J94" s="196"/>
      <c r="K94" s="196"/>
      <c r="L94" s="196"/>
      <c r="M94" s="196"/>
      <c r="N94" s="198"/>
    </row>
    <row r="95" spans="3:14" ht="15" x14ac:dyDescent="0.2">
      <c r="C95" s="191"/>
      <c r="D95" s="184"/>
      <c r="E95" s="184"/>
      <c r="F95" s="185" t="s">
        <v>140</v>
      </c>
      <c r="G95" s="184"/>
      <c r="H95" s="184"/>
      <c r="I95" s="184"/>
      <c r="J95" s="184"/>
      <c r="K95" s="184"/>
      <c r="L95" s="184"/>
      <c r="M95" s="184"/>
      <c r="N95" s="192"/>
    </row>
    <row r="96" spans="3:14" x14ac:dyDescent="0.2">
      <c r="C96" s="191"/>
      <c r="D96" s="184"/>
      <c r="E96" s="184"/>
      <c r="F96" s="184"/>
      <c r="G96" s="184"/>
      <c r="H96" s="184"/>
      <c r="I96" s="184"/>
      <c r="J96" s="184"/>
      <c r="K96" s="184"/>
      <c r="L96" s="184"/>
      <c r="M96" s="184"/>
      <c r="N96" s="192"/>
    </row>
    <row r="97" spans="3:14" ht="5.25" customHeight="1" x14ac:dyDescent="0.2">
      <c r="C97" s="199"/>
      <c r="D97" s="200"/>
      <c r="E97" s="186"/>
      <c r="F97" s="186"/>
      <c r="G97" s="186"/>
      <c r="H97" s="186"/>
      <c r="I97" s="186"/>
      <c r="J97" s="186"/>
      <c r="K97" s="186"/>
      <c r="L97" s="186"/>
      <c r="M97" s="186"/>
      <c r="N97" s="201"/>
    </row>
    <row r="98" spans="3:14" ht="15.75" x14ac:dyDescent="0.25">
      <c r="D98" s="7"/>
    </row>
    <row r="99" spans="3:14" x14ac:dyDescent="0.2">
      <c r="D99" s="911" t="s">
        <v>190</v>
      </c>
      <c r="E99" s="703"/>
      <c r="F99" s="703"/>
      <c r="G99" s="703"/>
      <c r="H99" s="703"/>
      <c r="I99" s="703"/>
      <c r="J99" s="703"/>
      <c r="K99" s="703"/>
      <c r="L99" s="703"/>
      <c r="M99" s="703"/>
      <c r="N99" s="703"/>
    </row>
    <row r="100" spans="3:14" ht="19.5" customHeight="1" x14ac:dyDescent="0.2">
      <c r="D100" s="703"/>
      <c r="E100" s="703"/>
      <c r="F100" s="703"/>
      <c r="G100" s="703"/>
      <c r="H100" s="703"/>
      <c r="I100" s="703"/>
      <c r="J100" s="703"/>
      <c r="K100" s="703"/>
      <c r="L100" s="703"/>
      <c r="M100" s="703"/>
      <c r="N100" s="703"/>
    </row>
    <row r="104" spans="3:14" ht="20.25" x14ac:dyDescent="0.3">
      <c r="D104" s="391" t="s">
        <v>231</v>
      </c>
    </row>
    <row r="106" spans="3:14" ht="12.75" customHeight="1" x14ac:dyDescent="0.2">
      <c r="C106" s="927" t="s">
        <v>230</v>
      </c>
      <c r="D106" s="927"/>
      <c r="E106" s="927"/>
      <c r="F106" s="927"/>
      <c r="G106" s="927"/>
      <c r="H106" s="927"/>
      <c r="I106" s="927"/>
      <c r="J106" s="927"/>
      <c r="K106" s="927"/>
      <c r="L106" s="927"/>
      <c r="M106" s="927"/>
      <c r="N106" s="703"/>
    </row>
    <row r="107" spans="3:14" ht="36.75" customHeight="1" x14ac:dyDescent="0.2">
      <c r="C107" s="927"/>
      <c r="D107" s="927"/>
      <c r="E107" s="927"/>
      <c r="F107" s="927"/>
      <c r="G107" s="927"/>
      <c r="H107" s="927"/>
      <c r="I107" s="927"/>
      <c r="J107" s="927"/>
      <c r="K107" s="927"/>
      <c r="L107" s="927"/>
      <c r="M107" s="927"/>
      <c r="N107" s="703"/>
    </row>
    <row r="108" spans="3:14" ht="7.5" customHeight="1" x14ac:dyDescent="0.2">
      <c r="C108" s="651"/>
      <c r="D108" s="651"/>
      <c r="E108" s="651"/>
      <c r="F108" s="651"/>
      <c r="G108" s="651"/>
      <c r="H108" s="651"/>
      <c r="I108" s="651"/>
      <c r="J108" s="651"/>
      <c r="K108" s="651"/>
      <c r="L108" s="651"/>
      <c r="M108" s="651"/>
      <c r="N108" s="11"/>
    </row>
    <row r="109" spans="3:14" ht="15" x14ac:dyDescent="0.2">
      <c r="F109" s="595" t="s">
        <v>236</v>
      </c>
      <c r="G109" s="668">
        <f>HowItWorks!F28</f>
        <v>0.03</v>
      </c>
      <c r="H109" s="64" t="s">
        <v>226</v>
      </c>
      <c r="I109" s="64"/>
    </row>
    <row r="110" spans="3:14" ht="15" x14ac:dyDescent="0.2">
      <c r="F110" s="595" t="s">
        <v>225</v>
      </c>
      <c r="G110" s="607">
        <f>HowItWorks!H32</f>
        <v>20</v>
      </c>
      <c r="H110" s="64" t="s">
        <v>251</v>
      </c>
      <c r="I110" s="64"/>
    </row>
    <row r="111" spans="3:14" ht="15" x14ac:dyDescent="0.2">
      <c r="F111" s="484" t="s">
        <v>224</v>
      </c>
      <c r="G111" s="669">
        <f>HowItWorks!H35</f>
        <v>0.1</v>
      </c>
      <c r="H111" s="64" t="s">
        <v>223</v>
      </c>
      <c r="I111" s="64"/>
    </row>
    <row r="113" spans="4:14" ht="15" x14ac:dyDescent="0.2">
      <c r="D113" s="909" t="str">
        <f>D77</f>
        <v xml:space="preserve"> A National Election for the House of Representatives</v>
      </c>
      <c r="E113" s="916" t="s">
        <v>247</v>
      </c>
      <c r="F113" s="917"/>
      <c r="G113" s="917"/>
      <c r="H113" s="918"/>
      <c r="I113" s="912" t="s">
        <v>210</v>
      </c>
      <c r="J113" s="913"/>
      <c r="K113" s="913"/>
      <c r="L113" s="913"/>
      <c r="M113" s="913"/>
      <c r="N113" s="914"/>
    </row>
    <row r="114" spans="4:14" ht="14.25" x14ac:dyDescent="0.2">
      <c r="D114" s="909"/>
      <c r="E114" s="631" t="s">
        <v>196</v>
      </c>
      <c r="F114" s="632" t="s">
        <v>197</v>
      </c>
      <c r="G114" s="633" t="s">
        <v>198</v>
      </c>
      <c r="H114" s="631" t="s">
        <v>199</v>
      </c>
      <c r="I114" s="628" t="s">
        <v>200</v>
      </c>
      <c r="J114" s="629" t="s">
        <v>201</v>
      </c>
      <c r="K114" s="629" t="s">
        <v>202</v>
      </c>
      <c r="L114" s="629" t="s">
        <v>203</v>
      </c>
      <c r="M114" s="629" t="s">
        <v>204</v>
      </c>
      <c r="N114" s="630" t="s">
        <v>214</v>
      </c>
    </row>
    <row r="115" spans="4:14" ht="12.75" customHeight="1" x14ac:dyDescent="0.2">
      <c r="D115" s="909"/>
      <c r="E115" s="910" t="str">
        <f>E77</f>
        <v>Total Popular Vote</v>
      </c>
      <c r="F115" s="910" t="str">
        <f>F77</f>
        <v>No. of Members Elected</v>
      </c>
      <c r="G115" s="910" t="str">
        <f>H77</f>
        <v>% of Popular Vote</v>
      </c>
      <c r="H115" s="915" t="s">
        <v>213</v>
      </c>
      <c r="I115" s="919" t="s">
        <v>212</v>
      </c>
      <c r="J115" s="919" t="s">
        <v>192</v>
      </c>
      <c r="K115" s="919" t="s">
        <v>193</v>
      </c>
      <c r="L115" s="919" t="s">
        <v>194</v>
      </c>
      <c r="M115" s="919" t="s">
        <v>195</v>
      </c>
      <c r="N115" s="919" t="s">
        <v>127</v>
      </c>
    </row>
    <row r="116" spans="4:14" ht="16.5" customHeight="1" x14ac:dyDescent="0.2">
      <c r="E116" s="910"/>
      <c r="F116" s="910"/>
      <c r="G116" s="910"/>
      <c r="H116" s="915"/>
      <c r="I116" s="919"/>
      <c r="J116" s="919"/>
      <c r="K116" s="919"/>
      <c r="L116" s="919"/>
      <c r="M116" s="919"/>
      <c r="N116" s="919"/>
    </row>
    <row r="117" spans="4:14" ht="12.75" customHeight="1" x14ac:dyDescent="0.2">
      <c r="E117" s="910"/>
      <c r="F117" s="910"/>
      <c r="G117" s="910"/>
      <c r="H117" s="915"/>
      <c r="I117" s="919"/>
      <c r="J117" s="919"/>
      <c r="K117" s="919"/>
      <c r="L117" s="919"/>
      <c r="M117" s="919"/>
      <c r="N117" s="919"/>
    </row>
    <row r="118" spans="4:14" ht="15" x14ac:dyDescent="0.25">
      <c r="D118" s="624" t="str">
        <f>D79</f>
        <v>Lincoln Republicans</v>
      </c>
      <c r="E118" s="613">
        <f>E79</f>
        <v>25000000</v>
      </c>
      <c r="F118" s="614">
        <f>F79</f>
        <v>130</v>
      </c>
      <c r="G118" s="663">
        <f t="shared" ref="G118:G125" si="2">H79</f>
        <v>0.1609165808444902</v>
      </c>
      <c r="H118" s="664">
        <f t="shared" ref="H118:H125" si="3">G79</f>
        <v>0.2988505747126437</v>
      </c>
      <c r="I118" s="634" t="str">
        <f t="shared" ref="I118:J125" si="4">I79</f>
        <v xml:space="preserve"> !! </v>
      </c>
      <c r="J118" s="615">
        <f t="shared" si="4"/>
        <v>130</v>
      </c>
      <c r="K118" s="614">
        <f t="shared" ref="K118:K124" si="5">L118-F118</f>
        <v>0</v>
      </c>
      <c r="L118" s="616">
        <f t="shared" ref="L118:M124" si="6">L79</f>
        <v>130</v>
      </c>
      <c r="M118" s="615">
        <f t="shared" si="6"/>
        <v>1</v>
      </c>
      <c r="N118" s="653">
        <f t="shared" ref="N118:N125" si="7">J118/J$132</f>
        <v>0.16153989426479645</v>
      </c>
    </row>
    <row r="119" spans="4:14" ht="15" x14ac:dyDescent="0.25">
      <c r="D119" s="625" t="str">
        <f t="shared" ref="D119:E119" si="8">D80</f>
        <v>Democratic Party</v>
      </c>
      <c r="E119" s="617">
        <f t="shared" si="8"/>
        <v>35000000</v>
      </c>
      <c r="F119" s="610">
        <f t="shared" ref="F119:F128" si="9">F80</f>
        <v>135</v>
      </c>
      <c r="G119" s="657">
        <f t="shared" si="2"/>
        <v>0.22528321318228631</v>
      </c>
      <c r="H119" s="665">
        <f t="shared" si="3"/>
        <v>0.31034482758620691</v>
      </c>
      <c r="I119" s="635" t="str">
        <f t="shared" si="4"/>
        <v xml:space="preserve"> </v>
      </c>
      <c r="J119" s="611">
        <f t="shared" si="4"/>
        <v>181.99999999999997</v>
      </c>
      <c r="K119" s="610">
        <f t="shared" si="5"/>
        <v>0</v>
      </c>
      <c r="L119" s="612">
        <f t="shared" si="6"/>
        <v>135</v>
      </c>
      <c r="M119" s="611">
        <f t="shared" si="6"/>
        <v>1.3481481481481479</v>
      </c>
      <c r="N119" s="654">
        <f t="shared" si="7"/>
        <v>0.226155851970715</v>
      </c>
    </row>
    <row r="120" spans="4:14" ht="15" x14ac:dyDescent="0.25">
      <c r="D120" s="625" t="str">
        <f t="shared" ref="D120:E120" si="10">D81</f>
        <v>MAGA Party</v>
      </c>
      <c r="E120" s="617">
        <f t="shared" si="10"/>
        <v>25000000</v>
      </c>
      <c r="F120" s="610">
        <f t="shared" si="9"/>
        <v>70</v>
      </c>
      <c r="G120" s="657">
        <f t="shared" si="2"/>
        <v>0.1609165808444902</v>
      </c>
      <c r="H120" s="665">
        <f t="shared" si="3"/>
        <v>0.16091954022988506</v>
      </c>
      <c r="I120" s="635" t="str">
        <f t="shared" si="4"/>
        <v xml:space="preserve"> </v>
      </c>
      <c r="J120" s="611">
        <f t="shared" si="4"/>
        <v>130</v>
      </c>
      <c r="K120" s="610">
        <f t="shared" si="5"/>
        <v>0</v>
      </c>
      <c r="L120" s="612">
        <f t="shared" si="6"/>
        <v>70</v>
      </c>
      <c r="M120" s="611">
        <f t="shared" si="6"/>
        <v>1.8571428571428572</v>
      </c>
      <c r="N120" s="654">
        <f t="shared" si="7"/>
        <v>0.16153989426479645</v>
      </c>
    </row>
    <row r="121" spans="4:14" ht="15" x14ac:dyDescent="0.25">
      <c r="D121" s="625" t="str">
        <f t="shared" ref="D121:E121" si="11">D82</f>
        <v>Progressive Democratic Party</v>
      </c>
      <c r="E121" s="617">
        <f t="shared" si="11"/>
        <v>30000000</v>
      </c>
      <c r="F121" s="610">
        <f t="shared" si="9"/>
        <v>77</v>
      </c>
      <c r="G121" s="657">
        <f t="shared" si="2"/>
        <v>0.19309989701338826</v>
      </c>
      <c r="H121" s="665">
        <f t="shared" si="3"/>
        <v>0.17701149425287357</v>
      </c>
      <c r="I121" s="635" t="str">
        <f t="shared" si="4"/>
        <v xml:space="preserve"> </v>
      </c>
      <c r="J121" s="611">
        <f t="shared" si="4"/>
        <v>155.99999999999997</v>
      </c>
      <c r="K121" s="610">
        <f t="shared" si="5"/>
        <v>0</v>
      </c>
      <c r="L121" s="612">
        <f t="shared" si="6"/>
        <v>77</v>
      </c>
      <c r="M121" s="611">
        <f t="shared" si="6"/>
        <v>2.0259740259740258</v>
      </c>
      <c r="N121" s="654">
        <f t="shared" si="7"/>
        <v>0.19384787311775573</v>
      </c>
    </row>
    <row r="122" spans="4:14" ht="15" x14ac:dyDescent="0.25">
      <c r="D122" s="625" t="str">
        <f t="shared" ref="D122:E122" si="12">D83</f>
        <v>Green Party</v>
      </c>
      <c r="E122" s="617">
        <f t="shared" si="12"/>
        <v>15000000</v>
      </c>
      <c r="F122" s="610">
        <f t="shared" si="9"/>
        <v>8</v>
      </c>
      <c r="G122" s="657">
        <f t="shared" si="2"/>
        <v>9.6549948506694128E-2</v>
      </c>
      <c r="H122" s="665">
        <f t="shared" si="3"/>
        <v>1.8390804597701149E-2</v>
      </c>
      <c r="I122" s="635" t="str">
        <f t="shared" si="4"/>
        <v xml:space="preserve"> </v>
      </c>
      <c r="J122" s="611">
        <f t="shared" si="4"/>
        <v>77.999999999999986</v>
      </c>
      <c r="K122" s="610">
        <f t="shared" si="5"/>
        <v>8</v>
      </c>
      <c r="L122" s="612">
        <f t="shared" si="6"/>
        <v>16</v>
      </c>
      <c r="M122" s="611">
        <f t="shared" si="6"/>
        <v>4.8749999999999991</v>
      </c>
      <c r="N122" s="654">
        <f t="shared" si="7"/>
        <v>9.6923936558877863E-2</v>
      </c>
    </row>
    <row r="123" spans="4:14" ht="15" x14ac:dyDescent="0.25">
      <c r="D123" s="625" t="str">
        <f t="shared" ref="D123:E123" si="13">D84</f>
        <v>Libertarian Party</v>
      </c>
      <c r="E123" s="617">
        <f t="shared" si="13"/>
        <v>20000000</v>
      </c>
      <c r="F123" s="610">
        <f t="shared" si="9"/>
        <v>8</v>
      </c>
      <c r="G123" s="657">
        <f t="shared" si="2"/>
        <v>0.12873326467559218</v>
      </c>
      <c r="H123" s="665">
        <f t="shared" si="3"/>
        <v>1.8390804597701149E-2</v>
      </c>
      <c r="I123" s="635" t="str">
        <f t="shared" si="4"/>
        <v xml:space="preserve"> </v>
      </c>
      <c r="J123" s="611">
        <f t="shared" si="4"/>
        <v>104</v>
      </c>
      <c r="K123" s="610">
        <f t="shared" si="5"/>
        <v>11</v>
      </c>
      <c r="L123" s="612">
        <f>HowItWorks!T49</f>
        <v>19</v>
      </c>
      <c r="M123" s="611">
        <f t="shared" si="6"/>
        <v>5.4736842105263159</v>
      </c>
      <c r="N123" s="654">
        <f t="shared" si="7"/>
        <v>0.12923191541183718</v>
      </c>
    </row>
    <row r="124" spans="4:14" ht="15" x14ac:dyDescent="0.25">
      <c r="D124" s="625" t="str">
        <f>D85</f>
        <v>New West Party</v>
      </c>
      <c r="E124" s="617">
        <f>E85</f>
        <v>400000</v>
      </c>
      <c r="F124" s="610">
        <f t="shared" si="9"/>
        <v>1</v>
      </c>
      <c r="G124" s="657">
        <f t="shared" si="2"/>
        <v>2.5746652935118436E-3</v>
      </c>
      <c r="H124" s="665">
        <f t="shared" si="3"/>
        <v>2.2988505747126436E-3</v>
      </c>
      <c r="I124" s="635" t="str">
        <f t="shared" si="4"/>
        <v xml:space="preserve"> </v>
      </c>
      <c r="J124" s="611">
        <f t="shared" si="4"/>
        <v>2.0799999999999996</v>
      </c>
      <c r="K124" s="610">
        <f t="shared" si="5"/>
        <v>0</v>
      </c>
      <c r="L124" s="612">
        <f t="shared" si="6"/>
        <v>1</v>
      </c>
      <c r="M124" s="611">
        <f t="shared" si="6"/>
        <v>2.0799999999999996</v>
      </c>
      <c r="N124" s="654">
        <f t="shared" si="7"/>
        <v>2.5846383082367428E-3</v>
      </c>
    </row>
    <row r="125" spans="4:14" ht="15" x14ac:dyDescent="0.25">
      <c r="D125" s="625" t="str">
        <f>D86</f>
        <v>First Americans Party</v>
      </c>
      <c r="E125" s="617">
        <f>E86</f>
        <v>3000000</v>
      </c>
      <c r="F125" s="610">
        <f t="shared" si="9"/>
        <v>2</v>
      </c>
      <c r="G125" s="657">
        <f t="shared" si="2"/>
        <v>1.9309989701338827E-2</v>
      </c>
      <c r="H125" s="665">
        <f t="shared" si="3"/>
        <v>4.5977011494252873E-3</v>
      </c>
      <c r="I125" s="635" t="str">
        <f t="shared" si="4"/>
        <v xml:space="preserve"> </v>
      </c>
      <c r="J125" s="611">
        <f t="shared" ref="J125" si="14">J86</f>
        <v>15.6</v>
      </c>
      <c r="K125" s="610">
        <f t="shared" ref="K125" si="15">L125-F125</f>
        <v>1</v>
      </c>
      <c r="L125" s="612">
        <f t="shared" ref="L125" si="16">L86</f>
        <v>3</v>
      </c>
      <c r="M125" s="611">
        <f t="shared" ref="M125:M129" si="17">M86</f>
        <v>5.2</v>
      </c>
      <c r="N125" s="654">
        <f t="shared" si="7"/>
        <v>1.9384787311775575E-2</v>
      </c>
    </row>
    <row r="126" spans="4:14" ht="15" x14ac:dyDescent="0.25">
      <c r="D126" s="625" t="str">
        <f t="shared" ref="D126:E128" si="18">D87</f>
        <v>New Morality Party</v>
      </c>
      <c r="E126" s="617">
        <f t="shared" si="18"/>
        <v>800000</v>
      </c>
      <c r="F126" s="610">
        <f t="shared" si="9"/>
        <v>0</v>
      </c>
      <c r="G126" s="657">
        <f t="shared" ref="G126:G128" si="19">H87</f>
        <v>5.1493305870236872E-3</v>
      </c>
      <c r="H126" s="665">
        <f t="shared" ref="H126:H128" si="20">G87</f>
        <v>0</v>
      </c>
      <c r="I126" s="635" t="str">
        <f t="shared" ref="I126:J126" si="21">I87</f>
        <v xml:space="preserve"> </v>
      </c>
      <c r="J126" s="611">
        <f t="shared" si="21"/>
        <v>0</v>
      </c>
      <c r="K126" s="610">
        <f>HowItWorks!S52</f>
        <v>0</v>
      </c>
      <c r="L126" s="612">
        <f>HowItWorks!T52</f>
        <v>0</v>
      </c>
      <c r="M126" s="611">
        <f t="shared" si="17"/>
        <v>0</v>
      </c>
      <c r="N126" s="654">
        <f t="shared" ref="N126:N128" si="22">J126/J$132</f>
        <v>0</v>
      </c>
    </row>
    <row r="127" spans="4:14" ht="15" x14ac:dyDescent="0.25">
      <c r="D127" s="625" t="str">
        <f t="shared" si="18"/>
        <v>Other New Party</v>
      </c>
      <c r="E127" s="617">
        <f t="shared" si="18"/>
        <v>400000</v>
      </c>
      <c r="F127" s="610">
        <f t="shared" si="9"/>
        <v>0</v>
      </c>
      <c r="G127" s="657">
        <f t="shared" si="19"/>
        <v>2.5746652935118436E-3</v>
      </c>
      <c r="H127" s="665">
        <f t="shared" si="20"/>
        <v>0</v>
      </c>
      <c r="I127" s="635" t="str">
        <f t="shared" ref="I127:J127" si="23">I88</f>
        <v xml:space="preserve"> </v>
      </c>
      <c r="J127" s="611">
        <f t="shared" si="23"/>
        <v>0</v>
      </c>
      <c r="K127" s="610">
        <f>HowItWorks!S53</f>
        <v>0</v>
      </c>
      <c r="L127" s="612">
        <f>HowItWorks!T53</f>
        <v>0</v>
      </c>
      <c r="M127" s="611">
        <f t="shared" si="17"/>
        <v>0</v>
      </c>
      <c r="N127" s="654">
        <f t="shared" si="22"/>
        <v>0</v>
      </c>
    </row>
    <row r="128" spans="4:14" ht="15" x14ac:dyDescent="0.25">
      <c r="D128" s="625">
        <f t="shared" si="18"/>
        <v>0</v>
      </c>
      <c r="E128" s="617">
        <f t="shared" si="18"/>
        <v>0</v>
      </c>
      <c r="F128" s="610">
        <f t="shared" si="9"/>
        <v>0</v>
      </c>
      <c r="G128" s="657">
        <f t="shared" si="19"/>
        <v>0</v>
      </c>
      <c r="H128" s="665">
        <f t="shared" si="20"/>
        <v>0</v>
      </c>
      <c r="I128" s="635" t="str">
        <f t="shared" ref="I128:J128" si="24">I89</f>
        <v xml:space="preserve"> </v>
      </c>
      <c r="J128" s="611">
        <f t="shared" si="24"/>
        <v>0</v>
      </c>
      <c r="K128" s="610">
        <f>HowItWorks!S54</f>
        <v>0</v>
      </c>
      <c r="L128" s="612">
        <f>HowItWorks!T54</f>
        <v>0</v>
      </c>
      <c r="M128" s="611">
        <f t="shared" si="17"/>
        <v>0</v>
      </c>
      <c r="N128" s="654">
        <f t="shared" si="22"/>
        <v>0</v>
      </c>
    </row>
    <row r="129" spans="3:14" ht="15" x14ac:dyDescent="0.25">
      <c r="D129" s="625" t="str">
        <f>D90</f>
        <v>Other (non-winning) parties*</v>
      </c>
      <c r="E129" s="618">
        <f>E90</f>
        <v>100000</v>
      </c>
      <c r="F129" s="609">
        <f>F90</f>
        <v>0</v>
      </c>
      <c r="G129" s="666">
        <f>H87</f>
        <v>5.1493305870236872E-3</v>
      </c>
      <c r="H129" s="667">
        <f>G87</f>
        <v>0</v>
      </c>
      <c r="I129" s="636"/>
      <c r="J129" s="611">
        <f t="shared" ref="J129" si="25">J90</f>
        <v>0</v>
      </c>
      <c r="K129" s="610">
        <f>HowItWorks!S55</f>
        <v>0</v>
      </c>
      <c r="L129" s="612">
        <f>HowItWorks!T55</f>
        <v>0</v>
      </c>
      <c r="M129" s="611">
        <f t="shared" si="17"/>
        <v>0</v>
      </c>
      <c r="N129" s="655">
        <f t="shared" ref="N129:N131" si="26">J129/J$130</f>
        <v>0</v>
      </c>
    </row>
    <row r="130" spans="3:14" ht="15" x14ac:dyDescent="0.25">
      <c r="D130" s="626" t="s">
        <v>205</v>
      </c>
      <c r="E130" s="617">
        <f>SUM(E118:E129)</f>
        <v>154700000</v>
      </c>
      <c r="F130" s="610">
        <f>SUM(F118:F129)</f>
        <v>431</v>
      </c>
      <c r="G130" s="656">
        <f>SUM(G118:G129)</f>
        <v>1.0002574665293511</v>
      </c>
      <c r="H130" s="654">
        <f>SUM(H118:H129)</f>
        <v>0.99080459770114948</v>
      </c>
      <c r="I130" s="635" t="str">
        <f>I86</f>
        <v xml:space="preserve"> </v>
      </c>
      <c r="J130" s="615">
        <f>SUM(J118:J129)</f>
        <v>797.68000000000006</v>
      </c>
      <c r="K130" s="614">
        <f>SUM(K118:K129)</f>
        <v>20</v>
      </c>
      <c r="L130" s="616">
        <f>SUM(L118:L129)</f>
        <v>451</v>
      </c>
      <c r="M130" s="615">
        <f>J130/L130</f>
        <v>1.7686917960088693</v>
      </c>
      <c r="N130" s="653">
        <f>SUM(N118:N125)</f>
        <v>0.99120879120879113</v>
      </c>
    </row>
    <row r="131" spans="3:14" ht="14.25" x14ac:dyDescent="0.2">
      <c r="D131" s="625" t="s">
        <v>0</v>
      </c>
      <c r="E131" s="619">
        <f>E92</f>
        <v>660000</v>
      </c>
      <c r="F131" s="610">
        <f>F92</f>
        <v>4</v>
      </c>
      <c r="G131" s="657">
        <f>H92</f>
        <v>4.2481977342945423E-3</v>
      </c>
      <c r="H131" s="659">
        <f>H92</f>
        <v>4.2481977342945423E-3</v>
      </c>
      <c r="I131" s="637"/>
      <c r="J131" s="620">
        <f>J92</f>
        <v>7.0747671840354771</v>
      </c>
      <c r="K131" s="621">
        <v>0</v>
      </c>
      <c r="L131" s="622">
        <f>L92</f>
        <v>4</v>
      </c>
      <c r="M131" s="620">
        <f>M93</f>
        <v>1.7686917960088695</v>
      </c>
      <c r="N131" s="654">
        <f t="shared" si="26"/>
        <v>8.869179600886918E-3</v>
      </c>
    </row>
    <row r="132" spans="3:14" ht="18.75" customHeight="1" x14ac:dyDescent="0.2">
      <c r="D132" s="627" t="s">
        <v>209</v>
      </c>
      <c r="E132" s="638">
        <f>E131+E130</f>
        <v>155360000</v>
      </c>
      <c r="F132" s="639">
        <f>F131+F130</f>
        <v>435</v>
      </c>
      <c r="G132" s="658">
        <f>G131+G130</f>
        <v>1.0045056642636456</v>
      </c>
      <c r="H132" s="660">
        <f>F132/F$132</f>
        <v>1</v>
      </c>
      <c r="I132" s="640"/>
      <c r="J132" s="641">
        <f t="shared" ref="J132:L132" si="27">J131+J130</f>
        <v>804.75476718403559</v>
      </c>
      <c r="K132" s="642">
        <f t="shared" si="27"/>
        <v>20</v>
      </c>
      <c r="L132" s="643">
        <f t="shared" si="27"/>
        <v>455</v>
      </c>
      <c r="M132" s="641">
        <f>J132/L132</f>
        <v>1.7686917960088695</v>
      </c>
      <c r="N132" s="652">
        <f>N131+N130</f>
        <v>1.0000779708096781</v>
      </c>
    </row>
    <row r="133" spans="3:14" ht="10.5" customHeight="1" x14ac:dyDescent="0.2">
      <c r="N133" s="623" t="s">
        <v>208</v>
      </c>
    </row>
    <row r="134" spans="3:14" ht="14.25" x14ac:dyDescent="0.2">
      <c r="C134" s="645" t="s">
        <v>196</v>
      </c>
      <c r="D134" s="644" t="s">
        <v>211</v>
      </c>
      <c r="E134" s="644"/>
      <c r="F134" s="644"/>
      <c r="G134" s="644"/>
      <c r="H134" s="644"/>
      <c r="I134" s="644"/>
      <c r="J134" s="644"/>
      <c r="K134" s="644"/>
      <c r="L134" s="52"/>
      <c r="M134" s="52"/>
    </row>
    <row r="135" spans="3:14" ht="14.25" x14ac:dyDescent="0.2">
      <c r="C135" s="645" t="s">
        <v>197</v>
      </c>
      <c r="D135" s="644" t="s">
        <v>206</v>
      </c>
      <c r="E135" s="644"/>
      <c r="F135" s="644"/>
      <c r="G135" s="644"/>
      <c r="H135" s="644"/>
      <c r="I135" s="644"/>
      <c r="J135" s="644"/>
      <c r="K135" s="644"/>
      <c r="L135" s="52"/>
      <c r="M135" s="52"/>
    </row>
    <row r="136" spans="3:14" ht="14.25" x14ac:dyDescent="0.2">
      <c r="C136" s="645" t="s">
        <v>198</v>
      </c>
      <c r="D136" s="644" t="s">
        <v>216</v>
      </c>
      <c r="E136" s="644"/>
      <c r="F136" s="644"/>
      <c r="G136" s="644"/>
      <c r="H136" s="644"/>
      <c r="I136" s="644"/>
      <c r="J136" s="644"/>
      <c r="K136" s="644"/>
      <c r="L136" s="52"/>
      <c r="M136" s="52"/>
    </row>
    <row r="137" spans="3:14" ht="14.25" x14ac:dyDescent="0.2">
      <c r="C137" s="650" t="s">
        <v>199</v>
      </c>
      <c r="D137" s="644" t="s">
        <v>217</v>
      </c>
      <c r="E137" s="644"/>
      <c r="F137" s="644"/>
      <c r="G137" s="644"/>
      <c r="H137" s="644"/>
      <c r="I137" s="644"/>
      <c r="J137" s="644"/>
      <c r="K137" s="644"/>
      <c r="L137" s="52"/>
      <c r="M137" s="52"/>
    </row>
    <row r="138" spans="3:14" ht="14.25" x14ac:dyDescent="0.2">
      <c r="C138" s="646" t="s">
        <v>200</v>
      </c>
      <c r="D138" s="908" t="s">
        <v>220</v>
      </c>
      <c r="E138" s="908"/>
      <c r="F138" s="908"/>
      <c r="G138" s="908"/>
      <c r="H138" s="908"/>
      <c r="I138" s="908"/>
      <c r="J138" s="908"/>
      <c r="K138" s="908"/>
      <c r="L138" s="705"/>
      <c r="M138" s="705"/>
      <c r="N138" s="703"/>
    </row>
    <row r="139" spans="3:14" ht="15.75" customHeight="1" x14ac:dyDescent="0.2">
      <c r="C139" s="646"/>
      <c r="D139" s="908"/>
      <c r="E139" s="908"/>
      <c r="F139" s="908"/>
      <c r="G139" s="908"/>
      <c r="H139" s="908"/>
      <c r="I139" s="908"/>
      <c r="J139" s="908"/>
      <c r="K139" s="908"/>
      <c r="L139" s="705"/>
      <c r="M139" s="705"/>
      <c r="N139" s="703"/>
    </row>
    <row r="140" spans="3:14" ht="14.25" x14ac:dyDescent="0.2">
      <c r="C140" s="646" t="s">
        <v>201</v>
      </c>
      <c r="D140" s="908" t="s">
        <v>221</v>
      </c>
      <c r="E140" s="908"/>
      <c r="F140" s="908"/>
      <c r="G140" s="908"/>
      <c r="H140" s="908"/>
      <c r="I140" s="908"/>
      <c r="J140" s="908"/>
      <c r="K140" s="908"/>
      <c r="L140" s="705"/>
      <c r="M140" s="705"/>
      <c r="N140" s="703"/>
    </row>
    <row r="141" spans="3:14" ht="14.25" x14ac:dyDescent="0.2">
      <c r="C141" s="646"/>
      <c r="D141" s="908"/>
      <c r="E141" s="908"/>
      <c r="F141" s="908"/>
      <c r="G141" s="908"/>
      <c r="H141" s="908"/>
      <c r="I141" s="908"/>
      <c r="J141" s="908"/>
      <c r="K141" s="908"/>
      <c r="L141" s="705"/>
      <c r="M141" s="705"/>
      <c r="N141" s="703"/>
    </row>
    <row r="142" spans="3:14" ht="16.5" customHeight="1" x14ac:dyDescent="0.2">
      <c r="C142" s="647" t="s">
        <v>202</v>
      </c>
      <c r="D142" s="908" t="s">
        <v>222</v>
      </c>
      <c r="E142" s="705"/>
      <c r="F142" s="705"/>
      <c r="G142" s="705"/>
      <c r="H142" s="705"/>
      <c r="I142" s="705"/>
      <c r="J142" s="705"/>
      <c r="K142" s="705"/>
      <c r="L142" s="705"/>
      <c r="M142" s="705"/>
      <c r="N142" s="703"/>
    </row>
    <row r="143" spans="3:14" x14ac:dyDescent="0.2">
      <c r="C143" s="648"/>
      <c r="D143" s="705"/>
      <c r="E143" s="705"/>
      <c r="F143" s="705"/>
      <c r="G143" s="705"/>
      <c r="H143" s="705"/>
      <c r="I143" s="705"/>
      <c r="J143" s="705"/>
      <c r="K143" s="705"/>
      <c r="L143" s="705"/>
      <c r="M143" s="705"/>
      <c r="N143" s="703"/>
    </row>
    <row r="144" spans="3:14" ht="16.5" customHeight="1" x14ac:dyDescent="0.2">
      <c r="C144" s="646" t="s">
        <v>203</v>
      </c>
      <c r="D144" s="644" t="s">
        <v>207</v>
      </c>
      <c r="E144" s="644"/>
      <c r="F144" s="644"/>
      <c r="G144" s="644"/>
      <c r="H144" s="644"/>
      <c r="I144" s="644"/>
      <c r="J144" s="644"/>
      <c r="K144" s="644"/>
      <c r="L144" s="52"/>
      <c r="M144" s="52"/>
    </row>
    <row r="145" spans="3:14" ht="17.25" customHeight="1" x14ac:dyDescent="0.2">
      <c r="C145" s="646" t="s">
        <v>204</v>
      </c>
      <c r="D145" s="908" t="s">
        <v>215</v>
      </c>
      <c r="E145" s="705"/>
      <c r="F145" s="705"/>
      <c r="G145" s="705"/>
      <c r="H145" s="705"/>
      <c r="I145" s="705"/>
      <c r="J145" s="705"/>
      <c r="K145" s="705"/>
      <c r="L145" s="705"/>
      <c r="M145" s="705"/>
      <c r="N145" s="703"/>
    </row>
    <row r="146" spans="3:14" x14ac:dyDescent="0.2">
      <c r="C146" s="648"/>
      <c r="D146" s="705"/>
      <c r="E146" s="705"/>
      <c r="F146" s="705"/>
      <c r="G146" s="705"/>
      <c r="H146" s="705"/>
      <c r="I146" s="705"/>
      <c r="J146" s="705"/>
      <c r="K146" s="705"/>
      <c r="L146" s="705"/>
      <c r="M146" s="705"/>
      <c r="N146" s="703"/>
    </row>
    <row r="147" spans="3:14" x14ac:dyDescent="0.2">
      <c r="C147" s="649" t="s">
        <v>214</v>
      </c>
      <c r="D147" s="908" t="s">
        <v>219</v>
      </c>
      <c r="E147" s="705"/>
      <c r="F147" s="705"/>
      <c r="G147" s="705"/>
      <c r="H147" s="705"/>
      <c r="I147" s="705"/>
      <c r="J147" s="705"/>
      <c r="K147" s="705"/>
      <c r="L147" s="705"/>
      <c r="M147" s="705"/>
      <c r="N147" s="703"/>
    </row>
    <row r="148" spans="3:14" ht="14.25" x14ac:dyDescent="0.2">
      <c r="C148" s="646"/>
      <c r="D148" s="705"/>
      <c r="E148" s="705"/>
      <c r="F148" s="705"/>
      <c r="G148" s="705"/>
      <c r="H148" s="705"/>
      <c r="I148" s="705"/>
      <c r="J148" s="705"/>
      <c r="K148" s="705"/>
      <c r="L148" s="705"/>
      <c r="M148" s="705"/>
      <c r="N148" s="703"/>
    </row>
    <row r="149" spans="3:14" ht="14.25" x14ac:dyDescent="0.2">
      <c r="C149" s="134"/>
      <c r="D149" s="134"/>
      <c r="E149" s="134"/>
      <c r="F149" s="134"/>
      <c r="G149" s="134"/>
      <c r="H149" s="134"/>
      <c r="I149" s="134"/>
      <c r="J149" s="134"/>
      <c r="K149" s="134"/>
      <c r="L149" s="134"/>
      <c r="N149" s="670" t="s">
        <v>253</v>
      </c>
    </row>
    <row r="152" spans="3:14" ht="15" customHeight="1" x14ac:dyDescent="0.2"/>
  </sheetData>
  <customSheetViews>
    <customSheetView guid="{828C1003-5BBC-4D2D-BF7A-3218457CB106}" showPageBreaks="1" showGridLines="0" fitToPage="1" printArea="1" topLeftCell="E61">
      <selection activeCell="I74" sqref="I74"/>
      <rowBreaks count="1" manualBreakCount="1">
        <brk id="27" min="2" max="11" man="1"/>
      </rowBreaks>
      <pageMargins left="0.75" right="0.75" top="0.5" bottom="0.5" header="0" footer="0"/>
      <printOptions horizontalCentered="1" verticalCentered="1"/>
      <pageSetup scale="96" orientation="landscape" r:id="rId1"/>
      <headerFooter alignWithMargins="0"/>
    </customSheetView>
  </customSheetViews>
  <mergeCells count="59">
    <mergeCell ref="D9:L9"/>
    <mergeCell ref="D10:L10"/>
    <mergeCell ref="D11:L11"/>
    <mergeCell ref="D12:L12"/>
    <mergeCell ref="D33:L35"/>
    <mergeCell ref="D23:L23"/>
    <mergeCell ref="D25:L25"/>
    <mergeCell ref="D27:L27"/>
    <mergeCell ref="C67:N67"/>
    <mergeCell ref="D37:L39"/>
    <mergeCell ref="D41:L41"/>
    <mergeCell ref="D43:L43"/>
    <mergeCell ref="D45:L45"/>
    <mergeCell ref="D77:D78"/>
    <mergeCell ref="M77:M78"/>
    <mergeCell ref="J77:K78"/>
    <mergeCell ref="C106:N107"/>
    <mergeCell ref="D76:H76"/>
    <mergeCell ref="J76:M76"/>
    <mergeCell ref="E77:E78"/>
    <mergeCell ref="F77:F78"/>
    <mergeCell ref="H77:H78"/>
    <mergeCell ref="G77:G78"/>
    <mergeCell ref="L77:L78"/>
    <mergeCell ref="D113:D115"/>
    <mergeCell ref="E115:E117"/>
    <mergeCell ref="F115:F117"/>
    <mergeCell ref="G115:G117"/>
    <mergeCell ref="D99:N100"/>
    <mergeCell ref="I113:N113"/>
    <mergeCell ref="H115:H117"/>
    <mergeCell ref="E113:H113"/>
    <mergeCell ref="N115:N117"/>
    <mergeCell ref="J115:J117"/>
    <mergeCell ref="K115:K117"/>
    <mergeCell ref="I115:I117"/>
    <mergeCell ref="L115:L117"/>
    <mergeCell ref="M115:M117"/>
    <mergeCell ref="D140:N141"/>
    <mergeCell ref="D138:N139"/>
    <mergeCell ref="D142:N143"/>
    <mergeCell ref="D145:N146"/>
    <mergeCell ref="D147:N148"/>
    <mergeCell ref="B3:M3"/>
    <mergeCell ref="D59:L59"/>
    <mergeCell ref="D61:L61"/>
    <mergeCell ref="D63:L63"/>
    <mergeCell ref="D47:L47"/>
    <mergeCell ref="D49:L49"/>
    <mergeCell ref="D51:L51"/>
    <mergeCell ref="D53:L53"/>
    <mergeCell ref="D55:L55"/>
    <mergeCell ref="D29:L29"/>
    <mergeCell ref="D17:L17"/>
    <mergeCell ref="D19:L19"/>
    <mergeCell ref="D21:L21"/>
    <mergeCell ref="D57:L57"/>
    <mergeCell ref="K5:M5"/>
    <mergeCell ref="D4:M4"/>
  </mergeCells>
  <phoneticPr fontId="2" type="noConversion"/>
  <hyperlinks>
    <hyperlink ref="K5" r:id="rId2" xr:uid="{F5D393AA-7BBF-47CC-B9F8-44FD89E9C7E0}"/>
  </hyperlinks>
  <printOptions horizontalCentered="1" verticalCentered="1"/>
  <pageMargins left="0.75" right="0.75" top="0.5" bottom="0.5" header="0" footer="0"/>
  <pageSetup scale="96" orientation="landscape" r:id="rId3"/>
  <headerFooter alignWithMargins="0"/>
  <ignoredErrors>
    <ignoredError sqref="M92 K118:K125 M131:M132 N130 H118:H119 H120:H125 G131 L123" formula="1"/>
  </ignoredError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HowItWorks</vt:lpstr>
      <vt:lpstr>SUMMARY</vt:lpstr>
      <vt:lpstr>A_National_General_Election</vt:lpstr>
      <vt:lpstr>HowItWorks!Print_Area</vt:lpstr>
    </vt:vector>
  </TitlesOfParts>
  <Company>stillich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stillich</dc:creator>
  <cp:lastModifiedBy>John Stillich</cp:lastModifiedBy>
  <cp:lastPrinted>2023-10-25T16:59:17Z</cp:lastPrinted>
  <dcterms:created xsi:type="dcterms:W3CDTF">2000-11-28T18:00:42Z</dcterms:created>
  <dcterms:modified xsi:type="dcterms:W3CDTF">2025-11-28T23:59:52Z</dcterms:modified>
</cp:coreProperties>
</file>