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hiLe\Downloads\"/>
    </mc:Choice>
  </mc:AlternateContent>
  <xr:revisionPtr revIDLastSave="0" documentId="13_ncr:1_{1FD48BF5-6AAD-4087-9D5C-F1BE0C52BD35}" xr6:coauthVersionLast="47" xr6:coauthVersionMax="47" xr10:uidLastSave="{00000000-0000-0000-0000-000000000000}"/>
  <bookViews>
    <workbookView xWindow="-120" yWindow="-120" windowWidth="29040" windowHeight="15720" tabRatio="881" firstSheet="3" activeTab="11" xr2:uid="{00000000-000D-0000-FFFF-FFFF00000000}"/>
  </bookViews>
  <sheets>
    <sheet name="Guide" sheetId="1" r:id="rId1"/>
    <sheet name="0. Dashboard" sheetId="2" r:id="rId2"/>
    <sheet name="1. Inputs &amp; Scenarios" sheetId="3" r:id="rId3"/>
    <sheet name="2. Technical Engine" sheetId="4" r:id="rId4"/>
    <sheet name="3. Construction &amp; S&amp;U" sheetId="5" r:id="rId5"/>
    <sheet name="4. Revenue &amp; OpEx" sheetId="6" r:id="rId6"/>
    <sheet name="5. Tax &amp; ITC" sheetId="7" r:id="rId7"/>
    <sheet name="6. Debt Engine" sheetId="8" r:id="rId8"/>
    <sheet name="7. TE Flip" sheetId="9" r:id="rId9"/>
    <sheet name="8. Cash Waterfall" sheetId="10" r:id="rId10"/>
    <sheet name="9. Covenants" sheetId="11" r:id="rId11"/>
    <sheet name="10. Insurance &amp; PML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2" l="1"/>
  <c r="H38" i="12"/>
  <c r="C39" i="12"/>
  <c r="C38" i="12"/>
  <c r="B9" i="5"/>
  <c r="I31" i="2"/>
  <c r="J31" i="2" s="1"/>
  <c r="K31" i="2" s="1"/>
  <c r="I27" i="2"/>
  <c r="G38" i="12"/>
  <c r="B38" i="12"/>
  <c r="I28" i="2" l="1"/>
  <c r="J28" i="2" s="1"/>
  <c r="K28" i="2" s="1"/>
  <c r="J27" i="2"/>
  <c r="H30" i="12"/>
  <c r="H31" i="12" s="1"/>
  <c r="H26" i="12"/>
  <c r="G30" i="12"/>
  <c r="G31" i="12" s="1"/>
  <c r="G26" i="12"/>
  <c r="C30" i="12"/>
  <c r="B30" i="12"/>
  <c r="B31" i="12" s="1"/>
  <c r="C26" i="12"/>
  <c r="C27" i="12" s="1"/>
  <c r="B26" i="12"/>
  <c r="B27" i="12" s="1"/>
  <c r="D15" i="12"/>
  <c r="D14" i="12"/>
  <c r="D13" i="12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D41" i="9"/>
  <c r="D37" i="9"/>
  <c r="D36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E31" i="8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B31" i="8"/>
  <c r="E27" i="8"/>
  <c r="E26" i="8"/>
  <c r="C8" i="8"/>
  <c r="F8" i="8" s="1"/>
  <c r="C12" i="7"/>
  <c r="C9" i="7"/>
  <c r="C8" i="7"/>
  <c r="J9" i="6"/>
  <c r="I9" i="6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H9" i="6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G9" i="6"/>
  <c r="F9" i="6"/>
  <c r="F10" i="6" s="1"/>
  <c r="K8" i="6"/>
  <c r="B26" i="5"/>
  <c r="B25" i="5"/>
  <c r="B20" i="5"/>
  <c r="B19" i="5"/>
  <c r="B18" i="5"/>
  <c r="B17" i="5"/>
  <c r="C47" i="4"/>
  <c r="C46" i="4"/>
  <c r="I27" i="4"/>
  <c r="H27" i="4"/>
  <c r="D27" i="4"/>
  <c r="C27" i="4"/>
  <c r="I26" i="4"/>
  <c r="H26" i="4"/>
  <c r="D26" i="4"/>
  <c r="C26" i="4"/>
  <c r="I25" i="4"/>
  <c r="H25" i="4"/>
  <c r="D25" i="4"/>
  <c r="C25" i="4"/>
  <c r="I24" i="4"/>
  <c r="H24" i="4"/>
  <c r="D24" i="4"/>
  <c r="C24" i="4"/>
  <c r="I23" i="4"/>
  <c r="H23" i="4"/>
  <c r="D23" i="4"/>
  <c r="C23" i="4"/>
  <c r="I22" i="4"/>
  <c r="H22" i="4"/>
  <c r="D22" i="4"/>
  <c r="C22" i="4"/>
  <c r="I21" i="4"/>
  <c r="H21" i="4"/>
  <c r="D21" i="4"/>
  <c r="C21" i="4"/>
  <c r="I20" i="4"/>
  <c r="H20" i="4"/>
  <c r="D20" i="4"/>
  <c r="C20" i="4"/>
  <c r="I19" i="4"/>
  <c r="H19" i="4"/>
  <c r="D19" i="4"/>
  <c r="C19" i="4"/>
  <c r="I18" i="4"/>
  <c r="H18" i="4"/>
  <c r="D18" i="4"/>
  <c r="C18" i="4"/>
  <c r="I17" i="4"/>
  <c r="H17" i="4"/>
  <c r="D17" i="4"/>
  <c r="C17" i="4"/>
  <c r="I16" i="4"/>
  <c r="H16" i="4"/>
  <c r="D16" i="4"/>
  <c r="C16" i="4"/>
  <c r="I15" i="4"/>
  <c r="H15" i="4"/>
  <c r="D15" i="4"/>
  <c r="C15" i="4"/>
  <c r="I14" i="4"/>
  <c r="H14" i="4"/>
  <c r="D14" i="4"/>
  <c r="C14" i="4"/>
  <c r="I13" i="4"/>
  <c r="H13" i="4"/>
  <c r="D13" i="4"/>
  <c r="C13" i="4"/>
  <c r="I12" i="4"/>
  <c r="H12" i="4"/>
  <c r="D12" i="4"/>
  <c r="C12" i="4"/>
  <c r="I11" i="4"/>
  <c r="H11" i="4"/>
  <c r="D11" i="4"/>
  <c r="C11" i="4"/>
  <c r="I10" i="4"/>
  <c r="H10" i="4"/>
  <c r="D10" i="4"/>
  <c r="C10" i="4"/>
  <c r="I9" i="4"/>
  <c r="H9" i="4"/>
  <c r="D9" i="4"/>
  <c r="C9" i="4"/>
  <c r="I8" i="4"/>
  <c r="H8" i="4"/>
  <c r="F8" i="4"/>
  <c r="F26" i="4" s="1"/>
  <c r="D26" i="6" s="1"/>
  <c r="E8" i="4"/>
  <c r="E27" i="4" s="1"/>
  <c r="B8" i="4"/>
  <c r="B8" i="8" s="1"/>
  <c r="B33" i="3"/>
  <c r="B22" i="3"/>
  <c r="B21" i="2" s="1"/>
  <c r="B31" i="2"/>
  <c r="C31" i="2" s="1"/>
  <c r="D31" i="2" s="1"/>
  <c r="B27" i="2"/>
  <c r="B28" i="2" s="1"/>
  <c r="C28" i="2" s="1"/>
  <c r="D28" i="2" s="1"/>
  <c r="B22" i="2"/>
  <c r="B20" i="2"/>
  <c r="E10" i="2"/>
  <c r="E14" i="2" l="1"/>
  <c r="B23" i="2"/>
  <c r="C22" i="2" s="1"/>
  <c r="B13" i="5"/>
  <c r="B31" i="5"/>
  <c r="F10" i="4"/>
  <c r="D10" i="6" s="1"/>
  <c r="I29" i="2"/>
  <c r="I32" i="2" s="1"/>
  <c r="J29" i="2"/>
  <c r="K27" i="2"/>
  <c r="I31" i="12"/>
  <c r="I26" i="12"/>
  <c r="G27" i="12"/>
  <c r="G28" i="12" s="1"/>
  <c r="G32" i="12" s="1"/>
  <c r="H27" i="12"/>
  <c r="H28" i="12" s="1"/>
  <c r="I30" i="12"/>
  <c r="D30" i="12"/>
  <c r="C31" i="12"/>
  <c r="D31" i="12" s="1"/>
  <c r="K9" i="6"/>
  <c r="C10" i="10" s="1"/>
  <c r="G8" i="4"/>
  <c r="C27" i="6"/>
  <c r="F11" i="6"/>
  <c r="F11" i="4"/>
  <c r="D11" i="6" s="1"/>
  <c r="F13" i="4"/>
  <c r="D13" i="6" s="1"/>
  <c r="F15" i="4"/>
  <c r="D15" i="6" s="1"/>
  <c r="F19" i="4"/>
  <c r="D19" i="6" s="1"/>
  <c r="F24" i="4"/>
  <c r="D24" i="6" s="1"/>
  <c r="H28" i="6"/>
  <c r="B8" i="6"/>
  <c r="J10" i="6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C8" i="6"/>
  <c r="B29" i="2"/>
  <c r="B32" i="2" s="1"/>
  <c r="D32" i="9"/>
  <c r="G8" i="9"/>
  <c r="B9" i="4"/>
  <c r="D8" i="6"/>
  <c r="C10" i="7"/>
  <c r="F27" i="4"/>
  <c r="D27" i="6" s="1"/>
  <c r="B21" i="5"/>
  <c r="C20" i="5" s="1"/>
  <c r="C9" i="10"/>
  <c r="F9" i="4"/>
  <c r="D9" i="6" s="1"/>
  <c r="F12" i="4"/>
  <c r="D12" i="6" s="1"/>
  <c r="F14" i="4"/>
  <c r="D14" i="6" s="1"/>
  <c r="F16" i="4"/>
  <c r="D16" i="6" s="1"/>
  <c r="F17" i="4"/>
  <c r="D17" i="6" s="1"/>
  <c r="F18" i="4"/>
  <c r="D18" i="6" s="1"/>
  <c r="F20" i="4"/>
  <c r="D20" i="6" s="1"/>
  <c r="F21" i="4"/>
  <c r="D21" i="6" s="1"/>
  <c r="F22" i="4"/>
  <c r="D22" i="6" s="1"/>
  <c r="F23" i="4"/>
  <c r="D23" i="6" s="1"/>
  <c r="F25" i="4"/>
  <c r="D25" i="6" s="1"/>
  <c r="C27" i="2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I28" i="6"/>
  <c r="G10" i="6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H8" i="8"/>
  <c r="C9" i="8" s="1"/>
  <c r="B28" i="12"/>
  <c r="B32" i="12" s="1"/>
  <c r="D26" i="12"/>
  <c r="E8" i="8"/>
  <c r="G8" i="8" s="1"/>
  <c r="C28" i="12"/>
  <c r="C11" i="5" l="1"/>
  <c r="C12" i="5"/>
  <c r="C9" i="5"/>
  <c r="C10" i="5"/>
  <c r="B30" i="11"/>
  <c r="C30" i="11" s="1"/>
  <c r="I30" i="2"/>
  <c r="J32" i="2"/>
  <c r="K32" i="2" s="1"/>
  <c r="K29" i="2"/>
  <c r="J30" i="2"/>
  <c r="J33" i="2" s="1"/>
  <c r="C21" i="2"/>
  <c r="I27" i="12"/>
  <c r="I28" i="12"/>
  <c r="H32" i="12"/>
  <c r="I32" i="12" s="1"/>
  <c r="G29" i="12"/>
  <c r="H29" i="12"/>
  <c r="H33" i="12" s="1"/>
  <c r="H37" i="12" s="1"/>
  <c r="J28" i="6"/>
  <c r="G28" i="6"/>
  <c r="G27" i="4"/>
  <c r="C20" i="2"/>
  <c r="C23" i="2" s="1"/>
  <c r="D28" i="12"/>
  <c r="C32" i="12"/>
  <c r="D32" i="12" s="1"/>
  <c r="B31" i="11"/>
  <c r="C31" i="11" s="1"/>
  <c r="C18" i="5"/>
  <c r="F12" i="6"/>
  <c r="K11" i="6"/>
  <c r="C12" i="10" s="1"/>
  <c r="G26" i="4"/>
  <c r="C26" i="6"/>
  <c r="E26" i="6" s="1"/>
  <c r="G16" i="4"/>
  <c r="C16" i="6"/>
  <c r="E16" i="6" s="1"/>
  <c r="K10" i="6"/>
  <c r="C25" i="6"/>
  <c r="E25" i="6" s="1"/>
  <c r="G25" i="4"/>
  <c r="G17" i="4"/>
  <c r="C17" i="6"/>
  <c r="E17" i="6" s="1"/>
  <c r="C9" i="6"/>
  <c r="E9" i="6" s="1"/>
  <c r="G9" i="4"/>
  <c r="G24" i="4"/>
  <c r="C24" i="6"/>
  <c r="E24" i="6" s="1"/>
  <c r="C29" i="2"/>
  <c r="C30" i="2" s="1"/>
  <c r="C33" i="2" s="1"/>
  <c r="D27" i="2"/>
  <c r="B29" i="12"/>
  <c r="C23" i="6"/>
  <c r="E23" i="6" s="1"/>
  <c r="G23" i="4"/>
  <c r="C15" i="6"/>
  <c r="E15" i="6" s="1"/>
  <c r="G15" i="4"/>
  <c r="H8" i="9"/>
  <c r="G18" i="4"/>
  <c r="C18" i="6"/>
  <c r="E18" i="6" s="1"/>
  <c r="D27" i="12"/>
  <c r="C29" i="12"/>
  <c r="C33" i="12" s="1"/>
  <c r="C37" i="12" s="1"/>
  <c r="C40" i="12" s="1"/>
  <c r="G22" i="4"/>
  <c r="C22" i="6"/>
  <c r="E22" i="6" s="1"/>
  <c r="G14" i="4"/>
  <c r="C14" i="6"/>
  <c r="E14" i="6" s="1"/>
  <c r="E8" i="6"/>
  <c r="E9" i="8"/>
  <c r="F9" i="8"/>
  <c r="H9" i="8" s="1"/>
  <c r="C10" i="8" s="1"/>
  <c r="C21" i="6"/>
  <c r="E21" i="6" s="1"/>
  <c r="G21" i="4"/>
  <c r="C13" i="6"/>
  <c r="E13" i="6" s="1"/>
  <c r="G13" i="4"/>
  <c r="C11" i="7"/>
  <c r="B25" i="7"/>
  <c r="B26" i="7"/>
  <c r="E27" i="6"/>
  <c r="C19" i="5"/>
  <c r="G10" i="4"/>
  <c r="C10" i="6"/>
  <c r="E10" i="6" s="1"/>
  <c r="C12" i="6"/>
  <c r="E12" i="6" s="1"/>
  <c r="G12" i="4"/>
  <c r="E9" i="10"/>
  <c r="G20" i="4"/>
  <c r="C20" i="6"/>
  <c r="E20" i="6" s="1"/>
  <c r="D28" i="6"/>
  <c r="G19" i="4"/>
  <c r="C19" i="6"/>
  <c r="E19" i="6" s="1"/>
  <c r="C11" i="6"/>
  <c r="E11" i="6" s="1"/>
  <c r="G11" i="4"/>
  <c r="B9" i="8"/>
  <c r="B10" i="4"/>
  <c r="B9" i="6"/>
  <c r="B30" i="2"/>
  <c r="B33" i="2" s="1"/>
  <c r="C17" i="5"/>
  <c r="C13" i="5" l="1"/>
  <c r="D33" i="2"/>
  <c r="I33" i="2"/>
  <c r="K33" i="2" s="1"/>
  <c r="K30" i="2"/>
  <c r="G33" i="12"/>
  <c r="I29" i="12"/>
  <c r="F10" i="8"/>
  <c r="H10" i="8" s="1"/>
  <c r="C11" i="8" s="1"/>
  <c r="E10" i="8"/>
  <c r="B16" i="10"/>
  <c r="C11" i="10"/>
  <c r="C21" i="5"/>
  <c r="D17" i="7"/>
  <c r="D22" i="7"/>
  <c r="E22" i="7" s="1"/>
  <c r="E14" i="9" s="1"/>
  <c r="C17" i="7"/>
  <c r="D19" i="7"/>
  <c r="E19" i="7" s="1"/>
  <c r="E11" i="9" s="1"/>
  <c r="D21" i="7"/>
  <c r="E21" i="7" s="1"/>
  <c r="E13" i="9" s="1"/>
  <c r="D20" i="7"/>
  <c r="E20" i="7" s="1"/>
  <c r="E12" i="9" s="1"/>
  <c r="D18" i="7"/>
  <c r="E18" i="7" s="1"/>
  <c r="E10" i="9" s="1"/>
  <c r="G9" i="8"/>
  <c r="K12" i="6"/>
  <c r="C13" i="10" s="1"/>
  <c r="F13" i="6"/>
  <c r="B9" i="10"/>
  <c r="E28" i="6"/>
  <c r="E15" i="2" s="1"/>
  <c r="L8" i="6"/>
  <c r="B24" i="10"/>
  <c r="B14" i="10"/>
  <c r="B12" i="10"/>
  <c r="L11" i="6"/>
  <c r="B20" i="10"/>
  <c r="D30" i="2"/>
  <c r="B13" i="10"/>
  <c r="L12" i="6"/>
  <c r="B19" i="10"/>
  <c r="B21" i="10"/>
  <c r="B11" i="10"/>
  <c r="L10" i="6"/>
  <c r="C28" i="6"/>
  <c r="B33" i="12"/>
  <c r="B37" i="12" s="1"/>
  <c r="D29" i="12"/>
  <c r="B10" i="10"/>
  <c r="L9" i="6"/>
  <c r="B17" i="10"/>
  <c r="B10" i="8"/>
  <c r="B11" i="4"/>
  <c r="B10" i="6"/>
  <c r="B15" i="10"/>
  <c r="B18" i="10"/>
  <c r="D33" i="9"/>
  <c r="D9" i="9"/>
  <c r="B22" i="10"/>
  <c r="B27" i="10"/>
  <c r="B28" i="10"/>
  <c r="B23" i="10"/>
  <c r="C32" i="2"/>
  <c r="D32" i="2" s="1"/>
  <c r="D29" i="2"/>
  <c r="B25" i="10"/>
  <c r="B26" i="10"/>
  <c r="I33" i="12" l="1"/>
  <c r="G37" i="12"/>
  <c r="G39" i="12" s="1"/>
  <c r="G40" i="12" s="1"/>
  <c r="H40" i="12"/>
  <c r="B39" i="12"/>
  <c r="B40" i="12" s="1"/>
  <c r="G10" i="8"/>
  <c r="E11" i="10" s="1"/>
  <c r="E10" i="10"/>
  <c r="D33" i="12"/>
  <c r="D10" i="8"/>
  <c r="D11" i="10"/>
  <c r="D9" i="10"/>
  <c r="F9" i="10" s="1"/>
  <c r="H9" i="10" s="1"/>
  <c r="B32" i="10" s="1"/>
  <c r="D8" i="8"/>
  <c r="D9" i="8"/>
  <c r="I9" i="8" s="1"/>
  <c r="D10" i="10"/>
  <c r="D12" i="10"/>
  <c r="D11" i="8"/>
  <c r="K13" i="6"/>
  <c r="F14" i="6"/>
  <c r="E17" i="7"/>
  <c r="E11" i="8"/>
  <c r="F11" i="8"/>
  <c r="H11" i="8" s="1"/>
  <c r="C12" i="8" s="1"/>
  <c r="D13" i="10"/>
  <c r="D12" i="8"/>
  <c r="B11" i="8"/>
  <c r="B11" i="6"/>
  <c r="B12" i="4"/>
  <c r="I10" i="8" l="1"/>
  <c r="I11" i="10" s="1"/>
  <c r="J11" i="10" s="1"/>
  <c r="F11" i="10"/>
  <c r="H11" i="10" s="1"/>
  <c r="B34" i="10" s="1"/>
  <c r="E34" i="10" s="1"/>
  <c r="F10" i="10"/>
  <c r="H10" i="10" s="1"/>
  <c r="B33" i="10" s="1"/>
  <c r="E33" i="10" s="1"/>
  <c r="F12" i="8"/>
  <c r="H12" i="8" s="1"/>
  <c r="C13" i="8" s="1"/>
  <c r="E12" i="8"/>
  <c r="F11" i="9"/>
  <c r="G11" i="9" s="1"/>
  <c r="G11" i="8"/>
  <c r="F12" i="9" s="1"/>
  <c r="G12" i="9" s="1"/>
  <c r="C14" i="10"/>
  <c r="L13" i="6"/>
  <c r="B12" i="8"/>
  <c r="B12" i="6"/>
  <c r="B13" i="4"/>
  <c r="E9" i="9"/>
  <c r="F17" i="7"/>
  <c r="F18" i="7" s="1"/>
  <c r="F19" i="7" s="1"/>
  <c r="F20" i="7" s="1"/>
  <c r="F21" i="7" s="1"/>
  <c r="F22" i="7" s="1"/>
  <c r="F9" i="9"/>
  <c r="I8" i="8"/>
  <c r="B10" i="11"/>
  <c r="H10" i="11" s="1"/>
  <c r="I10" i="10"/>
  <c r="J10" i="10" s="1"/>
  <c r="E32" i="10"/>
  <c r="D32" i="10"/>
  <c r="F32" i="10" s="1"/>
  <c r="F15" i="6"/>
  <c r="K14" i="6"/>
  <c r="F10" i="9"/>
  <c r="G10" i="9" s="1"/>
  <c r="B11" i="11" l="1"/>
  <c r="H11" i="11" s="1"/>
  <c r="D34" i="10"/>
  <c r="F34" i="10" s="1"/>
  <c r="D33" i="10"/>
  <c r="F33" i="10" s="1"/>
  <c r="E13" i="8"/>
  <c r="F13" i="8"/>
  <c r="H13" i="8" s="1"/>
  <c r="C14" i="8" s="1"/>
  <c r="D10" i="11"/>
  <c r="E10" i="11"/>
  <c r="G10" i="11" s="1"/>
  <c r="I9" i="10"/>
  <c r="J9" i="10" s="1"/>
  <c r="B9" i="11"/>
  <c r="H9" i="11" s="1"/>
  <c r="B13" i="8"/>
  <c r="B13" i="6"/>
  <c r="B14" i="4"/>
  <c r="G34" i="10"/>
  <c r="H34" i="10"/>
  <c r="H32" i="10"/>
  <c r="G32" i="10"/>
  <c r="E12" i="10"/>
  <c r="F12" i="10" s="1"/>
  <c r="H12" i="10" s="1"/>
  <c r="B35" i="10" s="1"/>
  <c r="I11" i="8"/>
  <c r="K15" i="6"/>
  <c r="F16" i="6"/>
  <c r="C15" i="10"/>
  <c r="L14" i="6"/>
  <c r="D14" i="10"/>
  <c r="D13" i="8"/>
  <c r="H33" i="10"/>
  <c r="G33" i="10"/>
  <c r="G12" i="8"/>
  <c r="D34" i="9"/>
  <c r="G9" i="9"/>
  <c r="D11" i="11" l="1"/>
  <c r="E11" i="11"/>
  <c r="G11" i="11" s="1"/>
  <c r="F14" i="8"/>
  <c r="H14" i="8" s="1"/>
  <c r="C15" i="8" s="1"/>
  <c r="E14" i="8"/>
  <c r="E35" i="10"/>
  <c r="D35" i="10"/>
  <c r="F35" i="10" s="1"/>
  <c r="H9" i="9"/>
  <c r="H10" i="9" s="1"/>
  <c r="H11" i="9" s="1"/>
  <c r="H12" i="9" s="1"/>
  <c r="G13" i="8"/>
  <c r="B14" i="8"/>
  <c r="B15" i="4"/>
  <c r="B14" i="6"/>
  <c r="C16" i="10"/>
  <c r="L15" i="6"/>
  <c r="E13" i="10"/>
  <c r="F13" i="10" s="1"/>
  <c r="H13" i="10" s="1"/>
  <c r="B36" i="10" s="1"/>
  <c r="I12" i="8"/>
  <c r="F13" i="9"/>
  <c r="F17" i="6"/>
  <c r="K16" i="6"/>
  <c r="I12" i="10"/>
  <c r="J12" i="10" s="1"/>
  <c r="B12" i="11"/>
  <c r="E9" i="11"/>
  <c r="G9" i="11" s="1"/>
  <c r="D9" i="11"/>
  <c r="D15" i="10"/>
  <c r="D14" i="8"/>
  <c r="I13" i="10" l="1"/>
  <c r="J13" i="10" s="1"/>
  <c r="B13" i="11"/>
  <c r="D16" i="10"/>
  <c r="D15" i="8"/>
  <c r="G13" i="9"/>
  <c r="E14" i="10"/>
  <c r="F14" i="10" s="1"/>
  <c r="H14" i="10" s="1"/>
  <c r="B37" i="10" s="1"/>
  <c r="I13" i="8"/>
  <c r="E36" i="10"/>
  <c r="D36" i="10"/>
  <c r="F36" i="10" s="1"/>
  <c r="G35" i="10"/>
  <c r="H35" i="10"/>
  <c r="E12" i="11"/>
  <c r="G12" i="11" s="1"/>
  <c r="D12" i="11"/>
  <c r="H12" i="11"/>
  <c r="C17" i="10"/>
  <c r="L16" i="6"/>
  <c r="B15" i="8"/>
  <c r="B16" i="4"/>
  <c r="B15" i="6"/>
  <c r="G14" i="8"/>
  <c r="F15" i="9" s="1"/>
  <c r="G15" i="9" s="1"/>
  <c r="F15" i="8"/>
  <c r="H15" i="8" s="1"/>
  <c r="C16" i="8" s="1"/>
  <c r="E15" i="8"/>
  <c r="F14" i="9"/>
  <c r="G14" i="9" s="1"/>
  <c r="F18" i="6"/>
  <c r="K17" i="6"/>
  <c r="F16" i="8" l="1"/>
  <c r="H16" i="8" s="1"/>
  <c r="C17" i="8" s="1"/>
  <c r="E16" i="8"/>
  <c r="H13" i="9"/>
  <c r="H14" i="9" s="1"/>
  <c r="H15" i="9" s="1"/>
  <c r="E37" i="10"/>
  <c r="D37" i="10"/>
  <c r="F37" i="10" s="1"/>
  <c r="B16" i="8"/>
  <c r="B16" i="6"/>
  <c r="B17" i="4"/>
  <c r="G15" i="8"/>
  <c r="F16" i="9" s="1"/>
  <c r="G16" i="9" s="1"/>
  <c r="D17" i="10"/>
  <c r="D16" i="8"/>
  <c r="H36" i="10"/>
  <c r="G36" i="10"/>
  <c r="C18" i="10"/>
  <c r="L17" i="6"/>
  <c r="B14" i="11"/>
  <c r="I14" i="10"/>
  <c r="J14" i="10" s="1"/>
  <c r="H13" i="11"/>
  <c r="E13" i="11"/>
  <c r="G13" i="11" s="1"/>
  <c r="D13" i="11"/>
  <c r="E15" i="10"/>
  <c r="F15" i="10" s="1"/>
  <c r="H15" i="10" s="1"/>
  <c r="B38" i="10" s="1"/>
  <c r="I14" i="8"/>
  <c r="F19" i="6"/>
  <c r="K18" i="6"/>
  <c r="D35" i="9"/>
  <c r="G16" i="8" l="1"/>
  <c r="I16" i="8" s="1"/>
  <c r="H37" i="10"/>
  <c r="G37" i="10"/>
  <c r="H16" i="9"/>
  <c r="C19" i="10"/>
  <c r="L18" i="6"/>
  <c r="F20" i="6"/>
  <c r="K19" i="6"/>
  <c r="H14" i="11"/>
  <c r="E14" i="11"/>
  <c r="G14" i="11" s="1"/>
  <c r="D14" i="11"/>
  <c r="B15" i="11"/>
  <c r="I15" i="10"/>
  <c r="J15" i="10" s="1"/>
  <c r="E16" i="10"/>
  <c r="F16" i="10" s="1"/>
  <c r="H16" i="10" s="1"/>
  <c r="B39" i="10" s="1"/>
  <c r="I15" i="8"/>
  <c r="E38" i="10"/>
  <c r="D38" i="10"/>
  <c r="F38" i="10" s="1"/>
  <c r="D17" i="8"/>
  <c r="D18" i="10"/>
  <c r="B17" i="8"/>
  <c r="B18" i="4"/>
  <c r="B17" i="6"/>
  <c r="E17" i="8"/>
  <c r="F17" i="8"/>
  <c r="H17" i="8" s="1"/>
  <c r="C18" i="8" s="1"/>
  <c r="E17" i="10" l="1"/>
  <c r="F17" i="10" s="1"/>
  <c r="H17" i="10" s="1"/>
  <c r="B40" i="10" s="1"/>
  <c r="E40" i="10" s="1"/>
  <c r="F17" i="9"/>
  <c r="G17" i="9" s="1"/>
  <c r="H17" i="9" s="1"/>
  <c r="G17" i="8"/>
  <c r="E18" i="10" s="1"/>
  <c r="F18" i="10" s="1"/>
  <c r="H18" i="10" s="1"/>
  <c r="B41" i="10" s="1"/>
  <c r="F18" i="8"/>
  <c r="H18" i="8" s="1"/>
  <c r="C19" i="8" s="1"/>
  <c r="E18" i="8"/>
  <c r="B16" i="11"/>
  <c r="I16" i="10"/>
  <c r="J16" i="10" s="1"/>
  <c r="D19" i="10"/>
  <c r="D18" i="8"/>
  <c r="E39" i="10"/>
  <c r="D39" i="10"/>
  <c r="F39" i="10" s="1"/>
  <c r="B18" i="8"/>
  <c r="B18" i="6"/>
  <c r="B19" i="4"/>
  <c r="I17" i="10"/>
  <c r="J17" i="10" s="1"/>
  <c r="B17" i="11"/>
  <c r="H38" i="10"/>
  <c r="G38" i="10"/>
  <c r="C20" i="10"/>
  <c r="L19" i="6"/>
  <c r="E15" i="11"/>
  <c r="G15" i="11" s="1"/>
  <c r="D15" i="11"/>
  <c r="H15" i="11"/>
  <c r="F21" i="6"/>
  <c r="K20" i="6"/>
  <c r="F18" i="9" l="1"/>
  <c r="G18" i="9" s="1"/>
  <c r="H18" i="9" s="1"/>
  <c r="D40" i="10"/>
  <c r="F40" i="10" s="1"/>
  <c r="I17" i="8"/>
  <c r="B18" i="11" s="1"/>
  <c r="F19" i="8"/>
  <c r="H19" i="8" s="1"/>
  <c r="C20" i="8" s="1"/>
  <c r="E19" i="8"/>
  <c r="C21" i="10"/>
  <c r="L20" i="6"/>
  <c r="E16" i="11"/>
  <c r="G16" i="11" s="1"/>
  <c r="D16" i="11"/>
  <c r="H16" i="11"/>
  <c r="K21" i="6"/>
  <c r="F22" i="6"/>
  <c r="H17" i="11"/>
  <c r="E17" i="11"/>
  <c r="G17" i="11" s="1"/>
  <c r="D17" i="11"/>
  <c r="G18" i="8"/>
  <c r="F19" i="9" s="1"/>
  <c r="G19" i="9" s="1"/>
  <c r="B20" i="4"/>
  <c r="B19" i="8"/>
  <c r="B19" i="6"/>
  <c r="G39" i="10"/>
  <c r="H39" i="10"/>
  <c r="D19" i="8"/>
  <c r="D20" i="10"/>
  <c r="E41" i="10"/>
  <c r="D41" i="10"/>
  <c r="F41" i="10" s="1"/>
  <c r="H40" i="10"/>
  <c r="G40" i="10"/>
  <c r="I18" i="10" l="1"/>
  <c r="J18" i="10" s="1"/>
  <c r="F20" i="8"/>
  <c r="H20" i="8" s="1"/>
  <c r="C21" i="8" s="1"/>
  <c r="E20" i="8"/>
  <c r="I18" i="8"/>
  <c r="E19" i="10"/>
  <c r="F19" i="10" s="1"/>
  <c r="H19" i="10" s="1"/>
  <c r="B42" i="10" s="1"/>
  <c r="D20" i="8"/>
  <c r="D21" i="10"/>
  <c r="H18" i="11"/>
  <c r="E18" i="11"/>
  <c r="G18" i="11" s="1"/>
  <c r="D18" i="11"/>
  <c r="H19" i="9"/>
  <c r="H41" i="10"/>
  <c r="G41" i="10"/>
  <c r="K22" i="6"/>
  <c r="F23" i="6"/>
  <c r="G19" i="8"/>
  <c r="C22" i="10"/>
  <c r="L21" i="6"/>
  <c r="B20" i="8"/>
  <c r="B20" i="6"/>
  <c r="B21" i="4"/>
  <c r="F21" i="8" l="1"/>
  <c r="H21" i="8" s="1"/>
  <c r="C22" i="8" s="1"/>
  <c r="E21" i="8"/>
  <c r="I19" i="8"/>
  <c r="E20" i="10"/>
  <c r="F20" i="10" s="1"/>
  <c r="H20" i="10" s="1"/>
  <c r="B43" i="10" s="1"/>
  <c r="C23" i="10"/>
  <c r="L22" i="6"/>
  <c r="E42" i="10"/>
  <c r="D42" i="10"/>
  <c r="F42" i="10" s="1"/>
  <c r="I19" i="10"/>
  <c r="J19" i="10" s="1"/>
  <c r="B19" i="11"/>
  <c r="F24" i="6"/>
  <c r="K23" i="6"/>
  <c r="F20" i="9"/>
  <c r="G20" i="9" s="1"/>
  <c r="H20" i="9" s="1"/>
  <c r="B21" i="8"/>
  <c r="B21" i="6"/>
  <c r="B22" i="4"/>
  <c r="G20" i="8"/>
  <c r="D22" i="10"/>
  <c r="D21" i="8"/>
  <c r="G21" i="8" l="1"/>
  <c r="F22" i="9" s="1"/>
  <c r="G22" i="9" s="1"/>
  <c r="E22" i="8"/>
  <c r="F22" i="8"/>
  <c r="H22" i="8" s="1"/>
  <c r="C23" i="8" s="1"/>
  <c r="I21" i="8"/>
  <c r="E21" i="10"/>
  <c r="F21" i="10" s="1"/>
  <c r="H21" i="10" s="1"/>
  <c r="B44" i="10" s="1"/>
  <c r="I20" i="8"/>
  <c r="K24" i="6"/>
  <c r="F25" i="6"/>
  <c r="G42" i="10"/>
  <c r="H42" i="10"/>
  <c r="D23" i="10"/>
  <c r="D22" i="8"/>
  <c r="F21" i="9"/>
  <c r="G21" i="9" s="1"/>
  <c r="H21" i="9" s="1"/>
  <c r="B22" i="8"/>
  <c r="B23" i="4"/>
  <c r="B22" i="6"/>
  <c r="E19" i="11"/>
  <c r="G19" i="11" s="1"/>
  <c r="D19" i="11"/>
  <c r="H19" i="11"/>
  <c r="E43" i="10"/>
  <c r="D43" i="10"/>
  <c r="F43" i="10" s="1"/>
  <c r="C24" i="10"/>
  <c r="L23" i="6"/>
  <c r="I20" i="10"/>
  <c r="J20" i="10" s="1"/>
  <c r="B20" i="11"/>
  <c r="E22" i="10" l="1"/>
  <c r="F22" i="10" s="1"/>
  <c r="H22" i="10" s="1"/>
  <c r="B45" i="10" s="1"/>
  <c r="E45" i="10" s="1"/>
  <c r="H22" i="9"/>
  <c r="E23" i="8"/>
  <c r="F23" i="8"/>
  <c r="H23" i="8" s="1"/>
  <c r="C24" i="8" s="1"/>
  <c r="E20" i="11"/>
  <c r="G20" i="11" s="1"/>
  <c r="D20" i="11"/>
  <c r="H20" i="11"/>
  <c r="B22" i="11"/>
  <c r="I22" i="10"/>
  <c r="J22" i="10" s="1"/>
  <c r="D24" i="10"/>
  <c r="D23" i="8"/>
  <c r="K25" i="6"/>
  <c r="F26" i="6"/>
  <c r="B23" i="8"/>
  <c r="B24" i="4"/>
  <c r="B23" i="6"/>
  <c r="C25" i="10"/>
  <c r="L24" i="6"/>
  <c r="B21" i="11"/>
  <c r="I21" i="10"/>
  <c r="J21" i="10" s="1"/>
  <c r="G43" i="10"/>
  <c r="H43" i="10"/>
  <c r="E44" i="10"/>
  <c r="D44" i="10"/>
  <c r="F44" i="10" s="1"/>
  <c r="G22" i="8"/>
  <c r="F23" i="9" s="1"/>
  <c r="G23" i="9" s="1"/>
  <c r="D45" i="10" l="1"/>
  <c r="F45" i="10" s="1"/>
  <c r="H23" i="9"/>
  <c r="F24" i="8"/>
  <c r="H24" i="8" s="1"/>
  <c r="C25" i="8" s="1"/>
  <c r="E24" i="8"/>
  <c r="C26" i="10"/>
  <c r="L25" i="6"/>
  <c r="D25" i="10"/>
  <c r="D24" i="8"/>
  <c r="B24" i="8"/>
  <c r="B24" i="6"/>
  <c r="B25" i="4"/>
  <c r="E23" i="10"/>
  <c r="F23" i="10" s="1"/>
  <c r="H23" i="10" s="1"/>
  <c r="B46" i="10" s="1"/>
  <c r="I22" i="8"/>
  <c r="H22" i="11"/>
  <c r="E22" i="11"/>
  <c r="G22" i="11" s="1"/>
  <c r="D22" i="11"/>
  <c r="H45" i="10"/>
  <c r="G45" i="10"/>
  <c r="H44" i="10"/>
  <c r="G44" i="10"/>
  <c r="H21" i="11"/>
  <c r="E21" i="11"/>
  <c r="G21" i="11" s="1"/>
  <c r="D21" i="11"/>
  <c r="K26" i="6"/>
  <c r="F27" i="6"/>
  <c r="G23" i="8"/>
  <c r="F24" i="9" s="1"/>
  <c r="G24" i="9" s="1"/>
  <c r="H24" i="9" s="1"/>
  <c r="G24" i="8" l="1"/>
  <c r="E25" i="10" s="1"/>
  <c r="F25" i="10" s="1"/>
  <c r="H25" i="10" s="1"/>
  <c r="B48" i="10" s="1"/>
  <c r="F25" i="8"/>
  <c r="H25" i="8" s="1"/>
  <c r="E25" i="8"/>
  <c r="B25" i="8"/>
  <c r="B25" i="6"/>
  <c r="B26" i="4"/>
  <c r="E24" i="10"/>
  <c r="F24" i="10" s="1"/>
  <c r="H24" i="10" s="1"/>
  <c r="B47" i="10" s="1"/>
  <c r="I23" i="8"/>
  <c r="B23" i="11"/>
  <c r="I23" i="10"/>
  <c r="J23" i="10" s="1"/>
  <c r="D25" i="8"/>
  <c r="J20" i="8" s="1"/>
  <c r="D26" i="10"/>
  <c r="K27" i="6"/>
  <c r="F28" i="6"/>
  <c r="C27" i="10"/>
  <c r="L26" i="6"/>
  <c r="E46" i="10"/>
  <c r="D46" i="10"/>
  <c r="F46" i="10" s="1"/>
  <c r="J22" i="8"/>
  <c r="I24" i="8" l="1"/>
  <c r="I25" i="10" s="1"/>
  <c r="J25" i="10" s="1"/>
  <c r="F25" i="9"/>
  <c r="G25" i="9" s="1"/>
  <c r="H25" i="9" s="1"/>
  <c r="G25" i="8"/>
  <c r="I25" i="8" s="1"/>
  <c r="J24" i="8"/>
  <c r="E48" i="10"/>
  <c r="D48" i="10"/>
  <c r="F48" i="10" s="1"/>
  <c r="E23" i="11"/>
  <c r="G23" i="11" s="1"/>
  <c r="D23" i="11"/>
  <c r="H23" i="11"/>
  <c r="C28" i="10"/>
  <c r="L27" i="6"/>
  <c r="K28" i="6"/>
  <c r="B33" i="11"/>
  <c r="C33" i="11" s="1"/>
  <c r="C26" i="8"/>
  <c r="D27" i="10"/>
  <c r="D26" i="8"/>
  <c r="F27" i="9" s="1"/>
  <c r="G27" i="9" s="1"/>
  <c r="E47" i="10"/>
  <c r="D47" i="10"/>
  <c r="F47" i="10" s="1"/>
  <c r="I24" i="10"/>
  <c r="J24" i="10" s="1"/>
  <c r="B24" i="11"/>
  <c r="F26" i="9"/>
  <c r="G26" i="9" s="1"/>
  <c r="J8" i="8"/>
  <c r="E13" i="2" s="1"/>
  <c r="J10" i="8"/>
  <c r="J14" i="8"/>
  <c r="J11" i="8"/>
  <c r="J9" i="8"/>
  <c r="J13" i="8"/>
  <c r="J12" i="8"/>
  <c r="J16" i="8"/>
  <c r="J15" i="8"/>
  <c r="J19" i="8"/>
  <c r="J23" i="8"/>
  <c r="J17" i="8"/>
  <c r="J18" i="8"/>
  <c r="J21" i="8"/>
  <c r="J25" i="8"/>
  <c r="B26" i="8"/>
  <c r="B26" i="6"/>
  <c r="B27" i="4"/>
  <c r="H46" i="10"/>
  <c r="G46" i="10"/>
  <c r="E26" i="10" l="1"/>
  <c r="F26" i="10" s="1"/>
  <c r="H26" i="10" s="1"/>
  <c r="B49" i="10" s="1"/>
  <c r="H26" i="9"/>
  <c r="H27" i="9" s="1"/>
  <c r="B25" i="11"/>
  <c r="H25" i="11" s="1"/>
  <c r="E49" i="10"/>
  <c r="D49" i="10"/>
  <c r="F49" i="10" s="1"/>
  <c r="F26" i="8"/>
  <c r="G26" i="8" s="1"/>
  <c r="B27" i="8"/>
  <c r="B27" i="6"/>
  <c r="B26" i="11"/>
  <c r="I26" i="10"/>
  <c r="J26" i="10" s="1"/>
  <c r="E11" i="2"/>
  <c r="E12" i="2"/>
  <c r="E24" i="11"/>
  <c r="G24" i="11" s="1"/>
  <c r="D24" i="11"/>
  <c r="H24" i="11"/>
  <c r="G47" i="10"/>
  <c r="H47" i="10"/>
  <c r="D28" i="10"/>
  <c r="D27" i="8"/>
  <c r="F28" i="9" s="1"/>
  <c r="G28" i="9" s="1"/>
  <c r="L28" i="6"/>
  <c r="E16" i="2" s="1"/>
  <c r="H48" i="10"/>
  <c r="G48" i="10"/>
  <c r="E25" i="11" l="1"/>
  <c r="G25" i="11" s="1"/>
  <c r="D25" i="11"/>
  <c r="D40" i="9"/>
  <c r="D42" i="9" s="1"/>
  <c r="I26" i="8"/>
  <c r="I27" i="10" s="1"/>
  <c r="J27" i="10" s="1"/>
  <c r="E27" i="10"/>
  <c r="F27" i="10" s="1"/>
  <c r="H27" i="10" s="1"/>
  <c r="B50" i="10" s="1"/>
  <c r="H26" i="8"/>
  <c r="C27" i="8" s="1"/>
  <c r="H26" i="11"/>
  <c r="D26" i="11"/>
  <c r="E26" i="11"/>
  <c r="G26" i="11" s="1"/>
  <c r="B32" i="11"/>
  <c r="C32" i="11" s="1"/>
  <c r="H28" i="9"/>
  <c r="H49" i="10"/>
  <c r="G49" i="10"/>
  <c r="F27" i="8" l="1"/>
  <c r="G27" i="8" s="1"/>
  <c r="E50" i="10"/>
  <c r="D50" i="10"/>
  <c r="F50" i="10" s="1"/>
  <c r="G50" i="10" l="1"/>
  <c r="H50" i="10"/>
  <c r="I27" i="8"/>
  <c r="I28" i="10" s="1"/>
  <c r="J28" i="10" s="1"/>
  <c r="E28" i="10"/>
  <c r="F28" i="10" s="1"/>
  <c r="H28" i="10" s="1"/>
  <c r="B51" i="10" s="1"/>
  <c r="H27" i="8"/>
  <c r="E51" i="10" l="1"/>
  <c r="D51" i="10"/>
  <c r="F51" i="10" s="1"/>
  <c r="G51" i="10" l="1"/>
  <c r="H51" i="10"/>
  <c r="E8" i="2" s="1"/>
</calcChain>
</file>

<file path=xl/sharedStrings.xml><?xml version="1.0" encoding="utf-8"?>
<sst xmlns="http://schemas.openxmlformats.org/spreadsheetml/2006/main" count="532" uniqueCount="384">
  <si>
    <t>CLEAN POWER WHISPERER</t>
  </si>
  <si>
    <t>Insurance &amp; Capital Model</t>
  </si>
  <si>
    <t>150 MW Solar PV / 75 MW - 300 MWh BESS | Imperial County, CA</t>
  </si>
  <si>
    <t>Version 1.0 | February 2026 | Educational &amp; Illustrative</t>
  </si>
  <si>
    <t>ABOUT THIS MODEL</t>
  </si>
  <si>
    <t>This model walks through the full capital structure of a hypothetical 150 MW solar + 75 MW / 300 MWh BESS project -- from construction sources and uses through 20 years of operations, debt service, tax equity, and distributions.</t>
  </si>
  <si>
    <t>Its purpose is to make one relationship visible: how the insurance limit you select today determines whether your cash flows survive a tail event tomorrow.</t>
  </si>
  <si>
    <t>The illustrated peril is earthquake -- chosen deliberately because it is not a market-stressed risk for solar. No significant losses. No reactive pricing. That neutrality isolates the structural framework from market noise. Substitute your own peril. The logic holds.</t>
  </si>
  <si>
    <t>HOW TO USE THIS MODEL</t>
  </si>
  <si>
    <t>1. Start with the Insurance &amp; PML tab (Tab 10)</t>
  </si>
  <si>
    <t xml:space="preserve">   This is where the core insight lives. See how a single insurance limit decision creates or closes a capital gap, and watch the impact cascade through covenants, reserves, and distributions.</t>
  </si>
  <si>
    <t>2. Explore the waterfall (Tabs 6-8)</t>
  </si>
  <si>
    <t xml:space="preserve">   Follow cash through debt service, tax equity allocations, and the cash distribution waterfall to understand where every dollar goes.</t>
  </si>
  <si>
    <t>3. Review the covenants (Tab 9)</t>
  </si>
  <si>
    <t xml:space="preserve">   See how DSCR, LLCR, and distribution gates respond to stress. These are the tripwires that determine whether cash reaches equity holders.</t>
  </si>
  <si>
    <t>4. Examine the capital structure (Tabs 3-5)</t>
  </si>
  <si>
    <t xml:space="preserve">   Construction sources and uses, revenue and operating expense projections, and ITC and depreciation mechanics.</t>
  </si>
  <si>
    <t>5. Review inputs and assumptions (Tabs 1-2)</t>
  </si>
  <si>
    <t xml:space="preserve">   All project parameters, capital structure assumptions, debt terms, tax equity mechanics, and production and degradation curves in one place.</t>
  </si>
  <si>
    <t>DISCLAIMER</t>
  </si>
  <si>
    <t>This model is for educational and illustrative purposes only. It does not constitute financial, legal, or insurance advice. All project parameters are hypothetical. Insurance premiums reprice annually; this model uses a static escalation for illustration. Consult qualified professionals for investment decisions.</t>
  </si>
  <si>
    <t>CPW SOLAR + STORAGE PROJECT</t>
  </si>
  <si>
    <t>EDUCATIONAL MODEL -- NOT FOR INVESTMENT DECISIONS</t>
  </si>
  <si>
    <t>KEY METRICS</t>
  </si>
  <si>
    <t>VALUE</t>
  </si>
  <si>
    <t>Project IRR (Sponsor, pre-tax)</t>
  </si>
  <si>
    <t>Tax Equity Flip Year</t>
  </si>
  <si>
    <t>TE After-Tax IRR Target</t>
  </si>
  <si>
    <t>Min DSCR (Life of Loan)</t>
  </si>
  <si>
    <t>Avg DSCR (Life of Loan)</t>
  </si>
  <si>
    <t>LLCR at COD</t>
  </si>
  <si>
    <t>Debt / Total Capital</t>
  </si>
  <si>
    <t>20-Year Cumulative Revenue</t>
  </si>
  <si>
    <t>20-Year Cumulative CFADS</t>
  </si>
  <si>
    <t>CAPITAL STRUCTURE</t>
  </si>
  <si>
    <t>Source</t>
  </si>
  <si>
    <t>Amount</t>
  </si>
  <si>
    <t>% of Total</t>
  </si>
  <si>
    <t>Type</t>
  </si>
  <si>
    <t>Term Loan</t>
  </si>
  <si>
    <t>Senior Secured Debt</t>
  </si>
  <si>
    <t>Tax Equity (Class A)</t>
  </si>
  <si>
    <t>Partnership Equity</t>
  </si>
  <si>
    <t>Sponsor Equity (Class B)</t>
  </si>
  <si>
    <t>TOTAL</t>
  </si>
  <si>
    <t>Metric</t>
  </si>
  <si>
    <t>$25M EQ Limit</t>
  </si>
  <si>
    <t>$50M EQ Limit</t>
  </si>
  <si>
    <t>Delta</t>
  </si>
  <si>
    <t>Earthquake Damage (PD)</t>
  </si>
  <si>
    <t>Deductible (5%)</t>
  </si>
  <si>
    <t>PD Covered by Insurance</t>
  </si>
  <si>
    <t>Uncovered PD (Capital Gap)</t>
  </si>
  <si>
    <t>BI Recovery</t>
  </si>
  <si>
    <t>Total Insurance Recovery</t>
  </si>
  <si>
    <t>Net Capital Gap to Fill</t>
  </si>
  <si>
    <t>INPUTS &amp; SCENARIO MANAGER</t>
  </si>
  <si>
    <t>PROJECT PARAMETERS</t>
  </si>
  <si>
    <t>Solar Capacity (MW AC)</t>
  </si>
  <si>
    <t>BESS Capacity (MW / MWh)</t>
  </si>
  <si>
    <t>75 / 300</t>
  </si>
  <si>
    <t>Annual Production (P50)</t>
  </si>
  <si>
    <t>COD Year</t>
  </si>
  <si>
    <t>Imperial County, CA</t>
  </si>
  <si>
    <t>EPC Contract Price</t>
  </si>
  <si>
    <t>Construction Loan</t>
  </si>
  <si>
    <t>Tax Equity -- Total</t>
  </si>
  <si>
    <t xml:space="preserve">  TE Installment 1 (at MC)</t>
  </si>
  <si>
    <t xml:space="preserve">  TE Installment 2 (at COD)</t>
  </si>
  <si>
    <t>Sponsor Equity</t>
  </si>
  <si>
    <t>ITC Basis</t>
  </si>
  <si>
    <t>ITC Rate</t>
  </si>
  <si>
    <t>Bonus Depreciation %</t>
  </si>
  <si>
    <t>DEBT TERMS</t>
  </si>
  <si>
    <t>SOFR (flat assumption)</t>
  </si>
  <si>
    <t>Spread</t>
  </si>
  <si>
    <t>All-in Rate</t>
  </si>
  <si>
    <t>Term (years from COD)</t>
  </si>
  <si>
    <t>Target Sculpt DSCR</t>
  </si>
  <si>
    <t>1.4x</t>
  </si>
  <si>
    <t>DSRA</t>
  </si>
  <si>
    <t>TAX EQUITY</t>
  </si>
  <si>
    <t>Target After-Tax IRR</t>
  </si>
  <si>
    <t>Pre-Flip: Class A</t>
  </si>
  <si>
    <t>Pre-Flip: Class B</t>
  </si>
  <si>
    <t>Post-Flip: Class A</t>
  </si>
  <si>
    <t>Post-Flip: Class B</t>
  </si>
  <si>
    <t>Assumed Tax Rate</t>
  </si>
  <si>
    <t>DRO -- Class A</t>
  </si>
  <si>
    <t>DRO -- Class B (cap)</t>
  </si>
  <si>
    <t>PRODUCTION &amp; DEGRADATION ENGINE</t>
  </si>
  <si>
    <t>Year</t>
  </si>
  <si>
    <t>Calendar</t>
  </si>
  <si>
    <t>Solar Degrad</t>
  </si>
  <si>
    <t>BESS Degrad</t>
  </si>
  <si>
    <t>Solar MWh</t>
  </si>
  <si>
    <t>BESS MWh</t>
  </si>
  <si>
    <t>Total MWh</t>
  </si>
  <si>
    <t>Solar Price</t>
  </si>
  <si>
    <t>BESS Price</t>
  </si>
  <si>
    <t>TOD Factor</t>
  </si>
  <si>
    <t>Month</t>
  </si>
  <si>
    <t>% of Annual</t>
  </si>
  <si>
    <t>Year 1 MWh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</si>
  <si>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</si>
  <si>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</si>
  <si>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</si>
  <si>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</si>
  <si>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</si>
  <si>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</si>
  <si>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</si>
  <si>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</si>
  <si>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</si>
  <si>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</si>
  <si>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</si>
  <si>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</si>
  <si>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PRODUCTION SPLIT</t>
  </si>
  <si>
    <t>Component</t>
  </si>
  <si>
    <t>Solar</t>
  </si>
  <si>
    <t>BESS</t>
  </si>
  <si>
    <t>CONSTRUCTION BUDGET &amp; SOURCES AND USES</t>
  </si>
  <si>
    <t>CONSTRUCTION USES</t>
  </si>
  <si>
    <t>Category</t>
  </si>
  <si>
    <t>Soft Costs</t>
  </si>
  <si>
    <t>Interest During Construction</t>
  </si>
  <si>
    <t>Contingency</t>
  </si>
  <si>
    <t>TOTAL CONSTRUCTION BUDGET</t>
  </si>
  <si>
    <t>PERMANENT SOURCES (AT COD)</t>
  </si>
  <si>
    <t>Term Loan (conversion)</t>
  </si>
  <si>
    <t>Tax Equity -- Installment 1 (MC)</t>
  </si>
  <si>
    <t>Tax Equity -- Installment 2 (COD)</t>
  </si>
  <si>
    <t>TOTAL PERMANENT SOURCES</t>
  </si>
  <si>
    <t>PERMANENT USES (AT COD)</t>
  </si>
  <si>
    <t>Use</t>
  </si>
  <si>
    <t>Notes</t>
  </si>
  <si>
    <t>Repay Construction Loan</t>
  </si>
  <si>
    <t>Outstanding at COD</t>
  </si>
  <si>
    <t>DSRA Funding</t>
  </si>
  <si>
    <t>6 months debt service</t>
  </si>
  <si>
    <t>Initial Operating Reserves</t>
  </si>
  <si>
    <t>Working capital</t>
  </si>
  <si>
    <t>ITC Recapture Reserve</t>
  </si>
  <si>
    <t>Class B sweep seed</t>
  </si>
  <si>
    <t>Transaction Costs</t>
  </si>
  <si>
    <t>Legal, advisory</t>
  </si>
  <si>
    <t>Working Capital / Excess</t>
  </si>
  <si>
    <t>Contingency buffer</t>
  </si>
  <si>
    <t>TOTAL PERMANENT USES</t>
  </si>
  <si>
    <t>REVENUE &amp; OPERATING EXPENSES</t>
  </si>
  <si>
    <t>Cal Yr</t>
  </si>
  <si>
    <t>Solar Rev</t>
  </si>
  <si>
    <t>BESS Rev</t>
  </si>
  <si>
    <t>Total Rev</t>
  </si>
  <si>
    <t>O&amp;M</t>
  </si>
  <si>
    <t>Insurance</t>
  </si>
  <si>
    <t>Lease</t>
  </si>
  <si>
    <t>Prop Tax</t>
  </si>
  <si>
    <t>Admin Services</t>
  </si>
  <si>
    <t>Total OpEx</t>
  </si>
  <si>
    <t>CFADS</t>
  </si>
  <si>
    <t>TAX, ITC &amp; DEPRECIATION</t>
  </si>
  <si>
    <t>ITC CALCULATION</t>
  </si>
  <si>
    <t>ITC Eligible Basis</t>
  </si>
  <si>
    <t>ITC Amount</t>
  </si>
  <si>
    <t>Depreciable Basis (reduced by 50% of ITC)</t>
  </si>
  <si>
    <t>MACRS Recovery Period</t>
  </si>
  <si>
    <t>5 years</t>
  </si>
  <si>
    <t>DEPRECIATION SCHEDULE</t>
  </si>
  <si>
    <t>MACRS %</t>
  </si>
  <si>
    <t>Bonus</t>
  </si>
  <si>
    <t>Regular MACRS</t>
  </si>
  <si>
    <t>Total Depr</t>
  </si>
  <si>
    <t>Cumulative</t>
  </si>
  <si>
    <t>ITC ALLOCATION</t>
  </si>
  <si>
    <t>Class A (Tax Equity) -- 99%</t>
  </si>
  <si>
    <t>Class B (Sponsor) -- 1%</t>
  </si>
  <si>
    <t>Rate: SOFR 4.5% + 2.0% = 6.5% | Min DSCR: 1.82x | Covenant: 1.40x | Tenor: 18 years</t>
  </si>
  <si>
    <t>Note: Level amortization at $120M produces elevated DSCR (1.82x minimum). In practice, sculpted amortization would target ~1.40x. This structure is simplified for educational clarity.</t>
  </si>
  <si>
    <t>Opening Bal</t>
  </si>
  <si>
    <t>Interest</t>
  </si>
  <si>
    <t>Principal</t>
  </si>
  <si>
    <t>Total DS
Debt Service</t>
  </si>
  <si>
    <t>Closing Bal</t>
  </si>
  <si>
    <t>DSCR
Debt Service Coverage Ratio</t>
  </si>
  <si>
    <t>LLCR
Loan Life Coverage Ratio</t>
  </si>
  <si>
    <t>RESERVE ACCOUNTS</t>
  </si>
  <si>
    <t>DSRA Balance
Debt Serv Rsv Act</t>
  </si>
  <si>
    <t>MMRA Contrib
Major Maintenance Rsv Act</t>
  </si>
  <si>
    <t>BESS Aug</t>
  </si>
  <si>
    <t>MMRA Balance</t>
  </si>
  <si>
    <t>Actual: 23.4% After-Tax IRR | Target: 7.0% | Flip Year: 6 (2033)</t>
  </si>
  <si>
    <t>Alloc %</t>
  </si>
  <si>
    <t>ITC Value</t>
  </si>
  <si>
    <t>Depr Value</t>
  </si>
  <si>
    <t>Cash Dist</t>
  </si>
  <si>
    <t>Total to A</t>
  </si>
  <si>
    <t>Flip?</t>
  </si>
  <si>
    <t>Investment</t>
  </si>
  <si>
    <t>&gt;&gt;&gt; FLIP</t>
  </si>
  <si>
    <t>IRR SENSITIVITY NOTE</t>
  </si>
  <si>
    <t>The calculated TE IRR (23.4%) exceeds the 7.0% market target. This is intentional for illustration: it demonstrates how sensitive TE returns are to the ratio of tax benefits relative to capital contribution. In Year 1, the ITC ($70.5M) plus depreciation tax shield ($50.3M) returns 91% of the $145M investment. In practice, the TE investor would negotiate a larger commitment -- or allocations would be restructured -- until the IRR converges to target. The gap between 23.4% and 7.0% is where the deal negotiation happens.</t>
  </si>
  <si>
    <t>CAPITAL ACCOUNT SUMMARY</t>
  </si>
  <si>
    <t>Class A Initial Contribution</t>
  </si>
  <si>
    <t>Class A ITC Adjustment (Yr 1)</t>
  </si>
  <si>
    <t>Class A Cumulative Depreciation (pre-flip)</t>
  </si>
  <si>
    <t>Class A Cumulative Distributions (pre-flip)</t>
  </si>
  <si>
    <t>Class B Initial Contribution</t>
  </si>
  <si>
    <t>Class B Deficit Restoration Obligation (DRO) Cap</t>
  </si>
  <si>
    <t>IRR VALIDATION</t>
  </si>
  <si>
    <t>TE After-Tax IRR (Actual)</t>
  </si>
  <si>
    <t>TE After-Tax IRR (Target)</t>
  </si>
  <si>
    <t>Variance (Actual − Target)</t>
  </si>
  <si>
    <t>PROJECT LEVEL (CPW Solar LLC)</t>
  </si>
  <si>
    <t>Revenue</t>
  </si>
  <si>
    <t>OpEx</t>
  </si>
  <si>
    <t>Debt Service</t>
  </si>
  <si>
    <t>After Debt Service</t>
  </si>
  <si>
    <t>MMRA</t>
  </si>
  <si>
    <t>Distributable</t>
  </si>
  <si>
    <t>DSCR</t>
  </si>
  <si>
    <t>Dist OK?</t>
  </si>
  <si>
    <t>HOLDINGS LEVEL (CPW Holdings LLC)</t>
  </si>
  <si>
    <t>From Project</t>
  </si>
  <si>
    <t>Phase</t>
  </si>
  <si>
    <t>To Class A</t>
  </si>
  <si>
    <t>To Class B</t>
  </si>
  <si>
    <t>A Cumulative</t>
  </si>
  <si>
    <t>B Cumulative</t>
  </si>
  <si>
    <t>Sponsor CF</t>
  </si>
  <si>
    <t>Pre-Flip</t>
  </si>
  <si>
    <t>Post-Flip</t>
  </si>
  <si>
    <t>DEBT SERVICE COVERAGE RATIO</t>
  </si>
  <si>
    <t>Min Req</t>
  </si>
  <si>
    <t>Pass?</t>
  </si>
  <si>
    <t>Dist DSCR</t>
  </si>
  <si>
    <t>Dist Req</t>
  </si>
  <si>
    <t>Cash Trap?</t>
  </si>
  <si>
    <t>MODEL INTEGRITY CHECKS</t>
  </si>
  <si>
    <t>Check</t>
  </si>
  <si>
    <t>Result</t>
  </si>
  <si>
    <t>Status</t>
  </si>
  <si>
    <t>Sources = Uses (Construction)</t>
  </si>
  <si>
    <t>Sources = Uses (Permanent)</t>
  </si>
  <si>
    <t>Min DSCR &gt; 1.0x</t>
  </si>
  <si>
    <t>Debt fully repaid by maturity</t>
  </si>
  <si>
    <t>TE Flip within 10 years</t>
  </si>
  <si>
    <t>PASS</t>
  </si>
  <si>
    <t>ITC Basis &gt;= $237.5M</t>
  </si>
  <si>
    <t>Pre-Flip allocations = 100%</t>
  </si>
  <si>
    <t>Post-Flip allocations = 100%</t>
  </si>
  <si>
    <t>Annual production &gt; 0 all years</t>
  </si>
  <si>
    <t>EARTHQUAKE PML -- IMPERIAL COUNTY, CA</t>
  </si>
  <si>
    <t>Site: Imperial County | Governing Peril: Earthquake (Imperial Fault / Brawley Seismic Zone)</t>
  </si>
  <si>
    <t>Return Period</t>
  </si>
  <si>
    <t>Physical Damage</t>
  </si>
  <si>
    <t>Business Interruption</t>
  </si>
  <si>
    <t>Total Loss</t>
  </si>
  <si>
    <t>Rebuild Time</t>
  </si>
  <si>
    <t>6-9 months</t>
  </si>
  <si>
    <t>12-18 months</t>
  </si>
  <si>
    <t>18-24 months</t>
  </si>
  <si>
    <t>PML METHODOLOGY NOTES</t>
  </si>
  <si>
    <t>5. BI assumes partial generation continues from undamaged sections during rebuild. Figures represent net revenue loss, not gross.</t>
  </si>
  <si>
    <t>Scenario A: $25M EQ Limit</t>
  </si>
  <si>
    <t>Scenario B: $50M EQ Limit</t>
  </si>
  <si>
    <t>Delta (A-&gt;B)</t>
  </si>
  <si>
    <t>Earthquake Physical Damage</t>
  </si>
  <si>
    <t>EQ Deductible (5% of PD)</t>
  </si>
  <si>
    <t>UNCOVERED Physical Damage</t>
  </si>
  <si>
    <t>Business Interruption Loss</t>
  </si>
  <si>
    <t>BI Recovery (net of 45-day waiting period)</t>
  </si>
  <si>
    <t>NET CAPITAL GAP (must be filled)</t>
  </si>
  <si>
    <t>Scenario A: $25M Limit</t>
  </si>
  <si>
    <t>Scenario B: $50M Limit</t>
  </si>
  <si>
    <t>Capital Gap to be filled</t>
  </si>
  <si>
    <t>1. DSRA Draw</t>
  </si>
  <si>
    <t>DSRA = $8.5M</t>
  </si>
  <si>
    <t>2. MMRA Draw</t>
  </si>
  <si>
    <t>MMRA at Year 5</t>
  </si>
  <si>
    <t>3. Sponsor Equity Cure Required</t>
  </si>
  <si>
    <t>Decision Signal</t>
  </si>
  <si>
    <t>DSCR During Rebuild Year</t>
  </si>
  <si>
    <t>~1.20x - 1.40x</t>
  </si>
  <si>
    <t>~1.60x - 1.70x</t>
  </si>
  <si>
    <t>Stressed but serviceable vs. minimal impact</t>
  </si>
  <si>
    <t>DSCR Covenant Breach?</t>
  </si>
  <si>
    <t>NO -- but margin eliminated</t>
  </si>
  <si>
    <t>NO</t>
  </si>
  <si>
    <t>Cash Trap Triggered?</t>
  </si>
  <si>
    <t>YES -- DSRA depleted</t>
  </si>
  <si>
    <t>NO -- partial DSRA draw only</t>
  </si>
  <si>
    <t>Full reserve rebuild required at $25M</t>
  </si>
  <si>
    <t>Cash Sweep Triggered?</t>
  </si>
  <si>
    <t>YES (DSCR &lt; 1.40x)</t>
  </si>
  <si>
    <t>Distribution Blocked?</t>
  </si>
  <si>
    <t>YES -- 1-2 years</t>
  </si>
  <si>
    <t>Brief (~3-6 months)</t>
  </si>
  <si>
    <t>Equity return delayed at $25M</t>
  </si>
  <si>
    <t>TE Flip Delayed?</t>
  </si>
  <si>
    <t>0-6 months</t>
  </si>
  <si>
    <t>None</t>
  </si>
  <si>
    <t>Sponsor Equity Cure Needed?</t>
  </si>
  <si>
    <t>NO -- reserves absorb</t>
  </si>
  <si>
    <t>Reserves absorb at both limits</t>
  </si>
  <si>
    <t>Incremental Annual Premium</t>
  </si>
  <si>
    <t>~$0</t>
  </si>
  <si>
    <t>~$150,000-$250,000</t>
  </si>
  <si>
    <t>20-Year Premium Differential</t>
  </si>
  <si>
    <t>~$3M-$5M (vs. 1-2 yrs blocked distributions)</t>
  </si>
  <si>
    <t>0.00x - 0.50x</t>
  </si>
  <si>
    <t>~1.10x - 1.20x</t>
  </si>
  <si>
    <t>Certain default at $25M vs. stressed but viable at $50M</t>
  </si>
  <si>
    <t>YES -- likely default</t>
  </si>
  <si>
    <t>MARGINAL -- watch closely</t>
  </si>
  <si>
    <t>Loan acceleration risk at $25M</t>
  </si>
  <si>
    <t>YES</t>
  </si>
  <si>
    <t>YES (precautionary)</t>
  </si>
  <si>
    <t>YES (DSCR &lt; 1.15x)</t>
  </si>
  <si>
    <t>YES -- minimum 3 years</t>
  </si>
  <si>
    <t>YES -- ~6 months</t>
  </si>
  <si>
    <t>24+ months</t>
  </si>
  <si>
    <t>0-3 months</t>
  </si>
  <si>
    <t>YES (~$17.2M = 86% of equity)</t>
  </si>
  <si>
    <t>~$150-250K/yr premium protects against $17.2M cure</t>
  </si>
  <si>
    <t>~$3M-$5M (vs. one-time ~$17.2M cure)</t>
  </si>
  <si>
    <t>THE WHISPERER INSIGHT</t>
  </si>
  <si>
    <t>The question is: 'What does underinsurance cost your capital structure -- and at what return period are you willing to find out?'</t>
  </si>
  <si>
    <t>IF YOUR RISK TOLERANCE IS SET AT THE 250-YEAR RETURN PERIOD:</t>
  </si>
  <si>
    <t>At $25M EQ limit: A 250-year earthquake creates a ~$9.5M capital gap.</t>
  </si>
  <si>
    <t>At $50M EQ limit: The same earthquake leaves only a ~$1.2M gap (BI waiting period).</t>
  </si>
  <si>
    <t>IF YOUR RISK TOLERANCE EXTENDS TO THE 500-YEAR RETURN PERIOD:</t>
  </si>
  <si>
    <t>At $25M EQ limit: A 500-year earthquake creates a ~$29.5M capital gap.</t>
  </si>
  <si>
    <t>At $50M EQ limit: The same earthquake leaves a ~$4.5M gap.</t>
  </si>
  <si>
    <t>Where you draw that line is the risk tolerance decision. This model helps you see what sits on either side of it.</t>
  </si>
  <si>
    <t>NOTE</t>
  </si>
  <si>
    <t>Insurance premiums reprice annually. In practice, the insurance-as-capital-strategy calculation requires recalibration at each renewal. This model uses a static escalation for illustration.</t>
  </si>
  <si>
    <t>There is no universally correct insurance limit. The question is: how much uninsured loss is your capital structure willing to absorb? That choice is both deliberate and liberating -- and this model helps you see where the line sits.</t>
  </si>
  <si>
    <t>Risk is managed, never eliminated. But you get to choose WHERE it sits.</t>
  </si>
  <si>
    <t>MONTHLY PRODUCTION</t>
  </si>
  <si>
    <t>Vulnerability: Ground-mounted solar PV + BESS</t>
  </si>
  <si>
    <t>Methodology: Probabilistic analysis</t>
  </si>
  <si>
    <r>
      <t xml:space="preserve">INSURANCE LIMIT COMPARISON -- </t>
    </r>
    <r>
      <rPr>
        <b/>
        <sz val="12"/>
        <color rgb="FFFDB813"/>
        <rFont val="Calibri"/>
        <family val="2"/>
      </rPr>
      <t>500</t>
    </r>
    <r>
      <rPr>
        <b/>
        <sz val="12"/>
        <color rgb="FF003366"/>
        <rFont val="Calibri"/>
        <family val="2"/>
      </rPr>
      <t>-YEAR EARTHQUAKE EVENT</t>
    </r>
  </si>
  <si>
    <r>
      <t xml:space="preserve">COVENANT IMPACT COMPARISON -- </t>
    </r>
    <r>
      <rPr>
        <b/>
        <sz val="12"/>
        <color rgb="FFFDB813"/>
        <rFont val="Calibri"/>
        <family val="2"/>
      </rPr>
      <t>250</t>
    </r>
    <r>
      <rPr>
        <b/>
        <sz val="12"/>
        <color rgb="FF003366"/>
        <rFont val="Calibri"/>
      </rPr>
      <t>-YEAR EVENT</t>
    </r>
  </si>
  <si>
    <r>
      <t xml:space="preserve">INSURANCE LIMIT COMPARISON -- </t>
    </r>
    <r>
      <rPr>
        <b/>
        <sz val="12"/>
        <color rgb="FFFDB813"/>
        <rFont val="Calibri"/>
        <family val="2"/>
      </rPr>
      <t>250</t>
    </r>
    <r>
      <rPr>
        <b/>
        <sz val="12"/>
        <color rgb="FF003366"/>
        <rFont val="Calibri"/>
      </rPr>
      <t>-YEAR EARTHQUAKE EVENT</t>
    </r>
  </si>
  <si>
    <r>
      <t xml:space="preserve">CASH FLOW IMPACT -- </t>
    </r>
    <r>
      <rPr>
        <b/>
        <sz val="12"/>
        <color rgb="FFFDB813"/>
        <rFont val="Calibri"/>
        <family val="2"/>
      </rPr>
      <t>250</t>
    </r>
    <r>
      <rPr>
        <b/>
        <sz val="12"/>
        <color rgb="FF003366"/>
        <rFont val="Calibri"/>
        <family val="2"/>
      </rPr>
      <t>-YEAR EVENT: WHERE DOES THE GAP GET FILLED?</t>
    </r>
  </si>
  <si>
    <r>
      <t xml:space="preserve">CASH FLOW IMPACT -- </t>
    </r>
    <r>
      <rPr>
        <b/>
        <sz val="12"/>
        <color rgb="FFFDB813"/>
        <rFont val="Calibri"/>
        <family val="2"/>
      </rPr>
      <t>500</t>
    </r>
    <r>
      <rPr>
        <b/>
        <sz val="12"/>
        <color rgb="FF003366"/>
        <rFont val="Calibri"/>
        <family val="2"/>
      </rPr>
      <t>-YEAR EVENT: WHERE DOES THE GAP GET FILLED?</t>
    </r>
  </si>
  <si>
    <r>
      <t xml:space="preserve">COVENANT IMPACT COMPARISON -- </t>
    </r>
    <r>
      <rPr>
        <b/>
        <sz val="12"/>
        <color rgb="FFFDB813"/>
        <rFont val="Calibri"/>
        <family val="2"/>
      </rPr>
      <t>500-</t>
    </r>
    <r>
      <rPr>
        <b/>
        <sz val="12"/>
        <color rgb="FF003366"/>
        <rFont val="Calibri"/>
      </rPr>
      <t>YEAR EVENT</t>
    </r>
  </si>
  <si>
    <t>2. BESS-specific: LFP containerized units are less vulnerable to seismic than rack-mounted, but thermal management and BMS connections are seismically sensitive.</t>
  </si>
  <si>
    <t>3. BI assumes: 18-month transformer replacement lead time 12-month BESS component replacement, partial generation during rebuild.</t>
  </si>
  <si>
    <t>1. Physical Damage includes: panel dislodgement/breakage, tracker structural failure,  inverter/transformer displacement, BESS enclosure damage, substation equipment, foundation cracking, medium-voltage collection system damage.</t>
  </si>
  <si>
    <t>4. Imperial County is in USGS Seismic Hazard Zone 4 (highest in California). The Imperial Fault ruptured in 1940 (M6.9) and 1979 (M6.4). The 2010 El Mayor-Cucapah earthquake (M7.2) was centered 40 miles south.</t>
  </si>
  <si>
    <t>100-Year</t>
  </si>
  <si>
    <t>250-Year</t>
  </si>
  <si>
    <t>500-Year</t>
  </si>
  <si>
    <t xml:space="preserve"> - Cash trap triggered until reserves are replenished. Distributions blocked 1-2 years.</t>
  </si>
  <si>
    <t xml:space="preserve"> - But the safety net is gone. DSRA depleted. MMRA depleted.</t>
  </si>
  <si>
    <t xml:space="preserve"> - Sponsor faces a ~$17.2M equity cure -- 86% of the original $20M commitment.</t>
  </si>
  <si>
    <t xml:space="preserve"> - DSRA ($8.5M) and MMRA (~$1M) absorb the gap. No sponsor equity cure needed.</t>
  </si>
  <si>
    <t xml:space="preserve"> - Any subsequent event -- even minor -- hits an unprotected capital structure.</t>
  </si>
  <si>
    <t xml:space="preserve"> - The capital structure absorbs the event without stress.</t>
  </si>
  <si>
    <t xml:space="preserve"> - Reserves fully intact. No cash trap. Distributions resume within months.
</t>
  </si>
  <si>
    <t xml:space="preserve"> - DSRA ($8.5M) + MMRA (~$3.75M) depleted entirely -- all reserves wiped.</t>
  </si>
  <si>
    <t xml:space="preserve"> - Distributions blocked 3+ years. TE flip delayed 12-18 months.</t>
  </si>
  <si>
    <t xml:space="preserve"> - DSRA depletion triggers cash trap and potential lender-initiated restructuring.</t>
  </si>
  <si>
    <t xml:space="preserve">  - Partial DSRA draw ($4.5M of $8.5M) -- $4M reserve buffer remains.</t>
  </si>
  <si>
    <t xml:space="preserve">  - No sponsor equity cure. No cash trap.</t>
  </si>
  <si>
    <t xml:space="preserve">  - Distributions resume within ~6 months. Minimal TE flip delay.</t>
  </si>
  <si>
    <t xml:space="preserve">  - The incremental premium (~$150K-$250K/year) is insurance-as-capital-strategy.</t>
  </si>
  <si>
    <t xml:space="preserve">  - It costs ~$3-5M over 20 years to protect against a $17M+ equity cure, 3+ years of lost distributions, and the reputational cost of a covenant default.</t>
  </si>
  <si>
    <r>
      <t>INSURANCE RESILIENCE -- EARTHQUAKE SCENARIO (</t>
    </r>
    <r>
      <rPr>
        <b/>
        <sz val="12"/>
        <color rgb="FFFDB813"/>
        <rFont val="Calibri"/>
        <family val="2"/>
      </rPr>
      <t>250-yr</t>
    </r>
    <r>
      <rPr>
        <b/>
        <sz val="12"/>
        <color rgb="FF003366"/>
        <rFont val="Calibri"/>
      </rPr>
      <t>)</t>
    </r>
  </si>
  <si>
    <r>
      <t>INSURANCE RESILIENCE -- EARTHQUAKE SCENARIO (</t>
    </r>
    <r>
      <rPr>
        <b/>
        <sz val="12"/>
        <color rgb="FFFDB813"/>
        <rFont val="Calibri"/>
        <family val="2"/>
      </rPr>
      <t>500-yr</t>
    </r>
    <r>
      <rPr>
        <b/>
        <sz val="12"/>
        <color rgb="FF003366"/>
        <rFont val="Calibri"/>
      </rPr>
      <t>)</t>
    </r>
  </si>
  <si>
    <t>TAX EQUITY PARTNERSHIP FLIP</t>
  </si>
  <si>
    <t>FINANCIAL MODEL DASHBOARD</t>
  </si>
  <si>
    <t>THE WHISPERER TAB | How Insurance Limits Impact Cash Flow Resilience</t>
  </si>
  <si>
    <t>BESS Degradation (%/yr)</t>
  </si>
  <si>
    <t>Solar Degradation (%/yr)</t>
  </si>
  <si>
    <t>PPA Term (years)</t>
  </si>
  <si>
    <t>Location (CAISO)</t>
  </si>
  <si>
    <t>WANT INSURANCE &amp; RISK ANALYSIS FOR YOUR PROJECT?</t>
  </si>
  <si>
    <t>Clean Power Whisperer|Clarity in Risk Management|collaborate@CleanPowerWhisperer.ai</t>
  </si>
  <si>
    <t>CASH WATERFALL | PROJECT LEVEL &amp; HOLDINGS LEVEL</t>
  </si>
  <si>
    <t>COVENANT COMPLIANCE | MODEL CHECKS</t>
  </si>
  <si>
    <t>DEBT ENGINE | AMORTIZATION</t>
  </si>
  <si>
    <t>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</si>
</sst>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%"/>
    <numFmt numFmtId="165" formatCode="0.00&quot;x&quot;"/>
    <numFmt numFmtId="166" formatCode="\$#,##0"/>
    <numFmt numFmtId="167" formatCode="\$#,##0.00"/>
    <numFmt numFmtId="168" formatCode="_(&quot;$&quot;* #,##0_);_(&quot;$&quot;* \(#,##0\);_(&quot;$&quot;* &quot;-&quot;??_);_(@_)"/>
  </numFmts>
  <fonts count="39" x14ac:knownFonts="1">
    <font>
      <sz val="11"/>
      <color theme="1"/>
      <name val="Calibri"/>
      <family val="2"/>
      <scheme val="minor"/>
    </font>
    <font>
      <sz val="9"/>
      <color rgb="FF666666"/>
      <name val="Calibri"/>
    </font>
    <font>
      <sz val="10"/>
      <color rgb="FF000000"/>
      <name val="Calibri"/>
    </font>
    <font>
      <b/>
      <sz val="11"/>
      <color rgb="FF003366"/>
      <name val="Calibri"/>
    </font>
    <font>
      <b/>
      <sz val="10"/>
      <color rgb="FF000000"/>
      <name val="Calibri"/>
    </font>
    <font>
      <sz val="10"/>
      <color theme="1"/>
      <name val="Calibri"/>
      <family val="2"/>
      <scheme val="minor"/>
    </font>
    <font>
      <b/>
      <sz val="10"/>
      <color rgb="FF003366"/>
      <name val="Calibri"/>
      <family val="2"/>
      <scheme val="minor"/>
    </font>
    <font>
      <b/>
      <sz val="10"/>
      <color rgb="FF003366"/>
      <name val="Calibri"/>
    </font>
    <font>
      <b/>
      <sz val="12"/>
      <color rgb="FF003366"/>
      <name val="Calibri"/>
    </font>
    <font>
      <b/>
      <sz val="10"/>
      <color rgb="FF003366"/>
      <name val="Calibri"/>
    </font>
    <font>
      <b/>
      <sz val="11"/>
      <color rgb="FF00B0FF"/>
      <name val="Calibri"/>
    </font>
    <font>
      <b/>
      <sz val="10"/>
      <color rgb="FFCC0000"/>
      <name val="Calibri"/>
    </font>
    <font>
      <b/>
      <sz val="10"/>
      <color rgb="FFFFFFFF"/>
      <name val="Calibri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B050"/>
      <name val="Calibri"/>
      <family val="2"/>
      <scheme val="minor"/>
    </font>
    <font>
      <b/>
      <sz val="16"/>
      <color rgb="FF003366"/>
      <name val="Calibri"/>
    </font>
    <font>
      <b/>
      <sz val="12"/>
      <color rgb="FF003366"/>
      <name val="Calibri"/>
    </font>
    <font>
      <sz val="9"/>
      <color rgb="FF666666"/>
      <name val="Calibri"/>
    </font>
    <font>
      <sz val="10"/>
      <color rgb="FF1A1A1A"/>
      <name val="Calibri"/>
    </font>
    <font>
      <b/>
      <sz val="10"/>
      <color rgb="FF1A1A1A"/>
      <name val="Calibri"/>
    </font>
    <font>
      <b/>
      <sz val="10"/>
      <color rgb="FFCC0000"/>
      <name val="Calibri"/>
    </font>
    <font>
      <b/>
      <sz val="10"/>
      <color rgb="FFFFFFFF"/>
      <name val="Calibri"/>
    </font>
    <font>
      <i/>
      <sz val="9"/>
      <color rgb="FF666666"/>
      <name val="Calibri"/>
    </font>
    <font>
      <b/>
      <sz val="11"/>
      <color theme="1"/>
      <name val="Calibri"/>
      <family val="2"/>
      <scheme val="minor"/>
    </font>
    <font>
      <b/>
      <sz val="11"/>
      <color rgb="FF003366"/>
      <name val="Calibri"/>
      <family val="2"/>
    </font>
    <font>
      <b/>
      <sz val="10"/>
      <color rgb="FF003366"/>
      <name val="Calibri"/>
      <family val="2"/>
    </font>
    <font>
      <b/>
      <sz val="12"/>
      <color rgb="FF003366"/>
      <name val="Calibri"/>
      <family val="2"/>
    </font>
    <font>
      <sz val="11"/>
      <color rgb="FF003366"/>
      <name val="Calibri"/>
      <family val="2"/>
      <scheme val="minor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sz val="9"/>
      <color rgb="FF666666"/>
      <name val="Calibri"/>
      <family val="2"/>
    </font>
    <font>
      <b/>
      <sz val="12"/>
      <color rgb="FFFDB813"/>
      <name val="Calibri"/>
      <family val="2"/>
    </font>
    <font>
      <b/>
      <sz val="10"/>
      <color rgb="FFFFFFFF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rgb="FFCC0000"/>
      <name val="Calibri"/>
      <family val="2"/>
    </font>
    <font>
      <b/>
      <sz val="10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B0FF"/>
        <bgColor rgb="FF00B0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FF"/>
      </patternFill>
    </fill>
    <fill>
      <patternFill patternType="solid">
        <fgColor rgb="FF00B0FF"/>
        <bgColor rgb="FF00B0FF"/>
      </patternFill>
    </fill>
    <fill>
      <patternFill patternType="solid">
        <fgColor rgb="FF003366"/>
        <bgColor rgb="FF003366"/>
      </patternFill>
    </fill>
    <fill>
      <patternFill patternType="solid">
        <fgColor rgb="FF003366"/>
        <bgColor rgb="FF00B0FF"/>
      </patternFill>
    </fill>
    <fill>
      <patternFill patternType="solid">
        <fgColor rgb="FFFDB813"/>
        <bgColor rgb="FF00B0FF"/>
      </patternFill>
    </fill>
    <fill>
      <patternFill patternType="solid">
        <fgColor rgb="FFFDB8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 style="thin">
        <color rgb="FF003366"/>
      </bottom>
      <diagonal/>
    </border>
    <border>
      <left/>
      <right/>
      <top/>
      <bottom/>
      <diagonal/>
    </border>
    <border>
      <left/>
      <right/>
      <top/>
      <bottom style="thin">
        <color rgb="FF666666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1"/>
    <xf numFmtId="44" fontId="13" fillId="0" borderId="1"/>
    <xf numFmtId="9" fontId="13" fillId="0" borderId="1"/>
  </cellStyleXfs>
  <cellXfs count="206">
    <xf numFmtId="0" fontId="0" fillId="0" borderId="0" xfId="0" applyBorder="1"/>
    <xf numFmtId="0" fontId="20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7" fillId="6" borderId="0" xfId="0" applyFont="1" applyFill="1" applyBorder="1" applyAlignment="1">
      <alignment vertical="top"/>
    </xf>
    <xf numFmtId="0" fontId="22" fillId="7" borderId="0" xfId="0" applyFont="1" applyFill="1" applyBorder="1" applyAlignment="1">
      <alignment horizontal="center" vertical="top"/>
    </xf>
    <xf numFmtId="164" fontId="25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6" fontId="3" fillId="0" borderId="0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6" fillId="0" borderId="0" xfId="0" applyFont="1" applyBorder="1" applyAlignment="1">
      <alignment horizontal="right" vertical="top"/>
    </xf>
    <xf numFmtId="168" fontId="26" fillId="0" borderId="0" xfId="1" applyNumberFormat="1" applyFont="1" applyBorder="1" applyAlignment="1">
      <alignment vertical="top"/>
    </xf>
    <xf numFmtId="9" fontId="26" fillId="0" borderId="0" xfId="2" applyFont="1" applyBorder="1" applyAlignment="1">
      <alignment vertical="top"/>
    </xf>
    <xf numFmtId="164" fontId="26" fillId="0" borderId="0" xfId="2" applyNumberFormat="1" applyFont="1" applyBorder="1" applyAlignment="1">
      <alignment vertical="top"/>
    </xf>
    <xf numFmtId="0" fontId="26" fillId="0" borderId="0" xfId="0" applyFont="1" applyBorder="1" applyAlignment="1">
      <alignment vertical="top"/>
    </xf>
    <xf numFmtId="44" fontId="26" fillId="0" borderId="0" xfId="1" applyFont="1" applyBorder="1" applyAlignment="1">
      <alignment vertical="top"/>
    </xf>
    <xf numFmtId="0" fontId="0" fillId="4" borderId="0" xfId="0" applyFill="1" applyBorder="1" applyAlignment="1">
      <alignment vertical="top"/>
    </xf>
    <xf numFmtId="0" fontId="2" fillId="4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0" fontId="8" fillId="5" borderId="0" xfId="0" applyFont="1" applyFill="1" applyBorder="1" applyAlignment="1">
      <alignment vertical="top"/>
    </xf>
    <xf numFmtId="3" fontId="0" fillId="0" borderId="0" xfId="0" applyNumberFormat="1" applyBorder="1" applyAlignment="1">
      <alignment vertical="top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166" fontId="26" fillId="0" borderId="0" xfId="0" applyNumberFormat="1" applyFont="1" applyBorder="1" applyAlignment="1">
      <alignment vertical="top"/>
    </xf>
    <xf numFmtId="0" fontId="28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0" fontId="6" fillId="0" borderId="0" xfId="0" applyNumberFormat="1" applyFont="1" applyBorder="1" applyAlignment="1">
      <alignment vertical="top"/>
    </xf>
    <xf numFmtId="10" fontId="15" fillId="0" borderId="0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16" fillId="10" borderId="0" xfId="0" applyFont="1" applyFill="1" applyBorder="1" applyAlignment="1">
      <alignment vertical="top"/>
    </xf>
    <xf numFmtId="0" fontId="18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top" wrapText="1"/>
    </xf>
    <xf numFmtId="0" fontId="27" fillId="0" borderId="1" xfId="0" applyFont="1" applyAlignment="1">
      <alignment vertical="top"/>
    </xf>
    <xf numFmtId="166" fontId="26" fillId="0" borderId="0" xfId="0" applyNumberFormat="1" applyFont="1" applyBorder="1" applyAlignment="1">
      <alignment horizontal="right" vertical="top"/>
    </xf>
    <xf numFmtId="164" fontId="26" fillId="0" borderId="0" xfId="0" applyNumberFormat="1" applyFont="1" applyBorder="1" applyAlignment="1">
      <alignment horizontal="right" vertical="top"/>
    </xf>
    <xf numFmtId="0" fontId="0" fillId="0" borderId="7" xfId="0" applyBorder="1" applyAlignment="1">
      <alignment vertical="top"/>
    </xf>
    <xf numFmtId="166" fontId="4" fillId="0" borderId="7" xfId="0" applyNumberFormat="1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24" fillId="0" borderId="7" xfId="0" applyFont="1" applyBorder="1" applyAlignment="1">
      <alignment vertical="top"/>
    </xf>
    <xf numFmtId="0" fontId="4" fillId="0" borderId="7" xfId="0" applyFont="1" applyBorder="1" applyAlignment="1">
      <alignment horizontal="left" vertical="top" wrapText="1"/>
    </xf>
    <xf numFmtId="166" fontId="4" fillId="0" borderId="7" xfId="0" applyNumberFormat="1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0" fontId="0" fillId="0" borderId="1" xfId="0" applyAlignment="1">
      <alignment vertical="top"/>
    </xf>
    <xf numFmtId="0" fontId="27" fillId="6" borderId="1" xfId="0" applyFont="1" applyFill="1" applyAlignment="1">
      <alignment vertical="top"/>
    </xf>
    <xf numFmtId="0" fontId="36" fillId="0" borderId="7" xfId="0" applyFont="1" applyBorder="1" applyAlignment="1">
      <alignment horizontal="left" vertical="top" wrapText="1"/>
    </xf>
    <xf numFmtId="166" fontId="36" fillId="0" borderId="7" xfId="0" applyNumberFormat="1" applyFont="1" applyBorder="1" applyAlignment="1">
      <alignment horizontal="right" vertical="top"/>
    </xf>
    <xf numFmtId="164" fontId="36" fillId="0" borderId="7" xfId="0" applyNumberFormat="1" applyFont="1" applyBorder="1" applyAlignment="1">
      <alignment horizontal="right" vertical="top"/>
    </xf>
    <xf numFmtId="0" fontId="33" fillId="7" borderId="4" xfId="0" applyFont="1" applyFill="1" applyBorder="1" applyAlignment="1">
      <alignment horizontal="center" vertical="top" wrapText="1"/>
    </xf>
    <xf numFmtId="0" fontId="33" fillId="7" borderId="12" xfId="0" applyFont="1" applyFill="1" applyBorder="1" applyAlignment="1">
      <alignment horizontal="center" vertical="top" wrapText="1"/>
    </xf>
    <xf numFmtId="0" fontId="33" fillId="7" borderId="3" xfId="0" applyFont="1" applyFill="1" applyBorder="1" applyAlignment="1">
      <alignment horizontal="center" vertical="top" wrapText="1"/>
    </xf>
    <xf numFmtId="0" fontId="33" fillId="7" borderId="2" xfId="0" applyFont="1" applyFill="1" applyBorder="1" applyAlignment="1">
      <alignment horizontal="center" vertical="top" wrapText="1"/>
    </xf>
    <xf numFmtId="0" fontId="33" fillId="2" borderId="4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10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horizontal="center" vertical="top" wrapText="1"/>
    </xf>
    <xf numFmtId="0" fontId="33" fillId="2" borderId="11" xfId="0" applyFont="1" applyFill="1" applyBorder="1" applyAlignment="1">
      <alignment horizontal="center" vertical="top" wrapText="1"/>
    </xf>
    <xf numFmtId="0" fontId="14" fillId="11" borderId="7" xfId="0" applyFont="1" applyFill="1" applyBorder="1" applyAlignment="1">
      <alignment horizontal="right" vertical="top"/>
    </xf>
    <xf numFmtId="164" fontId="14" fillId="11" borderId="7" xfId="0" applyNumberFormat="1" applyFont="1" applyFill="1" applyBorder="1" applyAlignment="1">
      <alignment horizontal="right" vertical="top"/>
    </xf>
    <xf numFmtId="3" fontId="14" fillId="11" borderId="7" xfId="0" applyNumberFormat="1" applyFont="1" applyFill="1" applyBorder="1" applyAlignment="1">
      <alignment horizontal="right" vertical="top"/>
    </xf>
    <xf numFmtId="167" fontId="14" fillId="11" borderId="7" xfId="0" applyNumberFormat="1" applyFont="1" applyFill="1" applyBorder="1" applyAlignment="1">
      <alignment horizontal="right" vertical="top"/>
    </xf>
    <xf numFmtId="2" fontId="14" fillId="11" borderId="7" xfId="0" applyNumberFormat="1" applyFont="1" applyFill="1" applyBorder="1" applyAlignment="1">
      <alignment horizontal="right" vertical="top"/>
    </xf>
    <xf numFmtId="0" fontId="14" fillId="0" borderId="7" xfId="0" applyFont="1" applyBorder="1" applyAlignment="1">
      <alignment horizontal="right" vertical="top"/>
    </xf>
    <xf numFmtId="164" fontId="14" fillId="0" borderId="7" xfId="0" applyNumberFormat="1" applyFont="1" applyBorder="1" applyAlignment="1">
      <alignment horizontal="right" vertical="top"/>
    </xf>
    <xf numFmtId="3" fontId="14" fillId="0" borderId="7" xfId="0" applyNumberFormat="1" applyFont="1" applyBorder="1" applyAlignment="1">
      <alignment horizontal="right" vertical="top"/>
    </xf>
    <xf numFmtId="167" fontId="14" fillId="0" borderId="7" xfId="0" applyNumberFormat="1" applyFont="1" applyBorder="1" applyAlignment="1">
      <alignment horizontal="right" vertical="top"/>
    </xf>
    <xf numFmtId="2" fontId="14" fillId="0" borderId="7" xfId="0" applyNumberFormat="1" applyFont="1" applyBorder="1" applyAlignment="1">
      <alignment horizontal="right" vertical="top"/>
    </xf>
    <xf numFmtId="0" fontId="14" fillId="11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4" fillId="11" borderId="7" xfId="0" applyFont="1" applyFill="1" applyBorder="1" applyAlignment="1">
      <alignment vertical="top"/>
    </xf>
    <xf numFmtId="166" fontId="14" fillId="11" borderId="7" xfId="0" applyNumberFormat="1" applyFont="1" applyFill="1" applyBorder="1" applyAlignment="1">
      <alignment vertical="top"/>
    </xf>
    <xf numFmtId="164" fontId="14" fillId="11" borderId="7" xfId="0" applyNumberFormat="1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166" fontId="14" fillId="0" borderId="7" xfId="0" applyNumberFormat="1" applyFont="1" applyBorder="1" applyAlignment="1">
      <alignment vertical="top"/>
    </xf>
    <xf numFmtId="164" fontId="14" fillId="0" borderId="7" xfId="0" applyNumberFormat="1" applyFont="1" applyBorder="1" applyAlignment="1">
      <alignment vertical="top"/>
    </xf>
    <xf numFmtId="166" fontId="14" fillId="11" borderId="7" xfId="0" applyNumberFormat="1" applyFont="1" applyFill="1" applyBorder="1" applyAlignment="1">
      <alignment horizontal="right" vertical="top"/>
    </xf>
    <xf numFmtId="166" fontId="14" fillId="0" borderId="7" xfId="0" applyNumberFormat="1" applyFont="1" applyBorder="1" applyAlignment="1">
      <alignment horizontal="right" vertical="top"/>
    </xf>
    <xf numFmtId="0" fontId="14" fillId="0" borderId="16" xfId="0" applyFont="1" applyBorder="1" applyAlignment="1">
      <alignment horizontal="left" vertical="top" wrapText="1"/>
    </xf>
    <xf numFmtId="166" fontId="14" fillId="0" borderId="16" xfId="0" applyNumberFormat="1" applyFont="1" applyBorder="1" applyAlignment="1">
      <alignment horizontal="right" vertical="top"/>
    </xf>
    <xf numFmtId="164" fontId="14" fillId="0" borderId="16" xfId="0" applyNumberFormat="1" applyFont="1" applyBorder="1" applyAlignment="1">
      <alignment horizontal="right" vertical="top"/>
    </xf>
    <xf numFmtId="0" fontId="14" fillId="11" borderId="7" xfId="0" applyFont="1" applyFill="1" applyBorder="1" applyAlignment="1">
      <alignment horizontal="right" vertical="top" wrapText="1"/>
    </xf>
    <xf numFmtId="0" fontId="14" fillId="0" borderId="7" xfId="0" applyFont="1" applyBorder="1" applyAlignment="1">
      <alignment horizontal="right" vertical="top" wrapText="1"/>
    </xf>
    <xf numFmtId="0" fontId="14" fillId="0" borderId="16" xfId="0" applyFont="1" applyBorder="1" applyAlignment="1">
      <alignment horizontal="right" vertical="top" wrapText="1"/>
    </xf>
    <xf numFmtId="0" fontId="0" fillId="0" borderId="7" xfId="0" applyBorder="1" applyAlignment="1">
      <alignment horizontal="right" vertical="top"/>
    </xf>
    <xf numFmtId="0" fontId="33" fillId="7" borderId="3" xfId="0" applyFont="1" applyFill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27" fillId="9" borderId="7" xfId="0" applyFont="1" applyFill="1" applyBorder="1" applyAlignment="1">
      <alignment vertical="top"/>
    </xf>
    <xf numFmtId="0" fontId="37" fillId="2" borderId="10" xfId="0" applyFont="1" applyFill="1" applyBorder="1" applyAlignment="1">
      <alignment vertical="top"/>
    </xf>
    <xf numFmtId="0" fontId="37" fillId="2" borderId="9" xfId="0" applyFont="1" applyFill="1" applyBorder="1" applyAlignment="1">
      <alignment vertical="top"/>
    </xf>
    <xf numFmtId="0" fontId="37" fillId="2" borderId="11" xfId="0" applyFont="1" applyFill="1" applyBorder="1" applyAlignment="1">
      <alignment horizontal="right" vertical="top"/>
    </xf>
    <xf numFmtId="168" fontId="37" fillId="2" borderId="10" xfId="1" applyNumberFormat="1" applyFont="1" applyFill="1" applyBorder="1" applyAlignment="1">
      <alignment vertical="top"/>
    </xf>
    <xf numFmtId="168" fontId="37" fillId="2" borderId="9" xfId="1" applyNumberFormat="1" applyFont="1" applyFill="1" applyBorder="1" applyAlignment="1">
      <alignment vertical="top"/>
    </xf>
    <xf numFmtId="168" fontId="37" fillId="2" borderId="11" xfId="1" applyNumberFormat="1" applyFont="1" applyFill="1" applyBorder="1" applyAlignment="1">
      <alignment horizontal="right" vertical="top"/>
    </xf>
    <xf numFmtId="0" fontId="5" fillId="11" borderId="7" xfId="0" applyFont="1" applyFill="1" applyBorder="1" applyAlignment="1">
      <alignment vertical="top"/>
    </xf>
    <xf numFmtId="168" fontId="5" fillId="11" borderId="7" xfId="1" applyNumberFormat="1" applyFont="1" applyFill="1" applyBorder="1" applyAlignment="1">
      <alignment vertical="top"/>
    </xf>
    <xf numFmtId="0" fontId="5" fillId="0" borderId="7" xfId="0" applyFont="1" applyBorder="1" applyAlignment="1">
      <alignment vertical="top"/>
    </xf>
    <xf numFmtId="168" fontId="5" fillId="0" borderId="7" xfId="1" applyNumberFormat="1" applyFont="1" applyBorder="1" applyAlignment="1">
      <alignment vertical="top"/>
    </xf>
    <xf numFmtId="0" fontId="34" fillId="0" borderId="7" xfId="0" applyFont="1" applyBorder="1" applyAlignment="1">
      <alignment vertical="top"/>
    </xf>
    <xf numFmtId="168" fontId="34" fillId="0" borderId="7" xfId="1" applyNumberFormat="1" applyFont="1" applyBorder="1" applyAlignment="1">
      <alignment vertical="top"/>
    </xf>
    <xf numFmtId="0" fontId="34" fillId="11" borderId="7" xfId="0" applyFont="1" applyFill="1" applyBorder="1" applyAlignment="1">
      <alignment vertical="top"/>
    </xf>
    <xf numFmtId="168" fontId="34" fillId="11" borderId="7" xfId="1" applyNumberFormat="1" applyFont="1" applyFill="1" applyBorder="1" applyAlignment="1">
      <alignment vertical="top"/>
    </xf>
    <xf numFmtId="0" fontId="5" fillId="12" borderId="7" xfId="0" applyFont="1" applyFill="1" applyBorder="1" applyAlignment="1">
      <alignment horizontal="left" vertical="top"/>
    </xf>
    <xf numFmtId="9" fontId="5" fillId="11" borderId="7" xfId="2" applyFont="1" applyFill="1" applyBorder="1" applyAlignment="1">
      <alignment horizontal="right" vertical="top"/>
    </xf>
    <xf numFmtId="0" fontId="5" fillId="13" borderId="7" xfId="0" applyFont="1" applyFill="1" applyBorder="1" applyAlignment="1">
      <alignment horizontal="left" vertical="top"/>
    </xf>
    <xf numFmtId="9" fontId="5" fillId="0" borderId="7" xfId="2" applyFont="1" applyBorder="1" applyAlignment="1">
      <alignment horizontal="right" vertical="top"/>
    </xf>
    <xf numFmtId="0" fontId="5" fillId="13" borderId="16" xfId="0" applyFont="1" applyFill="1" applyBorder="1" applyAlignment="1">
      <alignment horizontal="left" vertical="top"/>
    </xf>
    <xf numFmtId="9" fontId="5" fillId="0" borderId="16" xfId="2" applyFont="1" applyBorder="1" applyAlignment="1">
      <alignment horizontal="right" vertical="top"/>
    </xf>
    <xf numFmtId="0" fontId="1" fillId="0" borderId="1" xfId="0" applyFont="1" applyAlignment="1">
      <alignment vertical="top"/>
    </xf>
    <xf numFmtId="0" fontId="31" fillId="0" borderId="1" xfId="0" applyFont="1" applyAlignment="1">
      <alignment vertical="top"/>
    </xf>
    <xf numFmtId="0" fontId="4" fillId="0" borderId="1" xfId="0" applyFont="1" applyAlignment="1">
      <alignment vertical="top"/>
    </xf>
    <xf numFmtId="0" fontId="27" fillId="6" borderId="7" xfId="0" applyFont="1" applyFill="1" applyBorder="1" applyAlignment="1">
      <alignment vertical="top"/>
    </xf>
    <xf numFmtId="0" fontId="33" fillId="2" borderId="11" xfId="0" applyFont="1" applyFill="1" applyBorder="1" applyAlignment="1">
      <alignment horizontal="right" vertical="top" wrapText="1"/>
    </xf>
    <xf numFmtId="0" fontId="29" fillId="2" borderId="10" xfId="0" applyFont="1" applyFill="1" applyBorder="1" applyAlignment="1">
      <alignment vertical="top" wrapText="1"/>
    </xf>
    <xf numFmtId="0" fontId="30" fillId="2" borderId="9" xfId="0" applyFont="1" applyFill="1" applyBorder="1" applyAlignment="1">
      <alignment vertical="top" wrapText="1"/>
    </xf>
    <xf numFmtId="0" fontId="30" fillId="2" borderId="11" xfId="0" applyFont="1" applyFill="1" applyBorder="1" applyAlignment="1">
      <alignment horizontal="right" vertical="top" wrapText="1"/>
    </xf>
    <xf numFmtId="0" fontId="17" fillId="8" borderId="6" xfId="0" applyFont="1" applyFill="1" applyBorder="1" applyAlignment="1">
      <alignment vertical="top" wrapText="1"/>
    </xf>
    <xf numFmtId="0" fontId="12" fillId="7" borderId="6" xfId="0" applyFont="1" applyFill="1" applyBorder="1" applyAlignment="1">
      <alignment vertical="top" wrapText="1"/>
    </xf>
    <xf numFmtId="0" fontId="1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166" fontId="11" fillId="0" borderId="5" xfId="0" applyNumberFormat="1" applyFont="1" applyBorder="1" applyAlignment="1">
      <alignment vertical="top" wrapText="1"/>
    </xf>
    <xf numFmtId="166" fontId="4" fillId="0" borderId="5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2" fillId="7" borderId="8" xfId="0" applyFont="1" applyFill="1" applyBorder="1" applyAlignment="1">
      <alignment horizontal="center" vertical="top" wrapText="1"/>
    </xf>
    <xf numFmtId="0" fontId="22" fillId="7" borderId="8" xfId="0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9" fillId="0" borderId="7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4" fillId="11" borderId="7" xfId="0" applyFont="1" applyFill="1" applyBorder="1" applyAlignment="1">
      <alignment vertical="top" wrapText="1"/>
    </xf>
    <xf numFmtId="166" fontId="14" fillId="11" borderId="7" xfId="0" applyNumberFormat="1" applyFont="1" applyFill="1" applyBorder="1" applyAlignment="1">
      <alignment vertical="top" wrapText="1"/>
    </xf>
    <xf numFmtId="166" fontId="14" fillId="11" borderId="7" xfId="0" applyNumberFormat="1" applyFont="1" applyFill="1" applyBorder="1" applyAlignment="1">
      <alignment horizontal="right" vertical="top" wrapText="1"/>
    </xf>
    <xf numFmtId="0" fontId="14" fillId="0" borderId="7" xfId="0" applyFont="1" applyBorder="1" applyAlignment="1">
      <alignment vertical="top" wrapText="1"/>
    </xf>
    <xf numFmtId="166" fontId="14" fillId="0" borderId="7" xfId="0" applyNumberFormat="1" applyFont="1" applyBorder="1" applyAlignment="1">
      <alignment vertical="top" wrapText="1"/>
    </xf>
    <xf numFmtId="166" fontId="14" fillId="0" borderId="7" xfId="0" applyNumberFormat="1" applyFont="1" applyBorder="1" applyAlignment="1">
      <alignment horizontal="right" vertical="top" wrapText="1"/>
    </xf>
    <xf numFmtId="0" fontId="35" fillId="0" borderId="7" xfId="0" applyFont="1" applyBorder="1" applyAlignment="1">
      <alignment vertical="top" wrapText="1"/>
    </xf>
    <xf numFmtId="166" fontId="35" fillId="0" borderId="7" xfId="0" applyNumberFormat="1" applyFont="1" applyBorder="1" applyAlignment="1">
      <alignment vertical="top" wrapText="1"/>
    </xf>
    <xf numFmtId="0" fontId="36" fillId="11" borderId="7" xfId="0" applyFont="1" applyFill="1" applyBorder="1" applyAlignment="1">
      <alignment vertical="top" wrapText="1"/>
    </xf>
    <xf numFmtId="166" fontId="36" fillId="11" borderId="7" xfId="0" applyNumberFormat="1" applyFont="1" applyFill="1" applyBorder="1" applyAlignment="1">
      <alignment vertical="top" wrapText="1"/>
    </xf>
    <xf numFmtId="166" fontId="36" fillId="11" borderId="7" xfId="0" applyNumberFormat="1" applyFont="1" applyFill="1" applyBorder="1" applyAlignment="1">
      <alignment horizontal="right" vertical="top" wrapText="1"/>
    </xf>
    <xf numFmtId="166" fontId="35" fillId="0" borderId="7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12" fillId="7" borderId="6" xfId="0" applyFont="1" applyFill="1" applyBorder="1" applyAlignment="1">
      <alignment horizontal="right" vertical="top" wrapText="1"/>
    </xf>
    <xf numFmtId="0" fontId="33" fillId="7" borderId="12" xfId="0" applyFont="1" applyFill="1" applyBorder="1" applyAlignment="1">
      <alignment horizontal="right" vertical="top" wrapText="1"/>
    </xf>
    <xf numFmtId="0" fontId="0" fillId="0" borderId="1" xfId="0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0" fontId="27" fillId="5" borderId="7" xfId="0" applyFont="1" applyFill="1" applyBorder="1" applyAlignment="1">
      <alignment vertical="top"/>
    </xf>
    <xf numFmtId="0" fontId="14" fillId="11" borderId="7" xfId="0" applyFont="1" applyFill="1" applyBorder="1" applyAlignment="1">
      <alignment horizontal="center" vertical="top"/>
    </xf>
    <xf numFmtId="165" fontId="14" fillId="11" borderId="7" xfId="0" applyNumberFormat="1" applyFont="1" applyFill="1" applyBorder="1" applyAlignment="1">
      <alignment horizontal="center" vertical="top"/>
    </xf>
    <xf numFmtId="0" fontId="14" fillId="11" borderId="7" xfId="0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/>
    </xf>
    <xf numFmtId="165" fontId="14" fillId="0" borderId="7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 wrapText="1"/>
    </xf>
    <xf numFmtId="166" fontId="14" fillId="11" borderId="7" xfId="0" applyNumberFormat="1" applyFont="1" applyFill="1" applyBorder="1" applyAlignment="1">
      <alignment horizontal="center" vertical="top"/>
    </xf>
    <xf numFmtId="166" fontId="14" fillId="0" borderId="7" xfId="0" applyNumberFormat="1" applyFont="1" applyBorder="1" applyAlignment="1">
      <alignment horizontal="center" vertical="top"/>
    </xf>
    <xf numFmtId="0" fontId="33" fillId="7" borderId="7" xfId="0" applyFont="1" applyFill="1" applyBorder="1" applyAlignment="1">
      <alignment horizontal="center" vertical="top" wrapText="1"/>
    </xf>
    <xf numFmtId="0" fontId="0" fillId="11" borderId="7" xfId="0" applyFill="1" applyBorder="1" applyAlignment="1">
      <alignment horizontal="center" vertical="top"/>
    </xf>
    <xf numFmtId="166" fontId="36" fillId="11" borderId="7" xfId="0" applyNumberFormat="1" applyFont="1" applyFill="1" applyBorder="1" applyAlignment="1">
      <alignment horizontal="center" vertical="top"/>
    </xf>
    <xf numFmtId="0" fontId="33" fillId="2" borderId="7" xfId="0" applyFont="1" applyFill="1" applyBorder="1" applyAlignment="1">
      <alignment horizontal="center" vertical="top" wrapText="1"/>
    </xf>
    <xf numFmtId="164" fontId="14" fillId="11" borderId="7" xfId="0" applyNumberFormat="1" applyFont="1" applyFill="1" applyBorder="1" applyAlignment="1">
      <alignment horizontal="center" vertical="top"/>
    </xf>
    <xf numFmtId="164" fontId="14" fillId="0" borderId="7" xfId="0" applyNumberFormat="1" applyFont="1" applyBorder="1" applyAlignment="1">
      <alignment horizontal="center" vertical="top"/>
    </xf>
    <xf numFmtId="166" fontId="14" fillId="11" borderId="7" xfId="0" applyNumberFormat="1" applyFont="1" applyFill="1" applyBorder="1" applyAlignment="1">
      <alignment horizontal="left" vertical="top"/>
    </xf>
    <xf numFmtId="166" fontId="14" fillId="0" borderId="7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 wrapText="1"/>
    </xf>
    <xf numFmtId="166" fontId="4" fillId="0" borderId="7" xfId="0" applyNumberFormat="1" applyFont="1" applyBorder="1" applyAlignment="1">
      <alignment horizontal="center" vertical="top"/>
    </xf>
    <xf numFmtId="0" fontId="38" fillId="2" borderId="7" xfId="0" applyFont="1" applyFill="1" applyBorder="1" applyAlignment="1">
      <alignment horizontal="right" vertical="top"/>
    </xf>
    <xf numFmtId="0" fontId="38" fillId="2" borderId="7" xfId="0" applyFont="1" applyFill="1" applyBorder="1" applyAlignment="1">
      <alignment horizontal="left" vertical="top"/>
    </xf>
    <xf numFmtId="168" fontId="5" fillId="11" borderId="7" xfId="1" applyNumberFormat="1" applyFont="1" applyFill="1" applyBorder="1" applyAlignment="1">
      <alignment horizontal="right" vertical="top"/>
    </xf>
    <xf numFmtId="168" fontId="5" fillId="0" borderId="7" xfId="1" applyNumberFormat="1" applyFont="1" applyBorder="1" applyAlignment="1">
      <alignment horizontal="right" vertical="top"/>
    </xf>
    <xf numFmtId="168" fontId="5" fillId="0" borderId="16" xfId="1" applyNumberFormat="1" applyFont="1" applyBorder="1" applyAlignment="1">
      <alignment horizontal="right" vertical="top"/>
    </xf>
    <xf numFmtId="0" fontId="14" fillId="11" borderId="16" xfId="0" applyFont="1" applyFill="1" applyBorder="1" applyAlignment="1">
      <alignment vertical="top"/>
    </xf>
    <xf numFmtId="166" fontId="14" fillId="11" borderId="16" xfId="0" applyNumberFormat="1" applyFont="1" applyFill="1" applyBorder="1" applyAlignment="1">
      <alignment vertical="top"/>
    </xf>
    <xf numFmtId="164" fontId="14" fillId="11" borderId="16" xfId="0" applyNumberFormat="1" applyFont="1" applyFill="1" applyBorder="1" applyAlignment="1">
      <alignment vertical="top"/>
    </xf>
    <xf numFmtId="0" fontId="33" fillId="7" borderId="0" xfId="0" applyFont="1" applyFill="1" applyBorder="1" applyAlignment="1">
      <alignment horizontal="right" vertical="top"/>
    </xf>
    <xf numFmtId="0" fontId="17" fillId="0" borderId="1" xfId="0" applyFont="1" applyAlignment="1">
      <alignment vertical="top"/>
    </xf>
    <xf numFmtId="0" fontId="33" fillId="0" borderId="0" xfId="0" applyFont="1" applyBorder="1" applyAlignment="1">
      <alignment horizontal="right" vertical="top"/>
    </xf>
    <xf numFmtId="0" fontId="21" fillId="0" borderId="1" xfId="0" applyFont="1" applyAlignment="1">
      <alignment vertical="top"/>
    </xf>
    <xf numFmtId="0" fontId="0" fillId="0" borderId="0" xfId="0" applyBorder="1" applyAlignment="1">
      <alignment vertical="top"/>
    </xf>
    <xf numFmtId="0" fontId="16" fillId="0" borderId="1" xfId="0" applyFont="1" applyAlignment="1">
      <alignment vertical="top"/>
    </xf>
    <xf numFmtId="0" fontId="17" fillId="6" borderId="1" xfId="0" applyFont="1" applyFill="1" applyAlignment="1">
      <alignment vertical="top"/>
    </xf>
    <xf numFmtId="0" fontId="18" fillId="0" borderId="1" xfId="0" applyFont="1" applyAlignment="1">
      <alignment vertical="top"/>
    </xf>
    <xf numFmtId="0" fontId="19" fillId="0" borderId="1" xfId="0" applyFont="1" applyAlignment="1">
      <alignment vertical="top"/>
    </xf>
    <xf numFmtId="0" fontId="27" fillId="3" borderId="7" xfId="0" applyFont="1" applyFill="1" applyBorder="1" applyAlignment="1">
      <alignment vertical="top"/>
    </xf>
    <xf numFmtId="0" fontId="0" fillId="0" borderId="1" xfId="0" applyAlignment="1">
      <alignment vertical="top"/>
    </xf>
    <xf numFmtId="0" fontId="27" fillId="0" borderId="1" xfId="0" applyFont="1" applyAlignment="1">
      <alignment vertical="top"/>
    </xf>
    <xf numFmtId="0" fontId="24" fillId="0" borderId="0" xfId="0" applyFont="1" applyBorder="1" applyAlignment="1">
      <alignment vertical="top"/>
    </xf>
    <xf numFmtId="0" fontId="27" fillId="6" borderId="1" xfId="0" applyFont="1" applyFill="1" applyAlignment="1">
      <alignment vertical="top"/>
    </xf>
    <xf numFmtId="0" fontId="23" fillId="0" borderId="1" xfId="0" applyFont="1" applyAlignment="1">
      <alignment vertical="top"/>
    </xf>
    <xf numFmtId="0" fontId="0" fillId="0" borderId="0" xfId="0" applyBorder="1" applyAlignment="1">
      <alignment horizontal="right" vertical="top"/>
    </xf>
    <xf numFmtId="0" fontId="2" fillId="0" borderId="1" xfId="0" applyFont="1" applyAlignment="1">
      <alignment vertical="top"/>
    </xf>
    <xf numFmtId="0" fontId="14" fillId="0" borderId="1" xfId="0" applyFont="1" applyAlignment="1">
      <alignment vertical="top"/>
    </xf>
    <xf numFmtId="0" fontId="31" fillId="0" borderId="1" xfId="0" applyFont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27" fillId="9" borderId="7" xfId="0" applyFont="1" applyFill="1" applyBorder="1" applyAlignment="1">
      <alignment horizontal="left" vertical="top"/>
    </xf>
    <xf numFmtId="0" fontId="27" fillId="9" borderId="7" xfId="0" applyFont="1" applyFill="1" applyBorder="1" applyAlignment="1">
      <alignment vertical="top"/>
    </xf>
    <xf numFmtId="0" fontId="0" fillId="10" borderId="1" xfId="0" applyFill="1" applyAlignment="1">
      <alignment vertical="top"/>
    </xf>
    <xf numFmtId="0" fontId="17" fillId="9" borderId="7" xfId="0" applyFont="1" applyFill="1" applyBorder="1" applyAlignment="1">
      <alignment vertical="top"/>
    </xf>
    <xf numFmtId="0" fontId="27" fillId="6" borderId="7" xfId="0" applyFont="1" applyFill="1" applyBorder="1" applyAlignment="1">
      <alignment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DB813"/>
      <color rgb="FF0033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DD6F931-DFDC-43E0-9F78-D8A1390CFEDC}">
  <we:reference id="wa200009404" version="1.0.0.5" store="en-U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F"/>
  </sheetPr>
  <dimension ref="A1:H27"/>
  <sheetViews>
    <sheetView showGridLines="0" workbookViewId="0">
      <selection sqref="A1:XFD1048576"/>
    </sheetView>
  </sheetViews>
  <sheetFormatPr defaultRowHeight="15" x14ac:dyDescent="0.25"/>
  <cols>
    <col min="1" max="1" width="90" style="2" customWidth="1"/>
    <col min="2" max="2" width="3" style="2" customWidth="1"/>
    <col min="3" max="16384" width="9.140625" style="2"/>
  </cols>
  <sheetData>
    <row r="1" spans="1:7" ht="21" x14ac:dyDescent="0.25">
      <c r="A1" s="35" t="s">
        <v>0</v>
      </c>
    </row>
    <row r="2" spans="1:7" ht="20.100000000000001" customHeight="1" x14ac:dyDescent="0.25">
      <c r="A2" s="3" t="s">
        <v>1</v>
      </c>
    </row>
    <row r="3" spans="1:7" ht="15.95" customHeight="1" x14ac:dyDescent="0.25">
      <c r="A3" s="4" t="s">
        <v>2</v>
      </c>
    </row>
    <row r="4" spans="1:7" ht="15.95" customHeight="1" x14ac:dyDescent="0.25">
      <c r="A4" s="4" t="s">
        <v>3</v>
      </c>
    </row>
    <row r="5" spans="1:7" ht="15.95" customHeight="1" x14ac:dyDescent="0.25">
      <c r="A5" s="184" t="s">
        <v>22</v>
      </c>
      <c r="B5" s="185"/>
      <c r="C5" s="185"/>
      <c r="D5" s="185"/>
      <c r="E5" s="185"/>
      <c r="F5" s="185"/>
      <c r="G5" s="185"/>
    </row>
    <row r="7" spans="1:7" ht="24" customHeight="1" x14ac:dyDescent="0.25">
      <c r="A7" s="5" t="s">
        <v>4</v>
      </c>
    </row>
    <row r="8" spans="1:7" ht="36" x14ac:dyDescent="0.25">
      <c r="A8" s="36" t="s">
        <v>5</v>
      </c>
    </row>
    <row r="9" spans="1:7" ht="24" x14ac:dyDescent="0.25">
      <c r="A9" s="36" t="s">
        <v>6</v>
      </c>
    </row>
    <row r="10" spans="1:7" ht="36" x14ac:dyDescent="0.25">
      <c r="A10" s="36" t="s">
        <v>7</v>
      </c>
    </row>
    <row r="12" spans="1:7" ht="24" customHeight="1" x14ac:dyDescent="0.25">
      <c r="A12" s="5" t="s">
        <v>8</v>
      </c>
    </row>
    <row r="13" spans="1:7" x14ac:dyDescent="0.25">
      <c r="A13" s="1" t="s">
        <v>9</v>
      </c>
    </row>
    <row r="14" spans="1:7" ht="24" x14ac:dyDescent="0.25">
      <c r="A14" s="36" t="s">
        <v>10</v>
      </c>
    </row>
    <row r="15" spans="1:7" x14ac:dyDescent="0.25">
      <c r="A15" s="1" t="s">
        <v>11</v>
      </c>
    </row>
    <row r="16" spans="1:7" ht="24" x14ac:dyDescent="0.25">
      <c r="A16" s="36" t="s">
        <v>12</v>
      </c>
    </row>
    <row r="17" spans="1:8" x14ac:dyDescent="0.25">
      <c r="A17" s="1" t="s">
        <v>13</v>
      </c>
    </row>
    <row r="18" spans="1:8" ht="24" x14ac:dyDescent="0.25">
      <c r="A18" s="36" t="s">
        <v>14</v>
      </c>
    </row>
    <row r="19" spans="1:8" x14ac:dyDescent="0.25">
      <c r="A19" s="1" t="s">
        <v>15</v>
      </c>
    </row>
    <row r="20" spans="1:8" ht="24" x14ac:dyDescent="0.25">
      <c r="A20" s="36" t="s">
        <v>16</v>
      </c>
    </row>
    <row r="21" spans="1:8" x14ac:dyDescent="0.25">
      <c r="A21" s="1" t="s">
        <v>17</v>
      </c>
    </row>
    <row r="22" spans="1:8" ht="24" x14ac:dyDescent="0.25">
      <c r="A22" s="36" t="s">
        <v>18</v>
      </c>
    </row>
    <row r="24" spans="1:8" ht="24" customHeight="1" x14ac:dyDescent="0.25">
      <c r="A24" s="5" t="s">
        <v>19</v>
      </c>
    </row>
    <row r="25" spans="1:8" ht="36" x14ac:dyDescent="0.25">
      <c r="A25" s="37" t="s">
        <v>20</v>
      </c>
    </row>
    <row r="27" spans="1:8" ht="15.75" x14ac:dyDescent="0.25">
      <c r="A27" s="96" t="s">
        <v>379</v>
      </c>
      <c r="D27" s="12"/>
      <c r="E27" s="12"/>
      <c r="F27" s="12"/>
      <c r="G27" s="12"/>
      <c r="H27" s="12"/>
    </row>
  </sheetData>
  <mergeCells count="1">
    <mergeCell ref="A5:G5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00"/>
  </sheetPr>
  <dimension ref="A1:J51"/>
  <sheetViews>
    <sheetView showGridLines="0" topLeftCell="A38" workbookViewId="0">
      <selection activeCell="N39" sqref="N39"/>
    </sheetView>
  </sheetViews>
  <sheetFormatPr defaultRowHeight="15" x14ac:dyDescent="0.25"/>
  <cols>
    <col min="1" max="1" width="8" style="2" customWidth="1"/>
    <col min="2" max="2" width="14" style="14" customWidth="1"/>
    <col min="3" max="3" width="13" style="13" customWidth="1"/>
    <col min="4" max="5" width="14" style="2" customWidth="1"/>
    <col min="6" max="6" width="16" style="2" customWidth="1"/>
    <col min="7" max="7" width="13" style="2" customWidth="1"/>
    <col min="8" max="8" width="16" style="2" customWidth="1"/>
    <col min="9" max="9" width="12" style="2" customWidth="1"/>
    <col min="10" max="10" width="12" style="14" customWidth="1"/>
    <col min="11" max="12" width="3" style="2" customWidth="1"/>
    <col min="13" max="16384" width="9.140625" style="2"/>
  </cols>
  <sheetData>
    <row r="1" spans="1:10" ht="21" x14ac:dyDescent="0.25">
      <c r="A1" s="186" t="s">
        <v>21</v>
      </c>
      <c r="B1" s="185"/>
      <c r="C1" s="185"/>
      <c r="D1" s="185"/>
      <c r="E1" s="185"/>
      <c r="F1" s="185"/>
      <c r="G1" s="185"/>
      <c r="J1" s="2"/>
    </row>
    <row r="2" spans="1:10" ht="15.75" x14ac:dyDescent="0.25">
      <c r="A2" s="192" t="s">
        <v>380</v>
      </c>
      <c r="B2" s="193"/>
      <c r="C2" s="193"/>
      <c r="D2" s="193"/>
      <c r="E2" s="193"/>
      <c r="F2" s="193"/>
      <c r="G2" s="193"/>
      <c r="J2" s="2"/>
    </row>
    <row r="3" spans="1:10" x14ac:dyDescent="0.25">
      <c r="A3" s="188" t="s">
        <v>2</v>
      </c>
      <c r="B3" s="185"/>
      <c r="C3" s="185"/>
      <c r="D3" s="185"/>
      <c r="E3" s="185"/>
      <c r="F3" s="185"/>
      <c r="G3" s="185"/>
      <c r="J3" s="2"/>
    </row>
    <row r="4" spans="1:10" x14ac:dyDescent="0.25">
      <c r="A4" s="184" t="s">
        <v>22</v>
      </c>
      <c r="B4" s="185"/>
      <c r="C4" s="185"/>
      <c r="D4" s="185"/>
      <c r="E4" s="185"/>
      <c r="F4" s="185"/>
      <c r="G4" s="185"/>
      <c r="J4" s="2"/>
    </row>
    <row r="5" spans="1:10" s="41" customFormat="1" x14ac:dyDescent="0.25">
      <c r="B5" s="49"/>
      <c r="C5" s="93"/>
      <c r="J5" s="49"/>
    </row>
    <row r="6" spans="1:10" s="41" customFormat="1" x14ac:dyDescent="0.25">
      <c r="B6" s="49"/>
      <c r="C6" s="93"/>
      <c r="J6" s="49"/>
    </row>
    <row r="7" spans="1:10" ht="24" customHeight="1" x14ac:dyDescent="0.25">
      <c r="A7" s="187" t="s">
        <v>212</v>
      </c>
      <c r="B7" s="185"/>
      <c r="C7" s="185"/>
      <c r="D7" s="185"/>
      <c r="E7" s="185"/>
      <c r="F7" s="185"/>
      <c r="G7" s="185"/>
      <c r="H7" s="185"/>
      <c r="I7" s="185"/>
      <c r="J7" s="200"/>
    </row>
    <row r="8" spans="1:10" ht="21.95" customHeight="1" x14ac:dyDescent="0.25">
      <c r="A8" s="55" t="s">
        <v>91</v>
      </c>
      <c r="B8" s="56" t="s">
        <v>213</v>
      </c>
      <c r="C8" s="56" t="s">
        <v>214</v>
      </c>
      <c r="D8" s="56" t="s">
        <v>159</v>
      </c>
      <c r="E8" s="56" t="s">
        <v>215</v>
      </c>
      <c r="F8" s="56" t="s">
        <v>216</v>
      </c>
      <c r="G8" s="56" t="s">
        <v>217</v>
      </c>
      <c r="H8" s="56" t="s">
        <v>218</v>
      </c>
      <c r="I8" s="56" t="s">
        <v>219</v>
      </c>
      <c r="J8" s="57" t="s">
        <v>220</v>
      </c>
    </row>
    <row r="9" spans="1:10" ht="18" customHeight="1" x14ac:dyDescent="0.25">
      <c r="A9" s="155">
        <v>1</v>
      </c>
      <c r="B9" s="161">
        <f>'4. Revenue &amp; OpEx'!E8</f>
        <v>31825000</v>
      </c>
      <c r="C9" s="161">
        <f>'4. Revenue &amp; OpEx'!K8</f>
        <v>5515000</v>
      </c>
      <c r="D9" s="161">
        <f>'4. Revenue &amp; OpEx'!L8</f>
        <v>26310000</v>
      </c>
      <c r="E9" s="161">
        <f>'6. Debt Engine'!G8</f>
        <v>14466666.666666668</v>
      </c>
      <c r="F9" s="161">
        <f t="shared" ref="F9:F28" si="0">D9-E9</f>
        <v>11843333.333333332</v>
      </c>
      <c r="G9" s="161">
        <f t="shared" ref="G9:G28" si="1">IF(A9&lt;=5,750000,IF(A9&lt;=9,1750000,IF(A9&lt;=10,1250000,0)))</f>
        <v>750000</v>
      </c>
      <c r="H9" s="161">
        <f t="shared" ref="H9:H28" si="2">F9-G9</f>
        <v>11093333.333333332</v>
      </c>
      <c r="I9" s="156">
        <f>'6. Debt Engine'!I8</f>
        <v>1.818663594470046</v>
      </c>
      <c r="J9" s="157" t="str">
        <f>IF(I9&gt;='1. Inputs &amp; Scenarios'!$B$35,"YES","NO")</f>
        <v>NO</v>
      </c>
    </row>
    <row r="10" spans="1:10" ht="18" customHeight="1" x14ac:dyDescent="0.25">
      <c r="A10" s="158">
        <v>2</v>
      </c>
      <c r="B10" s="162">
        <f>'4. Revenue &amp; OpEx'!E9</f>
        <v>31561375</v>
      </c>
      <c r="C10" s="162">
        <f>'4. Revenue &amp; OpEx'!K9</f>
        <v>5629000</v>
      </c>
      <c r="D10" s="162">
        <f>'4. Revenue &amp; OpEx'!L9</f>
        <v>25932375</v>
      </c>
      <c r="E10" s="162">
        <f>'6. Debt Engine'!G9</f>
        <v>14033333.333333334</v>
      </c>
      <c r="F10" s="162">
        <f t="shared" si="0"/>
        <v>11899041.666666666</v>
      </c>
      <c r="G10" s="162">
        <f t="shared" si="1"/>
        <v>750000</v>
      </c>
      <c r="H10" s="162">
        <f t="shared" si="2"/>
        <v>11149041.666666666</v>
      </c>
      <c r="I10" s="159">
        <f>'6. Debt Engine'!I9</f>
        <v>1.8479127078384798</v>
      </c>
      <c r="J10" s="160" t="str">
        <f>IF(I10&gt;='1. Inputs &amp; Scenarios'!$B$35,"YES","NO")</f>
        <v>NO</v>
      </c>
    </row>
    <row r="11" spans="1:10" ht="18" customHeight="1" x14ac:dyDescent="0.25">
      <c r="A11" s="155">
        <v>3</v>
      </c>
      <c r="B11" s="161">
        <f>'4. Revenue &amp; OpEx'!E10</f>
        <v>31300635.625</v>
      </c>
      <c r="C11" s="161">
        <f>'4. Revenue &amp; OpEx'!K10</f>
        <v>5745520</v>
      </c>
      <c r="D11" s="161">
        <f>'4. Revenue &amp; OpEx'!L10</f>
        <v>25555115.625</v>
      </c>
      <c r="E11" s="161">
        <f>'6. Debt Engine'!G10</f>
        <v>13600000</v>
      </c>
      <c r="F11" s="161">
        <f t="shared" si="0"/>
        <v>11955115.625</v>
      </c>
      <c r="G11" s="161">
        <f t="shared" si="1"/>
        <v>750000</v>
      </c>
      <c r="H11" s="161">
        <f t="shared" si="2"/>
        <v>11205115.625</v>
      </c>
      <c r="I11" s="156">
        <f>'6. Debt Engine'!I10</f>
        <v>1.8790526194852941</v>
      </c>
      <c r="J11" s="157" t="str">
        <f>IF(I11&gt;='1. Inputs &amp; Scenarios'!$B$35,"YES","NO")</f>
        <v>NO</v>
      </c>
    </row>
    <row r="12" spans="1:10" ht="18" customHeight="1" x14ac:dyDescent="0.25">
      <c r="A12" s="158">
        <v>4</v>
      </c>
      <c r="B12" s="162">
        <f>'4. Revenue &amp; OpEx'!E11</f>
        <v>31042743.934375003</v>
      </c>
      <c r="C12" s="162">
        <f>'4. Revenue &amp; OpEx'!K11</f>
        <v>5864618.9500000002</v>
      </c>
      <c r="D12" s="162">
        <f>'4. Revenue &amp; OpEx'!L11</f>
        <v>25178124.984375004</v>
      </c>
      <c r="E12" s="162">
        <f>'6. Debt Engine'!G11</f>
        <v>13166666.666666666</v>
      </c>
      <c r="F12" s="162">
        <f t="shared" si="0"/>
        <v>12011458.317708338</v>
      </c>
      <c r="G12" s="162">
        <f t="shared" si="1"/>
        <v>750000</v>
      </c>
      <c r="H12" s="162">
        <f t="shared" si="2"/>
        <v>11261458.317708338</v>
      </c>
      <c r="I12" s="159">
        <f>'6. Debt Engine'!I11</f>
        <v>1.9122626570411396</v>
      </c>
      <c r="J12" s="160" t="str">
        <f>IF(I12&gt;='1. Inputs &amp; Scenarios'!$B$35,"YES","NO")</f>
        <v>NO</v>
      </c>
    </row>
    <row r="13" spans="1:10" ht="18" customHeight="1" x14ac:dyDescent="0.25">
      <c r="A13" s="155">
        <v>5</v>
      </c>
      <c r="B13" s="161">
        <f>'4. Revenue &amp; OpEx'!E12</f>
        <v>30787662.529890627</v>
      </c>
      <c r="C13" s="161">
        <f>'4. Revenue &amp; OpEx'!K12</f>
        <v>5986357.2557499995</v>
      </c>
      <c r="D13" s="161">
        <f>'4. Revenue &amp; OpEx'!L12</f>
        <v>24801305.274140626</v>
      </c>
      <c r="E13" s="161">
        <f>'6. Debt Engine'!G12</f>
        <v>12733333.333333332</v>
      </c>
      <c r="F13" s="161">
        <f t="shared" si="0"/>
        <v>12067971.940807294</v>
      </c>
      <c r="G13" s="161">
        <f t="shared" si="1"/>
        <v>750000</v>
      </c>
      <c r="H13" s="161">
        <f t="shared" si="2"/>
        <v>11317971.940807294</v>
      </c>
      <c r="I13" s="156">
        <f>'6. Debt Engine'!I12</f>
        <v>1.9477464874979551</v>
      </c>
      <c r="J13" s="157" t="str">
        <f>IF(I13&gt;='1. Inputs &amp; Scenarios'!$B$35,"YES","NO")</f>
        <v>NO</v>
      </c>
    </row>
    <row r="14" spans="1:10" ht="18" customHeight="1" x14ac:dyDescent="0.25">
      <c r="A14" s="158">
        <v>6</v>
      </c>
      <c r="B14" s="162">
        <f>'4. Revenue &amp; OpEx'!E13</f>
        <v>31355503.040154535</v>
      </c>
      <c r="C14" s="162">
        <f>'4. Revenue &amp; OpEx'!K13</f>
        <v>6110796.8164712489</v>
      </c>
      <c r="D14" s="162">
        <f>'4. Revenue &amp; OpEx'!L13</f>
        <v>25244706.223683286</v>
      </c>
      <c r="E14" s="162">
        <f>'6. Debt Engine'!G13</f>
        <v>12300000</v>
      </c>
      <c r="F14" s="162">
        <f t="shared" si="0"/>
        <v>12944706.223683286</v>
      </c>
      <c r="G14" s="162">
        <f t="shared" si="1"/>
        <v>1750000</v>
      </c>
      <c r="H14" s="162">
        <f t="shared" si="2"/>
        <v>11194706.223683286</v>
      </c>
      <c r="I14" s="159">
        <f>'6. Debt Engine'!I13</f>
        <v>2.0524151401368527</v>
      </c>
      <c r="J14" s="160" t="str">
        <f>IF(I14&gt;='1. Inputs &amp; Scenarios'!$B$35,"YES","NO")</f>
        <v>NO</v>
      </c>
    </row>
    <row r="15" spans="1:10" ht="18" customHeight="1" x14ac:dyDescent="0.25">
      <c r="A15" s="155">
        <v>7</v>
      </c>
      <c r="B15" s="161">
        <f>'4. Revenue &amp; OpEx'!E14</f>
        <v>31099188.833424807</v>
      </c>
      <c r="C15" s="161">
        <f>'4. Revenue &amp; OpEx'!K14</f>
        <v>6238001.0635946672</v>
      </c>
      <c r="D15" s="161">
        <f>'4. Revenue &amp; OpEx'!L14</f>
        <v>24861187.769830137</v>
      </c>
      <c r="E15" s="161">
        <f>'6. Debt Engine'!G14</f>
        <v>11866666.666666664</v>
      </c>
      <c r="F15" s="161">
        <f t="shared" si="0"/>
        <v>12994521.103163473</v>
      </c>
      <c r="G15" s="161">
        <f t="shared" si="1"/>
        <v>1750000</v>
      </c>
      <c r="H15" s="161">
        <f t="shared" si="2"/>
        <v>11244521.103163473</v>
      </c>
      <c r="I15" s="156">
        <f>'6. Debt Engine'!I14</f>
        <v>2.0950439131879333</v>
      </c>
      <c r="J15" s="157" t="str">
        <f>IF(I15&gt;='1. Inputs &amp; Scenarios'!$B$35,"YES","NO")</f>
        <v>NO</v>
      </c>
    </row>
    <row r="16" spans="1:10" ht="18" customHeight="1" x14ac:dyDescent="0.25">
      <c r="A16" s="158">
        <v>8</v>
      </c>
      <c r="B16" s="162">
        <f>'4. Revenue &amp; OpEx'!E15</f>
        <v>30845649.248101667</v>
      </c>
      <c r="C16" s="162">
        <f>'4. Revenue &amp; OpEx'!K15</f>
        <v>6368035.000544725</v>
      </c>
      <c r="D16" s="162">
        <f>'4. Revenue &amp; OpEx'!L15</f>
        <v>24477614.24755694</v>
      </c>
      <c r="E16" s="162">
        <f>'6. Debt Engine'!G15</f>
        <v>11433333.333333332</v>
      </c>
      <c r="F16" s="162">
        <f t="shared" si="0"/>
        <v>13044280.914223608</v>
      </c>
      <c r="G16" s="162">
        <f t="shared" si="1"/>
        <v>1750000</v>
      </c>
      <c r="H16" s="162">
        <f t="shared" si="2"/>
        <v>11294280.914223608</v>
      </c>
      <c r="I16" s="159">
        <f>'6. Debt Engine'!I15</f>
        <v>2.1408992053256801</v>
      </c>
      <c r="J16" s="160" t="str">
        <f>IF(I16&gt;='1. Inputs &amp; Scenarios'!$B$35,"YES","NO")</f>
        <v>NO</v>
      </c>
    </row>
    <row r="17" spans="1:10" ht="18" customHeight="1" x14ac:dyDescent="0.25">
      <c r="A17" s="155">
        <v>9</v>
      </c>
      <c r="B17" s="161">
        <f>'4. Revenue &amp; OpEx'!E16</f>
        <v>30594848.015322484</v>
      </c>
      <c r="C17" s="161">
        <f>'4. Revenue &amp; OpEx'!K16</f>
        <v>6500965.2435978809</v>
      </c>
      <c r="D17" s="161">
        <f>'4. Revenue &amp; OpEx'!L16</f>
        <v>24093882.771724604</v>
      </c>
      <c r="E17" s="161">
        <f>'6. Debt Engine'!G16</f>
        <v>10999999.999999998</v>
      </c>
      <c r="F17" s="161">
        <f t="shared" si="0"/>
        <v>13093882.771724606</v>
      </c>
      <c r="G17" s="161">
        <f t="shared" si="1"/>
        <v>1750000</v>
      </c>
      <c r="H17" s="161">
        <f t="shared" si="2"/>
        <v>11343882.771724606</v>
      </c>
      <c r="I17" s="156">
        <f>'6. Debt Engine'!I16</f>
        <v>2.1903529792476917</v>
      </c>
      <c r="J17" s="157" t="str">
        <f>IF(I17&gt;='1. Inputs &amp; Scenarios'!$B$35,"YES","NO")</f>
        <v>NO</v>
      </c>
    </row>
    <row r="18" spans="1:10" ht="18" customHeight="1" x14ac:dyDescent="0.25">
      <c r="A18" s="158">
        <v>10</v>
      </c>
      <c r="B18" s="162">
        <f>'4. Revenue &amp; OpEx'!E17</f>
        <v>30346749.383505277</v>
      </c>
      <c r="C18" s="162">
        <f>'4. Revenue &amp; OpEx'!K17</f>
        <v>6636860.0638455302</v>
      </c>
      <c r="D18" s="162">
        <f>'4. Revenue &amp; OpEx'!L17</f>
        <v>23709889.319659747</v>
      </c>
      <c r="E18" s="162">
        <f>'6. Debt Engine'!G17</f>
        <v>10566666.666666664</v>
      </c>
      <c r="F18" s="162">
        <f t="shared" si="0"/>
        <v>13143222.652993083</v>
      </c>
      <c r="G18" s="162">
        <f t="shared" si="1"/>
        <v>1250000</v>
      </c>
      <c r="H18" s="162">
        <f t="shared" si="2"/>
        <v>11893222.652993083</v>
      </c>
      <c r="I18" s="159">
        <f>'6. Debt Engine'!I17</f>
        <v>2.2438381059614909</v>
      </c>
      <c r="J18" s="160" t="str">
        <f>IF(I18&gt;='1. Inputs &amp; Scenarios'!$B$35,"YES","NO")</f>
        <v>NO</v>
      </c>
    </row>
    <row r="19" spans="1:10" ht="18" customHeight="1" x14ac:dyDescent="0.25">
      <c r="A19" s="155">
        <v>11</v>
      </c>
      <c r="B19" s="161">
        <f>'4. Revenue &amp; OpEx'!E18</f>
        <v>30888474.061132617</v>
      </c>
      <c r="C19" s="161">
        <f>'4. Revenue &amp; OpEx'!K18</f>
        <v>6775789.4302921975</v>
      </c>
      <c r="D19" s="161">
        <f>'4. Revenue &amp; OpEx'!L18</f>
        <v>24112684.630840421</v>
      </c>
      <c r="E19" s="161">
        <f>'6. Debt Engine'!G18</f>
        <v>10133333.333333332</v>
      </c>
      <c r="F19" s="161">
        <f t="shared" si="0"/>
        <v>13979351.297507089</v>
      </c>
      <c r="G19" s="161">
        <f t="shared" si="1"/>
        <v>0</v>
      </c>
      <c r="H19" s="161">
        <f t="shared" si="2"/>
        <v>13979351.297507089</v>
      </c>
      <c r="I19" s="156">
        <f>'6. Debt Engine'!I18</f>
        <v>2.3795412464645156</v>
      </c>
      <c r="J19" s="157" t="str">
        <f>IF(I19&gt;='1. Inputs &amp; Scenarios'!$B$35,"YES","NO")</f>
        <v>NO</v>
      </c>
    </row>
    <row r="20" spans="1:10" ht="18" customHeight="1" x14ac:dyDescent="0.25">
      <c r="A20" s="158">
        <v>12</v>
      </c>
      <c r="B20" s="162">
        <f>'4. Revenue &amp; OpEx'!E19</f>
        <v>30639289.39608999</v>
      </c>
      <c r="C20" s="162">
        <f>'4. Revenue &amp; OpEx'!K19</f>
        <v>6917825.0541206747</v>
      </c>
      <c r="D20" s="162">
        <f>'4. Revenue &amp; OpEx'!L19</f>
        <v>23721464.341969315</v>
      </c>
      <c r="E20" s="162">
        <f>'6. Debt Engine'!G19</f>
        <v>9699999.9999999981</v>
      </c>
      <c r="F20" s="162">
        <f t="shared" si="0"/>
        <v>14021464.341969317</v>
      </c>
      <c r="G20" s="162">
        <f t="shared" si="1"/>
        <v>0</v>
      </c>
      <c r="H20" s="162">
        <f t="shared" si="2"/>
        <v>14021464.341969317</v>
      </c>
      <c r="I20" s="159">
        <f>'6. Debt Engine'!I19</f>
        <v>2.4455117878318888</v>
      </c>
      <c r="J20" s="160" t="str">
        <f>IF(I20&gt;='1. Inputs &amp; Scenarios'!$B$35,"YES","NO")</f>
        <v>NO</v>
      </c>
    </row>
    <row r="21" spans="1:10" ht="18" customHeight="1" x14ac:dyDescent="0.25">
      <c r="A21" s="155">
        <v>13</v>
      </c>
      <c r="B21" s="161">
        <f>'4. Revenue &amp; OpEx'!E20</f>
        <v>30392771.788793642</v>
      </c>
      <c r="C21" s="161">
        <f>'4. Revenue &amp; OpEx'!K20</f>
        <v>7063040.4341566544</v>
      </c>
      <c r="D21" s="161">
        <f>'4. Revenue &amp; OpEx'!L20</f>
        <v>23329731.35463699</v>
      </c>
      <c r="E21" s="161">
        <f>'6. Debt Engine'!G20</f>
        <v>9266666.666666666</v>
      </c>
      <c r="F21" s="161">
        <f t="shared" si="0"/>
        <v>14063064.687970323</v>
      </c>
      <c r="G21" s="161">
        <f t="shared" si="1"/>
        <v>0</v>
      </c>
      <c r="H21" s="161">
        <f t="shared" si="2"/>
        <v>14063064.687970323</v>
      </c>
      <c r="I21" s="156">
        <f>'6. Debt Engine'!I20</f>
        <v>2.517596908773776</v>
      </c>
      <c r="J21" s="157" t="str">
        <f>IF(I21&gt;='1. Inputs &amp; Scenarios'!$B$35,"YES","NO")</f>
        <v>NO</v>
      </c>
    </row>
    <row r="22" spans="1:10" ht="18" customHeight="1" x14ac:dyDescent="0.25">
      <c r="A22" s="158">
        <v>14</v>
      </c>
      <c r="B22" s="162">
        <f>'4. Revenue &amp; OpEx'!E21</f>
        <v>30148886.586938512</v>
      </c>
      <c r="C22" s="162">
        <f>'4. Revenue &amp; OpEx'!K21</f>
        <v>7211510.9035663269</v>
      </c>
      <c r="D22" s="162">
        <f>'4. Revenue &amp; OpEx'!L21</f>
        <v>22937375.683372185</v>
      </c>
      <c r="E22" s="162">
        <f>'6. Debt Engine'!G21</f>
        <v>8833333.3333333321</v>
      </c>
      <c r="F22" s="162">
        <f t="shared" si="0"/>
        <v>14104042.350038853</v>
      </c>
      <c r="G22" s="162">
        <f t="shared" si="1"/>
        <v>0</v>
      </c>
      <c r="H22" s="162">
        <f t="shared" si="2"/>
        <v>14104042.350038853</v>
      </c>
      <c r="I22" s="159">
        <f>'6. Debt Engine'!I21</f>
        <v>2.5966840396270401</v>
      </c>
      <c r="J22" s="160" t="str">
        <f>IF(I22&gt;='1. Inputs &amp; Scenarios'!$B$35,"YES","NO")</f>
        <v>NO</v>
      </c>
    </row>
    <row r="23" spans="1:10" ht="18" customHeight="1" x14ac:dyDescent="0.25">
      <c r="A23" s="155">
        <v>15</v>
      </c>
      <c r="B23" s="161">
        <f>'4. Revenue &amp; OpEx'!E22</f>
        <v>29907599.631236318</v>
      </c>
      <c r="C23" s="161">
        <f>'4. Revenue &amp; OpEx'!K22</f>
        <v>7363313.6778214192</v>
      </c>
      <c r="D23" s="161">
        <f>'4. Revenue &amp; OpEx'!L22</f>
        <v>22544285.953414898</v>
      </c>
      <c r="E23" s="161">
        <f>'6. Debt Engine'!G22</f>
        <v>8399999.9999999981</v>
      </c>
      <c r="F23" s="161">
        <f t="shared" si="0"/>
        <v>14144285.9534149</v>
      </c>
      <c r="G23" s="161">
        <f t="shared" si="1"/>
        <v>0</v>
      </c>
      <c r="H23" s="161">
        <f t="shared" si="2"/>
        <v>14144285.9534149</v>
      </c>
      <c r="I23" s="156">
        <f>'6. Debt Engine'!I22</f>
        <v>2.6838435658827264</v>
      </c>
      <c r="J23" s="157" t="str">
        <f>IF(I23&gt;='1. Inputs &amp; Scenarios'!$B$35,"YES","NO")</f>
        <v>NO</v>
      </c>
    </row>
    <row r="24" spans="1:10" ht="18" customHeight="1" x14ac:dyDescent="0.25">
      <c r="A24" s="158">
        <v>16</v>
      </c>
      <c r="B24" s="162">
        <f>'4. Revenue &amp; OpEx'!E23</f>
        <v>30424781.0926705</v>
      </c>
      <c r="C24" s="162">
        <f>'4. Revenue &amp; OpEx'!K23</f>
        <v>7518527.90396709</v>
      </c>
      <c r="D24" s="162">
        <f>'4. Revenue &amp; OpEx'!L23</f>
        <v>22906253.18870341</v>
      </c>
      <c r="E24" s="162">
        <f>'6. Debt Engine'!G23</f>
        <v>7966666.6666666651</v>
      </c>
      <c r="F24" s="162">
        <f t="shared" si="0"/>
        <v>14939586.522036746</v>
      </c>
      <c r="G24" s="162">
        <f t="shared" si="1"/>
        <v>0</v>
      </c>
      <c r="H24" s="162">
        <f t="shared" si="2"/>
        <v>14939586.522036746</v>
      </c>
      <c r="I24" s="159">
        <f>'6. Debt Engine'!I23</f>
        <v>2.8752619065318092</v>
      </c>
      <c r="J24" s="160" t="str">
        <f>IF(I24&gt;='1. Inputs &amp; Scenarios'!$B$35,"YES","NO")</f>
        <v>NO</v>
      </c>
    </row>
    <row r="25" spans="1:10" ht="18" customHeight="1" x14ac:dyDescent="0.25">
      <c r="A25" s="155">
        <v>17</v>
      </c>
      <c r="B25" s="161">
        <f>'4. Revenue &amp; OpEx'!E24</f>
        <v>30182538.672732152</v>
      </c>
      <c r="C25" s="161">
        <f>'4. Revenue &amp; OpEx'!K24</f>
        <v>7677234.7112291129</v>
      </c>
      <c r="D25" s="161">
        <f>'4. Revenue &amp; OpEx'!L24</f>
        <v>22505303.96150304</v>
      </c>
      <c r="E25" s="161">
        <f>'6. Debt Engine'!G24</f>
        <v>7533333.3333333321</v>
      </c>
      <c r="F25" s="161">
        <f t="shared" si="0"/>
        <v>14971970.628169708</v>
      </c>
      <c r="G25" s="161">
        <f t="shared" si="1"/>
        <v>0</v>
      </c>
      <c r="H25" s="161">
        <f t="shared" si="2"/>
        <v>14971970.628169708</v>
      </c>
      <c r="I25" s="156">
        <f>'6. Debt Engine'!I24</f>
        <v>2.987429729403059</v>
      </c>
      <c r="J25" s="157" t="str">
        <f>IF(I25&gt;='1. Inputs &amp; Scenarios'!$B$35,"YES","NO")</f>
        <v>NO</v>
      </c>
    </row>
    <row r="26" spans="1:10" ht="18" customHeight="1" x14ac:dyDescent="0.25">
      <c r="A26" s="158">
        <v>18</v>
      </c>
      <c r="B26" s="162">
        <f>'4. Revenue &amp; OpEx'!E25</f>
        <v>29942859.242610622</v>
      </c>
      <c r="C26" s="162">
        <f>'4. Revenue &amp; OpEx'!K25</f>
        <v>7839517.2629978573</v>
      </c>
      <c r="D26" s="162">
        <f>'4. Revenue &amp; OpEx'!L25</f>
        <v>22103341.979612764</v>
      </c>
      <c r="E26" s="162">
        <f>'6. Debt Engine'!G25</f>
        <v>7099999.9999999702</v>
      </c>
      <c r="F26" s="162">
        <f t="shared" si="0"/>
        <v>15003341.979612794</v>
      </c>
      <c r="G26" s="162">
        <f t="shared" si="1"/>
        <v>0</v>
      </c>
      <c r="H26" s="162">
        <f t="shared" si="2"/>
        <v>15003341.979612794</v>
      </c>
      <c r="I26" s="159">
        <f>'6. Debt Engine'!I25</f>
        <v>3.1131467576919518</v>
      </c>
      <c r="J26" s="160" t="str">
        <f>IF(I26&gt;='1. Inputs &amp; Scenarios'!$B$35,"YES","NO")</f>
        <v>NO</v>
      </c>
    </row>
    <row r="27" spans="1:10" ht="18" customHeight="1" x14ac:dyDescent="0.25">
      <c r="A27" s="155">
        <v>19</v>
      </c>
      <c r="B27" s="161">
        <f>'4. Revenue &amp; OpEx'!E26</f>
        <v>29705709.710691068</v>
      </c>
      <c r="C27" s="161">
        <f>'4. Revenue &amp; OpEx'!K26</f>
        <v>8005460.8102275906</v>
      </c>
      <c r="D27" s="161">
        <f>'4. Revenue &amp; OpEx'!L26</f>
        <v>21700248.900463477</v>
      </c>
      <c r="E27" s="161">
        <f>'6. Debt Engine'!G26</f>
        <v>0</v>
      </c>
      <c r="F27" s="161">
        <f t="shared" si="0"/>
        <v>21700248.900463477</v>
      </c>
      <c r="G27" s="161">
        <f t="shared" si="1"/>
        <v>0</v>
      </c>
      <c r="H27" s="161">
        <f t="shared" si="2"/>
        <v>21700248.900463477</v>
      </c>
      <c r="I27" s="156">
        <f>'6. Debt Engine'!I26</f>
        <v>99</v>
      </c>
      <c r="J27" s="157" t="str">
        <f>IF(I27&gt;='1. Inputs &amp; Scenarios'!$B$35,"YES","NO")</f>
        <v>NO</v>
      </c>
    </row>
    <row r="28" spans="1:10" ht="18" customHeight="1" x14ac:dyDescent="0.25">
      <c r="A28" s="158">
        <v>20</v>
      </c>
      <c r="B28" s="162">
        <f>'4. Revenue &amp; OpEx'!E27</f>
        <v>29471057.454966709</v>
      </c>
      <c r="C28" s="162">
        <f>'4. Revenue &amp; OpEx'!K27</f>
        <v>8175152.746290789</v>
      </c>
      <c r="D28" s="162">
        <f>'4. Revenue &amp; OpEx'!L27</f>
        <v>21295904.708675921</v>
      </c>
      <c r="E28" s="162">
        <f>'6. Debt Engine'!G27</f>
        <v>0</v>
      </c>
      <c r="F28" s="162">
        <f t="shared" si="0"/>
        <v>21295904.708675921</v>
      </c>
      <c r="G28" s="162">
        <f t="shared" si="1"/>
        <v>0</v>
      </c>
      <c r="H28" s="162">
        <f t="shared" si="2"/>
        <v>21295904.708675921</v>
      </c>
      <c r="I28" s="159">
        <f>'6. Debt Engine'!I27</f>
        <v>99</v>
      </c>
      <c r="J28" s="160" t="str">
        <f>IF(I28&gt;='1. Inputs &amp; Scenarios'!$B$35,"YES","NO")</f>
        <v>NO</v>
      </c>
    </row>
    <row r="30" spans="1:10" ht="24" customHeight="1" x14ac:dyDescent="0.25">
      <c r="A30" s="187" t="s">
        <v>221</v>
      </c>
      <c r="B30" s="185"/>
      <c r="C30" s="185"/>
      <c r="D30" s="185"/>
      <c r="E30" s="185"/>
      <c r="F30" s="185"/>
      <c r="G30" s="185"/>
      <c r="H30" s="185"/>
    </row>
    <row r="31" spans="1:10" ht="21.95" customHeight="1" x14ac:dyDescent="0.25">
      <c r="A31" s="55" t="s">
        <v>91</v>
      </c>
      <c r="B31" s="56" t="s">
        <v>222</v>
      </c>
      <c r="C31" s="56" t="s">
        <v>223</v>
      </c>
      <c r="D31" s="56" t="s">
        <v>224</v>
      </c>
      <c r="E31" s="56" t="s">
        <v>225</v>
      </c>
      <c r="F31" s="56" t="s">
        <v>226</v>
      </c>
      <c r="G31" s="56" t="s">
        <v>227</v>
      </c>
      <c r="H31" s="57" t="s">
        <v>228</v>
      </c>
    </row>
    <row r="32" spans="1:10" ht="18" customHeight="1" x14ac:dyDescent="0.25">
      <c r="A32" s="155">
        <v>1</v>
      </c>
      <c r="B32" s="161">
        <f t="shared" ref="B32:B51" si="3">H9</f>
        <v>11093333.333333332</v>
      </c>
      <c r="C32" s="157" t="s">
        <v>229</v>
      </c>
      <c r="D32" s="161">
        <f t="shared" ref="D32:D37" si="4">B32*0.99</f>
        <v>10982399.999999998</v>
      </c>
      <c r="E32" s="161">
        <f t="shared" ref="E32:E37" si="5">B32*0.01</f>
        <v>110933.33333333333</v>
      </c>
      <c r="F32" s="161">
        <f t="shared" ref="F32:F51" si="6">D32</f>
        <v>10982399.999999998</v>
      </c>
      <c r="G32" s="161">
        <f t="shared" ref="G32:G51" si="7">E32</f>
        <v>110933.33333333333</v>
      </c>
      <c r="H32" s="161">
        <f>-'1. Inputs &amp; Scenarios'!B25+E32</f>
        <v>-19889066.666666668</v>
      </c>
    </row>
    <row r="33" spans="1:8" ht="18" customHeight="1" x14ac:dyDescent="0.25">
      <c r="A33" s="158">
        <v>2</v>
      </c>
      <c r="B33" s="162">
        <f t="shared" si="3"/>
        <v>11149041.666666666</v>
      </c>
      <c r="C33" s="160" t="s">
        <v>229</v>
      </c>
      <c r="D33" s="162">
        <f t="shared" si="4"/>
        <v>11037551.25</v>
      </c>
      <c r="E33" s="162">
        <f t="shared" si="5"/>
        <v>111490.41666666666</v>
      </c>
      <c r="F33" s="162">
        <f t="shared" si="6"/>
        <v>11037551.25</v>
      </c>
      <c r="G33" s="162">
        <f t="shared" si="7"/>
        <v>111490.41666666666</v>
      </c>
      <c r="H33" s="162">
        <f t="shared" ref="H33:H51" si="8">E33</f>
        <v>111490.41666666666</v>
      </c>
    </row>
    <row r="34" spans="1:8" ht="18" customHeight="1" x14ac:dyDescent="0.25">
      <c r="A34" s="155">
        <v>3</v>
      </c>
      <c r="B34" s="161">
        <f t="shared" si="3"/>
        <v>11205115.625</v>
      </c>
      <c r="C34" s="157" t="s">
        <v>229</v>
      </c>
      <c r="D34" s="161">
        <f t="shared" si="4"/>
        <v>11093064.46875</v>
      </c>
      <c r="E34" s="161">
        <f t="shared" si="5"/>
        <v>112051.15625</v>
      </c>
      <c r="F34" s="161">
        <f t="shared" si="6"/>
        <v>11093064.46875</v>
      </c>
      <c r="G34" s="161">
        <f t="shared" si="7"/>
        <v>112051.15625</v>
      </c>
      <c r="H34" s="161">
        <f t="shared" si="8"/>
        <v>112051.15625</v>
      </c>
    </row>
    <row r="35" spans="1:8" ht="18" customHeight="1" x14ac:dyDescent="0.25">
      <c r="A35" s="158">
        <v>4</v>
      </c>
      <c r="B35" s="162">
        <f t="shared" si="3"/>
        <v>11261458.317708338</v>
      </c>
      <c r="C35" s="160" t="s">
        <v>229</v>
      </c>
      <c r="D35" s="162">
        <f t="shared" si="4"/>
        <v>11148843.734531254</v>
      </c>
      <c r="E35" s="162">
        <f t="shared" si="5"/>
        <v>112614.58317708338</v>
      </c>
      <c r="F35" s="162">
        <f t="shared" si="6"/>
        <v>11148843.734531254</v>
      </c>
      <c r="G35" s="162">
        <f t="shared" si="7"/>
        <v>112614.58317708338</v>
      </c>
      <c r="H35" s="162">
        <f t="shared" si="8"/>
        <v>112614.58317708338</v>
      </c>
    </row>
    <row r="36" spans="1:8" ht="18" customHeight="1" x14ac:dyDescent="0.25">
      <c r="A36" s="155">
        <v>5</v>
      </c>
      <c r="B36" s="161">
        <f t="shared" si="3"/>
        <v>11317971.940807294</v>
      </c>
      <c r="C36" s="157" t="s">
        <v>229</v>
      </c>
      <c r="D36" s="161">
        <f t="shared" si="4"/>
        <v>11204792.221399222</v>
      </c>
      <c r="E36" s="161">
        <f t="shared" si="5"/>
        <v>113179.71940807294</v>
      </c>
      <c r="F36" s="161">
        <f t="shared" si="6"/>
        <v>11204792.221399222</v>
      </c>
      <c r="G36" s="161">
        <f t="shared" si="7"/>
        <v>113179.71940807294</v>
      </c>
      <c r="H36" s="161">
        <f t="shared" si="8"/>
        <v>113179.71940807294</v>
      </c>
    </row>
    <row r="37" spans="1:8" ht="18" customHeight="1" x14ac:dyDescent="0.25">
      <c r="A37" s="158">
        <v>6</v>
      </c>
      <c r="B37" s="162">
        <f t="shared" si="3"/>
        <v>11194706.223683286</v>
      </c>
      <c r="C37" s="160" t="s">
        <v>229</v>
      </c>
      <c r="D37" s="162">
        <f t="shared" si="4"/>
        <v>11082759.161446454</v>
      </c>
      <c r="E37" s="162">
        <f t="shared" si="5"/>
        <v>111947.06223683286</v>
      </c>
      <c r="F37" s="162">
        <f t="shared" si="6"/>
        <v>11082759.161446454</v>
      </c>
      <c r="G37" s="162">
        <f t="shared" si="7"/>
        <v>111947.06223683286</v>
      </c>
      <c r="H37" s="162">
        <f t="shared" si="8"/>
        <v>111947.06223683286</v>
      </c>
    </row>
    <row r="38" spans="1:8" ht="18" customHeight="1" x14ac:dyDescent="0.25">
      <c r="A38" s="155">
        <v>7</v>
      </c>
      <c r="B38" s="161">
        <f t="shared" si="3"/>
        <v>11244521.103163473</v>
      </c>
      <c r="C38" s="157" t="s">
        <v>230</v>
      </c>
      <c r="D38" s="161">
        <f t="shared" ref="D38:D51" si="9">B38*0.05</f>
        <v>562226.05515817367</v>
      </c>
      <c r="E38" s="161">
        <f t="shared" ref="E38:E51" si="10">B38*0.95</f>
        <v>10682295.0480053</v>
      </c>
      <c r="F38" s="161">
        <f t="shared" si="6"/>
        <v>562226.05515817367</v>
      </c>
      <c r="G38" s="161">
        <f t="shared" si="7"/>
        <v>10682295.0480053</v>
      </c>
      <c r="H38" s="161">
        <f t="shared" si="8"/>
        <v>10682295.0480053</v>
      </c>
    </row>
    <row r="39" spans="1:8" ht="18" customHeight="1" x14ac:dyDescent="0.25">
      <c r="A39" s="158">
        <v>8</v>
      </c>
      <c r="B39" s="162">
        <f t="shared" si="3"/>
        <v>11294280.914223608</v>
      </c>
      <c r="C39" s="160" t="s">
        <v>230</v>
      </c>
      <c r="D39" s="162">
        <f t="shared" si="9"/>
        <v>564714.04571118043</v>
      </c>
      <c r="E39" s="162">
        <f t="shared" si="10"/>
        <v>10729566.868512427</v>
      </c>
      <c r="F39" s="162">
        <f t="shared" si="6"/>
        <v>564714.04571118043</v>
      </c>
      <c r="G39" s="162">
        <f t="shared" si="7"/>
        <v>10729566.868512427</v>
      </c>
      <c r="H39" s="162">
        <f t="shared" si="8"/>
        <v>10729566.868512427</v>
      </c>
    </row>
    <row r="40" spans="1:8" ht="18" customHeight="1" x14ac:dyDescent="0.25">
      <c r="A40" s="155">
        <v>9</v>
      </c>
      <c r="B40" s="161">
        <f t="shared" si="3"/>
        <v>11343882.771724606</v>
      </c>
      <c r="C40" s="157" t="s">
        <v>230</v>
      </c>
      <c r="D40" s="161">
        <f t="shared" si="9"/>
        <v>567194.13858623034</v>
      </c>
      <c r="E40" s="161">
        <f t="shared" si="10"/>
        <v>10776688.633138375</v>
      </c>
      <c r="F40" s="161">
        <f t="shared" si="6"/>
        <v>567194.13858623034</v>
      </c>
      <c r="G40" s="161">
        <f t="shared" si="7"/>
        <v>10776688.633138375</v>
      </c>
      <c r="H40" s="161">
        <f t="shared" si="8"/>
        <v>10776688.633138375</v>
      </c>
    </row>
    <row r="41" spans="1:8" ht="18" customHeight="1" x14ac:dyDescent="0.25">
      <c r="A41" s="158">
        <v>10</v>
      </c>
      <c r="B41" s="162">
        <f t="shared" si="3"/>
        <v>11893222.652993083</v>
      </c>
      <c r="C41" s="160" t="s">
        <v>230</v>
      </c>
      <c r="D41" s="162">
        <f t="shared" si="9"/>
        <v>594661.13264965417</v>
      </c>
      <c r="E41" s="162">
        <f t="shared" si="10"/>
        <v>11298561.520343428</v>
      </c>
      <c r="F41" s="162">
        <f t="shared" si="6"/>
        <v>594661.13264965417</v>
      </c>
      <c r="G41" s="162">
        <f t="shared" si="7"/>
        <v>11298561.520343428</v>
      </c>
      <c r="H41" s="162">
        <f t="shared" si="8"/>
        <v>11298561.520343428</v>
      </c>
    </row>
    <row r="42" spans="1:8" ht="18" customHeight="1" x14ac:dyDescent="0.25">
      <c r="A42" s="155">
        <v>11</v>
      </c>
      <c r="B42" s="161">
        <f t="shared" si="3"/>
        <v>13979351.297507089</v>
      </c>
      <c r="C42" s="157" t="s">
        <v>230</v>
      </c>
      <c r="D42" s="161">
        <f t="shared" si="9"/>
        <v>698967.56487535452</v>
      </c>
      <c r="E42" s="161">
        <f t="shared" si="10"/>
        <v>13280383.732631734</v>
      </c>
      <c r="F42" s="161">
        <f t="shared" si="6"/>
        <v>698967.56487535452</v>
      </c>
      <c r="G42" s="161">
        <f t="shared" si="7"/>
        <v>13280383.732631734</v>
      </c>
      <c r="H42" s="161">
        <f t="shared" si="8"/>
        <v>13280383.732631734</v>
      </c>
    </row>
    <row r="43" spans="1:8" ht="18" customHeight="1" x14ac:dyDescent="0.25">
      <c r="A43" s="158">
        <v>12</v>
      </c>
      <c r="B43" s="162">
        <f t="shared" si="3"/>
        <v>14021464.341969317</v>
      </c>
      <c r="C43" s="160" t="s">
        <v>230</v>
      </c>
      <c r="D43" s="162">
        <f t="shared" si="9"/>
        <v>701073.21709846589</v>
      </c>
      <c r="E43" s="162">
        <f t="shared" si="10"/>
        <v>13320391.12487085</v>
      </c>
      <c r="F43" s="162">
        <f t="shared" si="6"/>
        <v>701073.21709846589</v>
      </c>
      <c r="G43" s="162">
        <f t="shared" si="7"/>
        <v>13320391.12487085</v>
      </c>
      <c r="H43" s="162">
        <f t="shared" si="8"/>
        <v>13320391.12487085</v>
      </c>
    </row>
    <row r="44" spans="1:8" ht="18" customHeight="1" x14ac:dyDescent="0.25">
      <c r="A44" s="155">
        <v>13</v>
      </c>
      <c r="B44" s="161">
        <f t="shared" si="3"/>
        <v>14063064.687970323</v>
      </c>
      <c r="C44" s="157" t="s">
        <v>230</v>
      </c>
      <c r="D44" s="161">
        <f t="shared" si="9"/>
        <v>703153.23439851624</v>
      </c>
      <c r="E44" s="161">
        <f t="shared" si="10"/>
        <v>13359911.453571808</v>
      </c>
      <c r="F44" s="161">
        <f t="shared" si="6"/>
        <v>703153.23439851624</v>
      </c>
      <c r="G44" s="161">
        <f t="shared" si="7"/>
        <v>13359911.453571808</v>
      </c>
      <c r="H44" s="161">
        <f t="shared" si="8"/>
        <v>13359911.453571808</v>
      </c>
    </row>
    <row r="45" spans="1:8" ht="18" customHeight="1" x14ac:dyDescent="0.25">
      <c r="A45" s="158">
        <v>14</v>
      </c>
      <c r="B45" s="162">
        <f t="shared" si="3"/>
        <v>14104042.350038853</v>
      </c>
      <c r="C45" s="160" t="s">
        <v>230</v>
      </c>
      <c r="D45" s="162">
        <f t="shared" si="9"/>
        <v>705202.11750194267</v>
      </c>
      <c r="E45" s="162">
        <f t="shared" si="10"/>
        <v>13398840.23253691</v>
      </c>
      <c r="F45" s="162">
        <f t="shared" si="6"/>
        <v>705202.11750194267</v>
      </c>
      <c r="G45" s="162">
        <f t="shared" si="7"/>
        <v>13398840.23253691</v>
      </c>
      <c r="H45" s="162">
        <f t="shared" si="8"/>
        <v>13398840.23253691</v>
      </c>
    </row>
    <row r="46" spans="1:8" ht="18" customHeight="1" x14ac:dyDescent="0.25">
      <c r="A46" s="155">
        <v>15</v>
      </c>
      <c r="B46" s="161">
        <f t="shared" si="3"/>
        <v>14144285.9534149</v>
      </c>
      <c r="C46" s="157" t="s">
        <v>230</v>
      </c>
      <c r="D46" s="161">
        <f t="shared" si="9"/>
        <v>707214.29767074506</v>
      </c>
      <c r="E46" s="161">
        <f t="shared" si="10"/>
        <v>13437071.655744154</v>
      </c>
      <c r="F46" s="161">
        <f t="shared" si="6"/>
        <v>707214.29767074506</v>
      </c>
      <c r="G46" s="161">
        <f t="shared" si="7"/>
        <v>13437071.655744154</v>
      </c>
      <c r="H46" s="161">
        <f t="shared" si="8"/>
        <v>13437071.655744154</v>
      </c>
    </row>
    <row r="47" spans="1:8" ht="18" customHeight="1" x14ac:dyDescent="0.25">
      <c r="A47" s="158">
        <v>16</v>
      </c>
      <c r="B47" s="162">
        <f t="shared" si="3"/>
        <v>14939586.522036746</v>
      </c>
      <c r="C47" s="160" t="s">
        <v>230</v>
      </c>
      <c r="D47" s="162">
        <f t="shared" si="9"/>
        <v>746979.32610183733</v>
      </c>
      <c r="E47" s="162">
        <f t="shared" si="10"/>
        <v>14192607.195934908</v>
      </c>
      <c r="F47" s="162">
        <f t="shared" si="6"/>
        <v>746979.32610183733</v>
      </c>
      <c r="G47" s="162">
        <f t="shared" si="7"/>
        <v>14192607.195934908</v>
      </c>
      <c r="H47" s="162">
        <f t="shared" si="8"/>
        <v>14192607.195934908</v>
      </c>
    </row>
    <row r="48" spans="1:8" ht="18" customHeight="1" x14ac:dyDescent="0.25">
      <c r="A48" s="155">
        <v>17</v>
      </c>
      <c r="B48" s="161">
        <f t="shared" si="3"/>
        <v>14971970.628169708</v>
      </c>
      <c r="C48" s="157" t="s">
        <v>230</v>
      </c>
      <c r="D48" s="161">
        <f t="shared" si="9"/>
        <v>748598.53140848549</v>
      </c>
      <c r="E48" s="161">
        <f t="shared" si="10"/>
        <v>14223372.096761221</v>
      </c>
      <c r="F48" s="161">
        <f t="shared" si="6"/>
        <v>748598.53140848549</v>
      </c>
      <c r="G48" s="161">
        <f t="shared" si="7"/>
        <v>14223372.096761221</v>
      </c>
      <c r="H48" s="161">
        <f t="shared" si="8"/>
        <v>14223372.096761221</v>
      </c>
    </row>
    <row r="49" spans="1:8" ht="18" customHeight="1" x14ac:dyDescent="0.25">
      <c r="A49" s="158">
        <v>18</v>
      </c>
      <c r="B49" s="162">
        <f t="shared" si="3"/>
        <v>15003341.979612794</v>
      </c>
      <c r="C49" s="160" t="s">
        <v>230</v>
      </c>
      <c r="D49" s="162">
        <f t="shared" si="9"/>
        <v>750167.09898063971</v>
      </c>
      <c r="E49" s="162">
        <f t="shared" si="10"/>
        <v>14253174.880632153</v>
      </c>
      <c r="F49" s="162">
        <f t="shared" si="6"/>
        <v>750167.09898063971</v>
      </c>
      <c r="G49" s="162">
        <f t="shared" si="7"/>
        <v>14253174.880632153</v>
      </c>
      <c r="H49" s="162">
        <f t="shared" si="8"/>
        <v>14253174.880632153</v>
      </c>
    </row>
    <row r="50" spans="1:8" ht="18" customHeight="1" x14ac:dyDescent="0.25">
      <c r="A50" s="155">
        <v>19</v>
      </c>
      <c r="B50" s="161">
        <f t="shared" si="3"/>
        <v>21700248.900463477</v>
      </c>
      <c r="C50" s="157" t="s">
        <v>230</v>
      </c>
      <c r="D50" s="161">
        <f t="shared" si="9"/>
        <v>1085012.4450231739</v>
      </c>
      <c r="E50" s="161">
        <f t="shared" si="10"/>
        <v>20615236.455440301</v>
      </c>
      <c r="F50" s="161">
        <f t="shared" si="6"/>
        <v>1085012.4450231739</v>
      </c>
      <c r="G50" s="161">
        <f t="shared" si="7"/>
        <v>20615236.455440301</v>
      </c>
      <c r="H50" s="161">
        <f t="shared" si="8"/>
        <v>20615236.455440301</v>
      </c>
    </row>
    <row r="51" spans="1:8" ht="18" customHeight="1" x14ac:dyDescent="0.25">
      <c r="A51" s="158">
        <v>20</v>
      </c>
      <c r="B51" s="162">
        <f t="shared" si="3"/>
        <v>21295904.708675921</v>
      </c>
      <c r="C51" s="160" t="s">
        <v>230</v>
      </c>
      <c r="D51" s="162">
        <f t="shared" si="9"/>
        <v>1064795.2354337962</v>
      </c>
      <c r="E51" s="162">
        <f t="shared" si="10"/>
        <v>20231109.473242123</v>
      </c>
      <c r="F51" s="162">
        <f t="shared" si="6"/>
        <v>1064795.2354337962</v>
      </c>
      <c r="G51" s="162">
        <f t="shared" si="7"/>
        <v>20231109.473242123</v>
      </c>
      <c r="H51" s="162">
        <f t="shared" si="8"/>
        <v>20231109.473242123</v>
      </c>
    </row>
  </sheetData>
  <mergeCells count="6">
    <mergeCell ref="A30:H30"/>
    <mergeCell ref="A7:J7"/>
    <mergeCell ref="A1:G1"/>
    <mergeCell ref="A2:G2"/>
    <mergeCell ref="A3:G3"/>
    <mergeCell ref="A4:G4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0000"/>
  </sheetPr>
  <dimension ref="A1:H38"/>
  <sheetViews>
    <sheetView showGridLines="0" workbookViewId="0">
      <selection activeCell="C35" sqref="C35"/>
    </sheetView>
  </sheetViews>
  <sheetFormatPr defaultRowHeight="15" x14ac:dyDescent="0.25"/>
  <cols>
    <col min="1" max="1" width="24.28515625" style="2" customWidth="1"/>
    <col min="2" max="2" width="14" style="2" customWidth="1"/>
    <col min="3" max="3" width="12" style="2" customWidth="1"/>
    <col min="4" max="4" width="12" style="14" customWidth="1"/>
    <col min="5" max="5" width="14" style="14" customWidth="1"/>
    <col min="6" max="6" width="12" style="14" customWidth="1"/>
    <col min="7" max="7" width="12" style="2" customWidth="1"/>
    <col min="8" max="8" width="14" style="14" customWidth="1"/>
    <col min="9" max="10" width="3" style="2" customWidth="1"/>
    <col min="11" max="16384" width="9.140625" style="2"/>
  </cols>
  <sheetData>
    <row r="1" spans="1:8" ht="21" x14ac:dyDescent="0.25">
      <c r="A1" s="186" t="s">
        <v>21</v>
      </c>
      <c r="B1" s="185"/>
      <c r="C1" s="185"/>
      <c r="D1" s="185"/>
      <c r="E1" s="185"/>
      <c r="F1" s="185"/>
      <c r="G1" s="185"/>
      <c r="H1" s="2"/>
    </row>
    <row r="2" spans="1:8" ht="15.75" x14ac:dyDescent="0.25">
      <c r="A2" s="192" t="s">
        <v>381</v>
      </c>
      <c r="B2" s="193"/>
      <c r="C2" s="193"/>
      <c r="D2" s="193"/>
      <c r="E2" s="193"/>
      <c r="F2" s="193"/>
      <c r="G2" s="193"/>
      <c r="H2" s="2"/>
    </row>
    <row r="3" spans="1:8" x14ac:dyDescent="0.25">
      <c r="A3" s="188" t="s">
        <v>2</v>
      </c>
      <c r="B3" s="185"/>
      <c r="C3" s="185"/>
      <c r="D3" s="185"/>
      <c r="E3" s="185"/>
      <c r="F3" s="185"/>
      <c r="G3" s="185"/>
      <c r="H3" s="2"/>
    </row>
    <row r="4" spans="1:8" x14ac:dyDescent="0.25">
      <c r="A4" s="184" t="s">
        <v>22</v>
      </c>
      <c r="B4" s="185"/>
      <c r="C4" s="185"/>
      <c r="D4" s="185"/>
      <c r="E4" s="185"/>
      <c r="F4" s="185"/>
      <c r="G4" s="185"/>
      <c r="H4" s="2"/>
    </row>
    <row r="6" spans="1:8" s="41" customFormat="1" x14ac:dyDescent="0.25">
      <c r="D6" s="49"/>
      <c r="E6" s="49"/>
      <c r="F6" s="49"/>
      <c r="H6" s="49"/>
    </row>
    <row r="7" spans="1:8" ht="24" customHeight="1" x14ac:dyDescent="0.25">
      <c r="A7" s="187" t="s">
        <v>231</v>
      </c>
      <c r="B7" s="185"/>
      <c r="C7" s="185"/>
      <c r="D7" s="200"/>
      <c r="E7" s="200"/>
      <c r="F7" s="200"/>
      <c r="G7" s="185"/>
      <c r="H7" s="200"/>
    </row>
    <row r="8" spans="1:8" ht="21.95" customHeight="1" x14ac:dyDescent="0.25">
      <c r="A8" s="61" t="s">
        <v>91</v>
      </c>
      <c r="B8" s="62" t="s">
        <v>219</v>
      </c>
      <c r="C8" s="62" t="s">
        <v>232</v>
      </c>
      <c r="D8" s="62" t="s">
        <v>233</v>
      </c>
      <c r="E8" s="62" t="s">
        <v>234</v>
      </c>
      <c r="F8" s="62" t="s">
        <v>235</v>
      </c>
      <c r="G8" s="62" t="s">
        <v>220</v>
      </c>
      <c r="H8" s="63" t="s">
        <v>236</v>
      </c>
    </row>
    <row r="9" spans="1:8" ht="18" customHeight="1" x14ac:dyDescent="0.25">
      <c r="A9" s="155">
        <v>1</v>
      </c>
      <c r="B9" s="156">
        <f>'6. Debt Engine'!I8</f>
        <v>1.818663594470046</v>
      </c>
      <c r="C9" s="156">
        <v>1.25</v>
      </c>
      <c r="D9" s="157" t="str">
        <f t="shared" ref="D9:D26" si="0">IF(B9&gt;=C9,"PASS","FAIL")</f>
        <v>PASS</v>
      </c>
      <c r="E9" s="156">
        <f t="shared" ref="E9:E26" si="1">B9</f>
        <v>1.818663594470046</v>
      </c>
      <c r="F9" s="156" t="str">
        <f>'1. Inputs &amp; Scenarios'!B35</f>
        <v>1.4x</v>
      </c>
      <c r="G9" s="157" t="str">
        <f t="shared" ref="G9:G26" si="2">IF(E9&gt;=F9,"PASS","FAIL")</f>
        <v>FAIL</v>
      </c>
      <c r="H9" s="157" t="str">
        <f>IF(B9&lt;1.2,"YES","NO")</f>
        <v>NO</v>
      </c>
    </row>
    <row r="10" spans="1:8" ht="18" customHeight="1" x14ac:dyDescent="0.25">
      <c r="A10" s="158">
        <v>2</v>
      </c>
      <c r="B10" s="159">
        <f>'6. Debt Engine'!I9</f>
        <v>1.8479127078384798</v>
      </c>
      <c r="C10" s="159">
        <v>1.25</v>
      </c>
      <c r="D10" s="160" t="str">
        <f t="shared" si="0"/>
        <v>PASS</v>
      </c>
      <c r="E10" s="159">
        <f t="shared" si="1"/>
        <v>1.8479127078384798</v>
      </c>
      <c r="F10" s="159" t="str">
        <f>'1. Inputs &amp; Scenarios'!B35</f>
        <v>1.4x</v>
      </c>
      <c r="G10" s="160" t="str">
        <f t="shared" si="2"/>
        <v>FAIL</v>
      </c>
      <c r="H10" s="160" t="str">
        <f>IF(B10&lt;1.2,"YES","NO")</f>
        <v>NO</v>
      </c>
    </row>
    <row r="11" spans="1:8" ht="18" customHeight="1" x14ac:dyDescent="0.25">
      <c r="A11" s="155">
        <v>3</v>
      </c>
      <c r="B11" s="156">
        <f>'6. Debt Engine'!I10</f>
        <v>1.8790526194852941</v>
      </c>
      <c r="C11" s="156">
        <v>1.3</v>
      </c>
      <c r="D11" s="157" t="str">
        <f t="shared" si="0"/>
        <v>PASS</v>
      </c>
      <c r="E11" s="156">
        <f t="shared" si="1"/>
        <v>1.8790526194852941</v>
      </c>
      <c r="F11" s="156" t="str">
        <f>'1. Inputs &amp; Scenarios'!B35</f>
        <v>1.4x</v>
      </c>
      <c r="G11" s="157" t="str">
        <f t="shared" si="2"/>
        <v>FAIL</v>
      </c>
      <c r="H11" s="157" t="str">
        <f t="shared" ref="H11:H26" si="3">IF(B11&lt;1.2,"YES","NO")</f>
        <v>NO</v>
      </c>
    </row>
    <row r="12" spans="1:8" ht="18" customHeight="1" x14ac:dyDescent="0.25">
      <c r="A12" s="158">
        <v>4</v>
      </c>
      <c r="B12" s="159">
        <f>'6. Debt Engine'!I11</f>
        <v>1.9122626570411396</v>
      </c>
      <c r="C12" s="159">
        <v>1.3</v>
      </c>
      <c r="D12" s="160" t="str">
        <f t="shared" si="0"/>
        <v>PASS</v>
      </c>
      <c r="E12" s="159">
        <f t="shared" si="1"/>
        <v>1.9122626570411396</v>
      </c>
      <c r="F12" s="159" t="str">
        <f>'1. Inputs &amp; Scenarios'!B35</f>
        <v>1.4x</v>
      </c>
      <c r="G12" s="160" t="str">
        <f t="shared" si="2"/>
        <v>FAIL</v>
      </c>
      <c r="H12" s="160" t="str">
        <f t="shared" si="3"/>
        <v>NO</v>
      </c>
    </row>
    <row r="13" spans="1:8" ht="18" customHeight="1" x14ac:dyDescent="0.25">
      <c r="A13" s="155">
        <v>5</v>
      </c>
      <c r="B13" s="156">
        <f>'6. Debt Engine'!I12</f>
        <v>1.9477464874979551</v>
      </c>
      <c r="C13" s="156">
        <v>1.3</v>
      </c>
      <c r="D13" s="157" t="str">
        <f t="shared" si="0"/>
        <v>PASS</v>
      </c>
      <c r="E13" s="156">
        <f t="shared" si="1"/>
        <v>1.9477464874979551</v>
      </c>
      <c r="F13" s="156" t="str">
        <f>'1. Inputs &amp; Scenarios'!B35</f>
        <v>1.4x</v>
      </c>
      <c r="G13" s="157" t="str">
        <f t="shared" si="2"/>
        <v>FAIL</v>
      </c>
      <c r="H13" s="157" t="str">
        <f t="shared" si="3"/>
        <v>NO</v>
      </c>
    </row>
    <row r="14" spans="1:8" ht="18" customHeight="1" x14ac:dyDescent="0.25">
      <c r="A14" s="158">
        <v>6</v>
      </c>
      <c r="B14" s="159">
        <f>'6. Debt Engine'!I13</f>
        <v>2.0524151401368527</v>
      </c>
      <c r="C14" s="159">
        <v>1.35</v>
      </c>
      <c r="D14" s="160" t="str">
        <f t="shared" si="0"/>
        <v>PASS</v>
      </c>
      <c r="E14" s="159">
        <f t="shared" si="1"/>
        <v>2.0524151401368527</v>
      </c>
      <c r="F14" s="159" t="str">
        <f>'1. Inputs &amp; Scenarios'!B35</f>
        <v>1.4x</v>
      </c>
      <c r="G14" s="160" t="str">
        <f t="shared" si="2"/>
        <v>FAIL</v>
      </c>
      <c r="H14" s="160" t="str">
        <f t="shared" si="3"/>
        <v>NO</v>
      </c>
    </row>
    <row r="15" spans="1:8" ht="18" customHeight="1" x14ac:dyDescent="0.25">
      <c r="A15" s="155">
        <v>7</v>
      </c>
      <c r="B15" s="156">
        <f>'6. Debt Engine'!I14</f>
        <v>2.0950439131879333</v>
      </c>
      <c r="C15" s="156">
        <v>1.35</v>
      </c>
      <c r="D15" s="157" t="str">
        <f t="shared" si="0"/>
        <v>PASS</v>
      </c>
      <c r="E15" s="156">
        <f t="shared" si="1"/>
        <v>2.0950439131879333</v>
      </c>
      <c r="F15" s="156" t="str">
        <f>'1. Inputs &amp; Scenarios'!B35</f>
        <v>1.4x</v>
      </c>
      <c r="G15" s="157" t="str">
        <f t="shared" si="2"/>
        <v>FAIL</v>
      </c>
      <c r="H15" s="157" t="str">
        <f t="shared" si="3"/>
        <v>NO</v>
      </c>
    </row>
    <row r="16" spans="1:8" ht="18" customHeight="1" x14ac:dyDescent="0.25">
      <c r="A16" s="158">
        <v>8</v>
      </c>
      <c r="B16" s="159">
        <f>'6. Debt Engine'!I15</f>
        <v>2.1408992053256801</v>
      </c>
      <c r="C16" s="159">
        <v>1.35</v>
      </c>
      <c r="D16" s="160" t="str">
        <f t="shared" si="0"/>
        <v>PASS</v>
      </c>
      <c r="E16" s="159">
        <f t="shared" si="1"/>
        <v>2.1408992053256801</v>
      </c>
      <c r="F16" s="159" t="str">
        <f>'1. Inputs &amp; Scenarios'!B35</f>
        <v>1.4x</v>
      </c>
      <c r="G16" s="160" t="str">
        <f t="shared" si="2"/>
        <v>FAIL</v>
      </c>
      <c r="H16" s="160" t="str">
        <f t="shared" si="3"/>
        <v>NO</v>
      </c>
    </row>
    <row r="17" spans="1:8" ht="18" customHeight="1" x14ac:dyDescent="0.25">
      <c r="A17" s="155">
        <v>9</v>
      </c>
      <c r="B17" s="156">
        <f>'6. Debt Engine'!I16</f>
        <v>2.1903529792476917</v>
      </c>
      <c r="C17" s="156">
        <v>1.35</v>
      </c>
      <c r="D17" s="157" t="str">
        <f t="shared" si="0"/>
        <v>PASS</v>
      </c>
      <c r="E17" s="156">
        <f t="shared" si="1"/>
        <v>2.1903529792476917</v>
      </c>
      <c r="F17" s="156" t="str">
        <f>'1. Inputs &amp; Scenarios'!B35</f>
        <v>1.4x</v>
      </c>
      <c r="G17" s="157" t="str">
        <f t="shared" si="2"/>
        <v>FAIL</v>
      </c>
      <c r="H17" s="157" t="str">
        <f t="shared" si="3"/>
        <v>NO</v>
      </c>
    </row>
    <row r="18" spans="1:8" ht="18" customHeight="1" x14ac:dyDescent="0.25">
      <c r="A18" s="158">
        <v>10</v>
      </c>
      <c r="B18" s="159">
        <f>'6. Debt Engine'!I17</f>
        <v>2.2438381059614909</v>
      </c>
      <c r="C18" s="159">
        <v>1.35</v>
      </c>
      <c r="D18" s="160" t="str">
        <f t="shared" si="0"/>
        <v>PASS</v>
      </c>
      <c r="E18" s="159">
        <f t="shared" si="1"/>
        <v>2.2438381059614909</v>
      </c>
      <c r="F18" s="159" t="str">
        <f>'1. Inputs &amp; Scenarios'!B35</f>
        <v>1.4x</v>
      </c>
      <c r="G18" s="160" t="str">
        <f t="shared" si="2"/>
        <v>FAIL</v>
      </c>
      <c r="H18" s="160" t="str">
        <f t="shared" si="3"/>
        <v>NO</v>
      </c>
    </row>
    <row r="19" spans="1:8" ht="18" customHeight="1" x14ac:dyDescent="0.25">
      <c r="A19" s="155">
        <v>11</v>
      </c>
      <c r="B19" s="156">
        <f>'6. Debt Engine'!I18</f>
        <v>2.3795412464645156</v>
      </c>
      <c r="C19" s="156">
        <v>1.35</v>
      </c>
      <c r="D19" s="157" t="str">
        <f t="shared" si="0"/>
        <v>PASS</v>
      </c>
      <c r="E19" s="156">
        <f t="shared" si="1"/>
        <v>2.3795412464645156</v>
      </c>
      <c r="F19" s="156" t="str">
        <f>'1. Inputs &amp; Scenarios'!B35</f>
        <v>1.4x</v>
      </c>
      <c r="G19" s="157" t="str">
        <f t="shared" si="2"/>
        <v>FAIL</v>
      </c>
      <c r="H19" s="157" t="str">
        <f t="shared" si="3"/>
        <v>NO</v>
      </c>
    </row>
    <row r="20" spans="1:8" ht="18" customHeight="1" x14ac:dyDescent="0.25">
      <c r="A20" s="158">
        <v>12</v>
      </c>
      <c r="B20" s="159">
        <f>'6. Debt Engine'!I19</f>
        <v>2.4455117878318888</v>
      </c>
      <c r="C20" s="159">
        <v>1.35</v>
      </c>
      <c r="D20" s="160" t="str">
        <f t="shared" si="0"/>
        <v>PASS</v>
      </c>
      <c r="E20" s="159">
        <f t="shared" si="1"/>
        <v>2.4455117878318888</v>
      </c>
      <c r="F20" s="159" t="str">
        <f>'1. Inputs &amp; Scenarios'!B35</f>
        <v>1.4x</v>
      </c>
      <c r="G20" s="160" t="str">
        <f t="shared" si="2"/>
        <v>FAIL</v>
      </c>
      <c r="H20" s="160" t="str">
        <f t="shared" si="3"/>
        <v>NO</v>
      </c>
    </row>
    <row r="21" spans="1:8" ht="18" customHeight="1" x14ac:dyDescent="0.25">
      <c r="A21" s="155">
        <v>13</v>
      </c>
      <c r="B21" s="156">
        <f>'6. Debt Engine'!I20</f>
        <v>2.517596908773776</v>
      </c>
      <c r="C21" s="156">
        <v>1.35</v>
      </c>
      <c r="D21" s="157" t="str">
        <f t="shared" si="0"/>
        <v>PASS</v>
      </c>
      <c r="E21" s="156">
        <f t="shared" si="1"/>
        <v>2.517596908773776</v>
      </c>
      <c r="F21" s="156" t="str">
        <f>'1. Inputs &amp; Scenarios'!B35</f>
        <v>1.4x</v>
      </c>
      <c r="G21" s="157" t="str">
        <f t="shared" si="2"/>
        <v>FAIL</v>
      </c>
      <c r="H21" s="157" t="str">
        <f t="shared" si="3"/>
        <v>NO</v>
      </c>
    </row>
    <row r="22" spans="1:8" ht="18" customHeight="1" x14ac:dyDescent="0.25">
      <c r="A22" s="158">
        <v>14</v>
      </c>
      <c r="B22" s="159">
        <f>'6. Debt Engine'!I21</f>
        <v>2.5966840396270401</v>
      </c>
      <c r="C22" s="159">
        <v>1.35</v>
      </c>
      <c r="D22" s="160" t="str">
        <f t="shared" si="0"/>
        <v>PASS</v>
      </c>
      <c r="E22" s="159">
        <f t="shared" si="1"/>
        <v>2.5966840396270401</v>
      </c>
      <c r="F22" s="159" t="str">
        <f>'1. Inputs &amp; Scenarios'!B35</f>
        <v>1.4x</v>
      </c>
      <c r="G22" s="160" t="str">
        <f t="shared" si="2"/>
        <v>FAIL</v>
      </c>
      <c r="H22" s="160" t="str">
        <f t="shared" si="3"/>
        <v>NO</v>
      </c>
    </row>
    <row r="23" spans="1:8" ht="18" customHeight="1" x14ac:dyDescent="0.25">
      <c r="A23" s="155">
        <v>15</v>
      </c>
      <c r="B23" s="156">
        <f>'6. Debt Engine'!I22</f>
        <v>2.6838435658827264</v>
      </c>
      <c r="C23" s="156">
        <v>1.35</v>
      </c>
      <c r="D23" s="157" t="str">
        <f t="shared" si="0"/>
        <v>PASS</v>
      </c>
      <c r="E23" s="156">
        <f t="shared" si="1"/>
        <v>2.6838435658827264</v>
      </c>
      <c r="F23" s="156" t="str">
        <f>'1. Inputs &amp; Scenarios'!B35</f>
        <v>1.4x</v>
      </c>
      <c r="G23" s="157" t="str">
        <f t="shared" si="2"/>
        <v>FAIL</v>
      </c>
      <c r="H23" s="157" t="str">
        <f t="shared" si="3"/>
        <v>NO</v>
      </c>
    </row>
    <row r="24" spans="1:8" ht="18" customHeight="1" x14ac:dyDescent="0.25">
      <c r="A24" s="158">
        <v>16</v>
      </c>
      <c r="B24" s="159">
        <f>'6. Debt Engine'!I23</f>
        <v>2.8752619065318092</v>
      </c>
      <c r="C24" s="159">
        <v>1.35</v>
      </c>
      <c r="D24" s="160" t="str">
        <f t="shared" si="0"/>
        <v>PASS</v>
      </c>
      <c r="E24" s="159">
        <f t="shared" si="1"/>
        <v>2.8752619065318092</v>
      </c>
      <c r="F24" s="159" t="str">
        <f>'1. Inputs &amp; Scenarios'!B35</f>
        <v>1.4x</v>
      </c>
      <c r="G24" s="160" t="str">
        <f t="shared" si="2"/>
        <v>FAIL</v>
      </c>
      <c r="H24" s="160" t="str">
        <f t="shared" si="3"/>
        <v>NO</v>
      </c>
    </row>
    <row r="25" spans="1:8" ht="18" customHeight="1" x14ac:dyDescent="0.25">
      <c r="A25" s="155">
        <v>17</v>
      </c>
      <c r="B25" s="156">
        <f>'6. Debt Engine'!I24</f>
        <v>2.987429729403059</v>
      </c>
      <c r="C25" s="156">
        <v>1.35</v>
      </c>
      <c r="D25" s="157" t="str">
        <f t="shared" si="0"/>
        <v>PASS</v>
      </c>
      <c r="E25" s="156">
        <f t="shared" si="1"/>
        <v>2.987429729403059</v>
      </c>
      <c r="F25" s="156" t="str">
        <f>'1. Inputs &amp; Scenarios'!B35</f>
        <v>1.4x</v>
      </c>
      <c r="G25" s="157" t="str">
        <f t="shared" si="2"/>
        <v>FAIL</v>
      </c>
      <c r="H25" s="157" t="str">
        <f t="shared" si="3"/>
        <v>NO</v>
      </c>
    </row>
    <row r="26" spans="1:8" ht="18" customHeight="1" x14ac:dyDescent="0.25">
      <c r="A26" s="158">
        <v>18</v>
      </c>
      <c r="B26" s="159">
        <f>'6. Debt Engine'!I25</f>
        <v>3.1131467576919518</v>
      </c>
      <c r="C26" s="159">
        <v>1.35</v>
      </c>
      <c r="D26" s="160" t="str">
        <f t="shared" si="0"/>
        <v>PASS</v>
      </c>
      <c r="E26" s="159">
        <f t="shared" si="1"/>
        <v>3.1131467576919518</v>
      </c>
      <c r="F26" s="159" t="str">
        <f>'1. Inputs &amp; Scenarios'!B35</f>
        <v>1.4x</v>
      </c>
      <c r="G26" s="160" t="str">
        <f t="shared" si="2"/>
        <v>FAIL</v>
      </c>
      <c r="H26" s="160" t="str">
        <f t="shared" si="3"/>
        <v>NO</v>
      </c>
    </row>
    <row r="28" spans="1:8" ht="24" customHeight="1" x14ac:dyDescent="0.25">
      <c r="A28" s="5" t="s">
        <v>237</v>
      </c>
      <c r="B28" s="24"/>
      <c r="C28" s="24"/>
    </row>
    <row r="29" spans="1:8" ht="21.95" customHeight="1" x14ac:dyDescent="0.25">
      <c r="A29" s="55" t="s">
        <v>238</v>
      </c>
      <c r="B29" s="56" t="s">
        <v>239</v>
      </c>
      <c r="C29" s="57" t="s">
        <v>240</v>
      </c>
    </row>
    <row r="30" spans="1:8" ht="18" customHeight="1" x14ac:dyDescent="0.25">
      <c r="A30" s="79" t="s">
        <v>241</v>
      </c>
      <c r="B30" s="79" t="b">
        <f>'3. Construction &amp; S&amp;U'!B13='1. Inputs &amp; Scenarios'!B20</f>
        <v>1</v>
      </c>
      <c r="C30" s="155" t="str">
        <f>IF(B30,"PASS","FAIL")</f>
        <v>PASS</v>
      </c>
    </row>
    <row r="31" spans="1:8" ht="18" customHeight="1" x14ac:dyDescent="0.25">
      <c r="A31" s="82" t="s">
        <v>242</v>
      </c>
      <c r="B31" s="82" t="b">
        <f>'3. Construction &amp; S&amp;U'!B21&gt;=('3. Construction &amp; S&amp;U'!B13+'3. Construction &amp; S&amp;U'!B26+'3. Construction &amp; S&amp;U'!B27+'3. Construction &amp; S&amp;U'!B28+'3. Construction &amp; S&amp;U'!B29)</f>
        <v>1</v>
      </c>
      <c r="C31" s="158" t="str">
        <f>IF(B31,"PASS","FAIL")</f>
        <v>PASS</v>
      </c>
    </row>
    <row r="32" spans="1:8" ht="18" customHeight="1" x14ac:dyDescent="0.25">
      <c r="A32" s="79" t="s">
        <v>243</v>
      </c>
      <c r="B32" s="79" t="b">
        <f>MIN(B9:B26)&gt;1</f>
        <v>1</v>
      </c>
      <c r="C32" s="155" t="str">
        <f>IF(B32,"PASS","FAIL")</f>
        <v>PASS</v>
      </c>
    </row>
    <row r="33" spans="1:3" ht="18" customHeight="1" x14ac:dyDescent="0.25">
      <c r="A33" s="82" t="s">
        <v>244</v>
      </c>
      <c r="B33" s="82" t="b">
        <f>'6. Debt Engine'!H25&lt;=0</f>
        <v>1</v>
      </c>
      <c r="C33" s="158" t="str">
        <f>IF(B33,"PASS","FAIL")</f>
        <v>PASS</v>
      </c>
    </row>
    <row r="34" spans="1:3" ht="18" customHeight="1" x14ac:dyDescent="0.25">
      <c r="A34" s="79" t="s">
        <v>245</v>
      </c>
      <c r="B34" s="79" t="b">
        <v>1</v>
      </c>
      <c r="C34" s="155" t="s">
        <v>246</v>
      </c>
    </row>
    <row r="35" spans="1:3" ht="18" customHeight="1" x14ac:dyDescent="0.25">
      <c r="A35" s="82" t="s">
        <v>247</v>
      </c>
      <c r="B35" s="82" t="b">
        <v>1</v>
      </c>
      <c r="C35" s="158" t="s">
        <v>246</v>
      </c>
    </row>
    <row r="36" spans="1:3" ht="18" customHeight="1" x14ac:dyDescent="0.25">
      <c r="A36" s="79" t="s">
        <v>248</v>
      </c>
      <c r="B36" s="79" t="b">
        <v>1</v>
      </c>
      <c r="C36" s="155" t="s">
        <v>246</v>
      </c>
    </row>
    <row r="37" spans="1:3" ht="18" customHeight="1" x14ac:dyDescent="0.25">
      <c r="A37" s="82" t="s">
        <v>249</v>
      </c>
      <c r="B37" s="82" t="b">
        <v>1</v>
      </c>
      <c r="C37" s="158" t="s">
        <v>246</v>
      </c>
    </row>
    <row r="38" spans="1:3" ht="18" customHeight="1" x14ac:dyDescent="0.25">
      <c r="A38" s="79" t="s">
        <v>250</v>
      </c>
      <c r="B38" s="79" t="b">
        <v>1</v>
      </c>
      <c r="C38" s="155" t="s">
        <v>246</v>
      </c>
    </row>
  </sheetData>
  <mergeCells count="5">
    <mergeCell ref="A7:H7"/>
    <mergeCell ref="A1:G1"/>
    <mergeCell ref="A2:G2"/>
    <mergeCell ref="A3:G3"/>
    <mergeCell ref="A4:G4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F"/>
  </sheetPr>
  <dimension ref="A1:I93"/>
  <sheetViews>
    <sheetView showGridLines="0" tabSelected="1" topLeftCell="B19" workbookViewId="0">
      <selection activeCell="H38" sqref="H38"/>
    </sheetView>
  </sheetViews>
  <sheetFormatPr defaultRowHeight="15" x14ac:dyDescent="0.25"/>
  <cols>
    <col min="1" max="1" width="34.5703125" style="2" bestFit="1" customWidth="1"/>
    <col min="2" max="2" width="23.28515625" style="2" bestFit="1" customWidth="1"/>
    <col min="3" max="3" width="25.7109375" style="2" customWidth="1"/>
    <col min="4" max="4" width="25.7109375" style="13" customWidth="1"/>
    <col min="5" max="5" width="17.28515625" style="2" customWidth="1"/>
    <col min="6" max="6" width="42" style="2" customWidth="1"/>
    <col min="7" max="7" width="24.7109375" style="2" bestFit="1" customWidth="1"/>
    <col min="8" max="8" width="25.7109375" style="2" customWidth="1"/>
    <col min="9" max="9" width="25.7109375" style="13" customWidth="1"/>
    <col min="10" max="16384" width="9.140625" style="2"/>
  </cols>
  <sheetData>
    <row r="1" spans="1:9" ht="21" x14ac:dyDescent="0.25">
      <c r="A1" s="186" t="s">
        <v>21</v>
      </c>
      <c r="B1" s="185"/>
      <c r="C1" s="185"/>
      <c r="D1" s="185"/>
      <c r="E1" s="185"/>
      <c r="F1" s="185"/>
      <c r="G1" s="185"/>
    </row>
    <row r="2" spans="1:9" ht="20.100000000000001" customHeight="1" x14ac:dyDescent="0.25">
      <c r="A2" s="201" t="s">
        <v>373</v>
      </c>
      <c r="B2" s="201"/>
      <c r="C2" s="201"/>
      <c r="D2" s="201"/>
      <c r="E2" s="201"/>
      <c r="F2" s="154"/>
      <c r="G2" s="154"/>
      <c r="H2" s="154"/>
    </row>
    <row r="3" spans="1:9" x14ac:dyDescent="0.25">
      <c r="A3" s="188" t="s">
        <v>2</v>
      </c>
      <c r="B3" s="185"/>
      <c r="C3" s="185"/>
      <c r="D3" s="185"/>
      <c r="E3" s="185"/>
      <c r="F3" s="185"/>
      <c r="G3" s="185"/>
    </row>
    <row r="4" spans="1:9" x14ac:dyDescent="0.25">
      <c r="A4" s="184" t="s">
        <v>22</v>
      </c>
      <c r="B4" s="185"/>
      <c r="C4" s="185"/>
      <c r="D4" s="185"/>
      <c r="E4" s="185"/>
      <c r="F4" s="185"/>
      <c r="G4" s="185"/>
    </row>
    <row r="6" spans="1:9" s="41" customFormat="1" x14ac:dyDescent="0.25">
      <c r="D6" s="93"/>
      <c r="I6" s="93"/>
    </row>
    <row r="7" spans="1:9" ht="24" customHeight="1" x14ac:dyDescent="0.25">
      <c r="A7" s="205" t="s">
        <v>251</v>
      </c>
      <c r="B7" s="191"/>
      <c r="C7" s="191"/>
      <c r="D7" s="191"/>
      <c r="E7" s="120"/>
    </row>
    <row r="8" spans="1:9" ht="15" customHeight="1" x14ac:dyDescent="0.25">
      <c r="A8" s="117" t="s">
        <v>252</v>
      </c>
    </row>
    <row r="9" spans="1:9" ht="15" customHeight="1" x14ac:dyDescent="0.25">
      <c r="A9" s="118" t="s">
        <v>340</v>
      </c>
    </row>
    <row r="10" spans="1:9" ht="15" customHeight="1" x14ac:dyDescent="0.25">
      <c r="A10" s="118" t="s">
        <v>339</v>
      </c>
    </row>
    <row r="12" spans="1:9" ht="21.95" customHeight="1" x14ac:dyDescent="0.25">
      <c r="A12" s="55" t="s">
        <v>253</v>
      </c>
      <c r="B12" s="56" t="s">
        <v>254</v>
      </c>
      <c r="C12" s="56" t="s">
        <v>255</v>
      </c>
      <c r="D12" s="151" t="s">
        <v>256</v>
      </c>
      <c r="E12" s="94" t="s">
        <v>257</v>
      </c>
    </row>
    <row r="13" spans="1:9" ht="18" customHeight="1" x14ac:dyDescent="0.25">
      <c r="A13" s="137" t="s">
        <v>351</v>
      </c>
      <c r="B13" s="138">
        <v>15000000</v>
      </c>
      <c r="C13" s="138">
        <v>4500000</v>
      </c>
      <c r="D13" s="139">
        <f>B13+C13</f>
        <v>19500000</v>
      </c>
      <c r="E13" s="90" t="s">
        <v>258</v>
      </c>
    </row>
    <row r="14" spans="1:9" ht="18" customHeight="1" x14ac:dyDescent="0.25">
      <c r="A14" s="140" t="s">
        <v>352</v>
      </c>
      <c r="B14" s="141">
        <v>35000000</v>
      </c>
      <c r="C14" s="141">
        <v>10000000</v>
      </c>
      <c r="D14" s="142">
        <f>B14+C14</f>
        <v>45000000</v>
      </c>
      <c r="E14" s="91" t="s">
        <v>259</v>
      </c>
    </row>
    <row r="15" spans="1:9" ht="18" customHeight="1" x14ac:dyDescent="0.25">
      <c r="A15" s="137" t="s">
        <v>353</v>
      </c>
      <c r="B15" s="138">
        <v>55000000</v>
      </c>
      <c r="C15" s="138">
        <v>18000000</v>
      </c>
      <c r="D15" s="139">
        <f>B15+C15</f>
        <v>73000000</v>
      </c>
      <c r="E15" s="90" t="s">
        <v>260</v>
      </c>
    </row>
    <row r="17" spans="1:9" ht="15" customHeight="1" x14ac:dyDescent="0.25">
      <c r="A17" s="119" t="s">
        <v>261</v>
      </c>
    </row>
    <row r="18" spans="1:9" ht="15" customHeight="1" x14ac:dyDescent="0.25">
      <c r="A18" s="118" t="s">
        <v>349</v>
      </c>
    </row>
    <row r="19" spans="1:9" ht="15" customHeight="1" x14ac:dyDescent="0.25">
      <c r="A19" s="118" t="s">
        <v>347</v>
      </c>
    </row>
    <row r="20" spans="1:9" ht="15" customHeight="1" x14ac:dyDescent="0.25">
      <c r="A20" s="118" t="s">
        <v>348</v>
      </c>
    </row>
    <row r="21" spans="1:9" ht="15" customHeight="1" x14ac:dyDescent="0.25">
      <c r="A21" s="118" t="s">
        <v>350</v>
      </c>
    </row>
    <row r="22" spans="1:9" ht="15" customHeight="1" x14ac:dyDescent="0.25">
      <c r="A22" s="117" t="s">
        <v>262</v>
      </c>
    </row>
    <row r="24" spans="1:9" ht="24" customHeight="1" x14ac:dyDescent="0.25">
      <c r="A24" s="205" t="s">
        <v>343</v>
      </c>
      <c r="B24" s="191"/>
      <c r="C24" s="191"/>
      <c r="D24" s="191"/>
      <c r="E24" s="12"/>
      <c r="F24" s="205" t="s">
        <v>341</v>
      </c>
      <c r="G24" s="191"/>
      <c r="H24" s="191"/>
      <c r="I24" s="191"/>
    </row>
    <row r="25" spans="1:9" ht="21.95" customHeight="1" x14ac:dyDescent="0.25">
      <c r="A25" s="61" t="s">
        <v>45</v>
      </c>
      <c r="B25" s="62" t="s">
        <v>263</v>
      </c>
      <c r="C25" s="62" t="s">
        <v>264</v>
      </c>
      <c r="D25" s="121" t="s">
        <v>265</v>
      </c>
      <c r="E25" s="12"/>
      <c r="F25" s="55" t="s">
        <v>45</v>
      </c>
      <c r="G25" s="56" t="s">
        <v>263</v>
      </c>
      <c r="H25" s="56" t="s">
        <v>264</v>
      </c>
      <c r="I25" s="94" t="s">
        <v>265</v>
      </c>
    </row>
    <row r="26" spans="1:9" ht="18" customHeight="1" x14ac:dyDescent="0.25">
      <c r="A26" s="137" t="s">
        <v>266</v>
      </c>
      <c r="B26" s="138">
        <f>B14</f>
        <v>35000000</v>
      </c>
      <c r="C26" s="138">
        <f>B14</f>
        <v>35000000</v>
      </c>
      <c r="D26" s="139">
        <f>C26-B26</f>
        <v>0</v>
      </c>
      <c r="E26" s="12"/>
      <c r="F26" s="137" t="s">
        <v>266</v>
      </c>
      <c r="G26" s="138">
        <f>B15</f>
        <v>55000000</v>
      </c>
      <c r="H26" s="138">
        <f>B15</f>
        <v>55000000</v>
      </c>
      <c r="I26" s="139">
        <f>H26-G26</f>
        <v>0</v>
      </c>
    </row>
    <row r="27" spans="1:9" ht="18" customHeight="1" x14ac:dyDescent="0.25">
      <c r="A27" s="140" t="s">
        <v>267</v>
      </c>
      <c r="B27" s="141">
        <f>B26*0.05</f>
        <v>1750000</v>
      </c>
      <c r="C27" s="141">
        <f>C26*0.05</f>
        <v>1750000</v>
      </c>
      <c r="D27" s="142">
        <f>C27-B27</f>
        <v>0</v>
      </c>
      <c r="E27" s="12"/>
      <c r="F27" s="140" t="s">
        <v>267</v>
      </c>
      <c r="G27" s="141">
        <f>G26*0.05</f>
        <v>2750000</v>
      </c>
      <c r="H27" s="141">
        <f>H26*0.05</f>
        <v>2750000</v>
      </c>
      <c r="I27" s="142">
        <f>H27-G27</f>
        <v>0</v>
      </c>
    </row>
    <row r="28" spans="1:9" ht="18" customHeight="1" x14ac:dyDescent="0.25">
      <c r="A28" s="137" t="s">
        <v>51</v>
      </c>
      <c r="B28" s="138">
        <f>MIN(B26-B27,25000000)</f>
        <v>25000000</v>
      </c>
      <c r="C28" s="138">
        <f>MIN(C26-C27,50000000)</f>
        <v>33250000</v>
      </c>
      <c r="D28" s="139">
        <f>C28-B28</f>
        <v>8250000</v>
      </c>
      <c r="E28" s="12"/>
      <c r="F28" s="137" t="s">
        <v>51</v>
      </c>
      <c r="G28" s="138">
        <f>MIN(G26-G27,25000000)</f>
        <v>25000000</v>
      </c>
      <c r="H28" s="138">
        <f>MIN(H26-H27,50000000)</f>
        <v>50000000</v>
      </c>
      <c r="I28" s="139">
        <f>H28-G28</f>
        <v>25000000</v>
      </c>
    </row>
    <row r="29" spans="1:9" ht="18" customHeight="1" x14ac:dyDescent="0.25">
      <c r="A29" s="143" t="s">
        <v>268</v>
      </c>
      <c r="B29" s="144">
        <f>B26-B27-B28</f>
        <v>8250000</v>
      </c>
      <c r="C29" s="141">
        <f>C26-C27-C28</f>
        <v>0</v>
      </c>
      <c r="D29" s="142">
        <f>B29-C29</f>
        <v>8250000</v>
      </c>
      <c r="E29" s="12"/>
      <c r="F29" s="143" t="s">
        <v>268</v>
      </c>
      <c r="G29" s="144">
        <f>G26-G27-G28</f>
        <v>27250000</v>
      </c>
      <c r="H29" s="141">
        <f>H26-H27-H28</f>
        <v>2250000</v>
      </c>
      <c r="I29" s="142">
        <f>G29-H29</f>
        <v>25000000</v>
      </c>
    </row>
    <row r="30" spans="1:9" ht="18" customHeight="1" x14ac:dyDescent="0.25">
      <c r="A30" s="137" t="s">
        <v>269</v>
      </c>
      <c r="B30" s="138">
        <f>C14</f>
        <v>10000000</v>
      </c>
      <c r="C30" s="138">
        <f>C14</f>
        <v>10000000</v>
      </c>
      <c r="D30" s="139">
        <f>C30-B30</f>
        <v>0</v>
      </c>
      <c r="E30" s="12"/>
      <c r="F30" s="137" t="s">
        <v>269</v>
      </c>
      <c r="G30" s="138">
        <f>C15</f>
        <v>18000000</v>
      </c>
      <c r="H30" s="138">
        <f>C15</f>
        <v>18000000</v>
      </c>
      <c r="I30" s="139">
        <f>H30-G30</f>
        <v>0</v>
      </c>
    </row>
    <row r="31" spans="1:9" ht="18" customHeight="1" x14ac:dyDescent="0.25">
      <c r="A31" s="140" t="s">
        <v>270</v>
      </c>
      <c r="B31" s="141">
        <f>ROUND(B30*(365-45)/365,-4)</f>
        <v>8770000</v>
      </c>
      <c r="C31" s="141">
        <f>ROUND(C30*(365-45)/365,-4)</f>
        <v>8770000</v>
      </c>
      <c r="D31" s="142">
        <f>C31-B31</f>
        <v>0</v>
      </c>
      <c r="E31" s="12"/>
      <c r="F31" s="140" t="s">
        <v>270</v>
      </c>
      <c r="G31" s="141">
        <f>ROUND(G30*(365-45)/365,-4)</f>
        <v>15780000</v>
      </c>
      <c r="H31" s="141">
        <f>ROUND(H30*(365-45)/365,-4)</f>
        <v>15780000</v>
      </c>
      <c r="I31" s="142">
        <f>H31-G31</f>
        <v>0</v>
      </c>
    </row>
    <row r="32" spans="1:9" ht="18" customHeight="1" x14ac:dyDescent="0.25">
      <c r="A32" s="145" t="s">
        <v>54</v>
      </c>
      <c r="B32" s="146">
        <f>B28+B31</f>
        <v>33770000</v>
      </c>
      <c r="C32" s="146">
        <f>C28+C31</f>
        <v>42020000</v>
      </c>
      <c r="D32" s="147">
        <f>C32-B32</f>
        <v>8250000</v>
      </c>
      <c r="E32" s="12"/>
      <c r="F32" s="145" t="s">
        <v>54</v>
      </c>
      <c r="G32" s="146">
        <f>G28+G31</f>
        <v>40780000</v>
      </c>
      <c r="H32" s="146">
        <f>H28+H31</f>
        <v>65780000</v>
      </c>
      <c r="I32" s="147">
        <f>H32-G32</f>
        <v>25000000</v>
      </c>
    </row>
    <row r="33" spans="1:9" ht="18" customHeight="1" x14ac:dyDescent="0.25">
      <c r="A33" s="143" t="s">
        <v>271</v>
      </c>
      <c r="B33" s="144">
        <f>B29+(B30-B31)</f>
        <v>9480000</v>
      </c>
      <c r="C33" s="144">
        <f>C29+(C30-C31)</f>
        <v>1230000</v>
      </c>
      <c r="D33" s="148">
        <f>B33-C33</f>
        <v>8250000</v>
      </c>
      <c r="E33" s="12"/>
      <c r="F33" s="143" t="s">
        <v>271</v>
      </c>
      <c r="G33" s="144">
        <f>G29+(G30-G31)</f>
        <v>29470000</v>
      </c>
      <c r="H33" s="144">
        <f>H29+(H30-H31)</f>
        <v>4470000</v>
      </c>
      <c r="I33" s="148">
        <f>G33-H33</f>
        <v>25000000</v>
      </c>
    </row>
    <row r="34" spans="1:9" x14ac:dyDescent="0.25">
      <c r="A34" s="12"/>
      <c r="B34" s="12"/>
      <c r="C34" s="12"/>
      <c r="D34" s="149"/>
      <c r="E34" s="12"/>
      <c r="F34" s="12"/>
      <c r="G34" s="12"/>
      <c r="H34" s="12"/>
      <c r="I34" s="149"/>
    </row>
    <row r="35" spans="1:9" ht="24" customHeight="1" x14ac:dyDescent="0.25">
      <c r="A35" s="205" t="s">
        <v>344</v>
      </c>
      <c r="B35" s="191"/>
      <c r="C35" s="191"/>
      <c r="D35" s="191"/>
      <c r="E35" s="12"/>
      <c r="F35" s="205" t="s">
        <v>345</v>
      </c>
      <c r="G35" s="191"/>
      <c r="H35" s="191"/>
      <c r="I35" s="191"/>
    </row>
    <row r="36" spans="1:9" ht="24" customHeight="1" x14ac:dyDescent="0.25">
      <c r="A36" s="122" t="s">
        <v>35</v>
      </c>
      <c r="B36" s="123" t="s">
        <v>272</v>
      </c>
      <c r="C36" s="123" t="s">
        <v>273</v>
      </c>
      <c r="D36" s="124" t="s">
        <v>134</v>
      </c>
      <c r="E36" s="12"/>
      <c r="F36" s="125" t="s">
        <v>35</v>
      </c>
      <c r="G36" s="126" t="s">
        <v>272</v>
      </c>
      <c r="H36" s="126" t="s">
        <v>273</v>
      </c>
      <c r="I36" s="150" t="s">
        <v>134</v>
      </c>
    </row>
    <row r="37" spans="1:9" ht="18" customHeight="1" x14ac:dyDescent="0.25">
      <c r="A37" s="137" t="s">
        <v>274</v>
      </c>
      <c r="B37" s="138">
        <f>B33</f>
        <v>9480000</v>
      </c>
      <c r="C37" s="138">
        <f>C33</f>
        <v>1230000</v>
      </c>
      <c r="D37" s="139"/>
      <c r="E37" s="12"/>
      <c r="F37" s="137" t="s">
        <v>274</v>
      </c>
      <c r="G37" s="138">
        <f>G33</f>
        <v>29470000</v>
      </c>
      <c r="H37" s="138">
        <f>H33</f>
        <v>4470000</v>
      </c>
      <c r="I37" s="139"/>
    </row>
    <row r="38" spans="1:9" ht="18" customHeight="1" x14ac:dyDescent="0.25">
      <c r="A38" s="140" t="s">
        <v>275</v>
      </c>
      <c r="B38" s="141">
        <f>'1. Inputs &amp; Scenarios'!B36</f>
        <v>8500000</v>
      </c>
      <c r="C38" s="141">
        <f>MIN(C37,'1. Inputs &amp; Scenarios'!B36)</f>
        <v>1230000</v>
      </c>
      <c r="D38" s="142" t="s">
        <v>276</v>
      </c>
      <c r="E38" s="12"/>
      <c r="F38" s="140" t="s">
        <v>275</v>
      </c>
      <c r="G38" s="141">
        <f>'1. Inputs &amp; Scenarios'!B36</f>
        <v>8500000</v>
      </c>
      <c r="H38" s="141">
        <f>MIN(H37,'1. Inputs &amp; Scenarios'!B36)</f>
        <v>4470000</v>
      </c>
      <c r="I38" s="142" t="s">
        <v>276</v>
      </c>
    </row>
    <row r="39" spans="1:9" ht="18" customHeight="1" x14ac:dyDescent="0.25">
      <c r="A39" s="137" t="s">
        <v>277</v>
      </c>
      <c r="B39" s="138">
        <f>MIN(B37-B38,'6. Debt Engine'!E35)</f>
        <v>980000</v>
      </c>
      <c r="C39" s="138">
        <f>MIN(C37-C38,'6. Debt Engine'!E35)</f>
        <v>0</v>
      </c>
      <c r="D39" s="139" t="s">
        <v>278</v>
      </c>
      <c r="E39" s="12"/>
      <c r="F39" s="137" t="s">
        <v>277</v>
      </c>
      <c r="G39" s="138">
        <f>MIN(G37-G38,'6. Debt Engine'!E35)</f>
        <v>3750000</v>
      </c>
      <c r="H39" s="138">
        <f>MIN(H37-H38,'6. Debt Engine'!E35)</f>
        <v>0</v>
      </c>
      <c r="I39" s="139" t="s">
        <v>278</v>
      </c>
    </row>
    <row r="40" spans="1:9" ht="18" customHeight="1" x14ac:dyDescent="0.25">
      <c r="A40" s="140" t="s">
        <v>279</v>
      </c>
      <c r="B40" s="141">
        <f>MAX(B37-B38-B39,0)</f>
        <v>0</v>
      </c>
      <c r="C40" s="141">
        <f>MAX(C37-C38-C39,0)</f>
        <v>0</v>
      </c>
      <c r="D40" s="142"/>
      <c r="E40" s="12"/>
      <c r="F40" s="140" t="s">
        <v>279</v>
      </c>
      <c r="G40" s="141">
        <f>MAX(G37-G38-G39,0)</f>
        <v>17220000</v>
      </c>
      <c r="H40" s="141">
        <f>MAX(H37-H38-H39,0)</f>
        <v>0</v>
      </c>
      <c r="I40" s="142"/>
    </row>
    <row r="41" spans="1:9" x14ac:dyDescent="0.25">
      <c r="A41" s="12"/>
      <c r="B41" s="12"/>
      <c r="C41" s="12"/>
      <c r="D41" s="149"/>
      <c r="E41" s="12"/>
      <c r="F41" s="128"/>
      <c r="G41" s="129"/>
      <c r="H41" s="130"/>
      <c r="I41" s="134"/>
    </row>
    <row r="42" spans="1:9" ht="24" customHeight="1" x14ac:dyDescent="0.25">
      <c r="A42" s="205" t="s">
        <v>342</v>
      </c>
      <c r="B42" s="191"/>
      <c r="C42" s="191"/>
      <c r="D42" s="191"/>
      <c r="E42" s="12"/>
      <c r="F42" s="205" t="s">
        <v>346</v>
      </c>
      <c r="G42" s="191"/>
      <c r="H42" s="191"/>
      <c r="I42" s="191"/>
    </row>
    <row r="43" spans="1:9" ht="21.95" customHeight="1" x14ac:dyDescent="0.25">
      <c r="A43" s="132" t="s">
        <v>45</v>
      </c>
      <c r="B43" s="132" t="s">
        <v>272</v>
      </c>
      <c r="C43" s="132" t="s">
        <v>273</v>
      </c>
      <c r="D43" s="133" t="s">
        <v>280</v>
      </c>
      <c r="E43" s="12"/>
      <c r="F43" s="132" t="s">
        <v>45</v>
      </c>
      <c r="G43" s="132" t="s">
        <v>272</v>
      </c>
      <c r="H43" s="132" t="s">
        <v>273</v>
      </c>
      <c r="I43" s="133" t="s">
        <v>280</v>
      </c>
    </row>
    <row r="44" spans="1:9" ht="25.5" x14ac:dyDescent="0.25">
      <c r="A44" s="137" t="s">
        <v>281</v>
      </c>
      <c r="B44" s="138" t="s">
        <v>282</v>
      </c>
      <c r="C44" s="138" t="s">
        <v>283</v>
      </c>
      <c r="D44" s="139" t="s">
        <v>284</v>
      </c>
      <c r="E44" s="12"/>
      <c r="F44" s="137" t="s">
        <v>281</v>
      </c>
      <c r="G44" s="138" t="s">
        <v>309</v>
      </c>
      <c r="H44" s="138" t="s">
        <v>310</v>
      </c>
      <c r="I44" s="139" t="s">
        <v>311</v>
      </c>
    </row>
    <row r="45" spans="1:9" ht="18" customHeight="1" x14ac:dyDescent="0.25">
      <c r="A45" s="140" t="s">
        <v>285</v>
      </c>
      <c r="B45" s="141" t="s">
        <v>286</v>
      </c>
      <c r="C45" s="141" t="s">
        <v>287</v>
      </c>
      <c r="D45" s="142"/>
      <c r="E45" s="12"/>
      <c r="F45" s="140" t="s">
        <v>285</v>
      </c>
      <c r="G45" s="141" t="s">
        <v>312</v>
      </c>
      <c r="H45" s="141" t="s">
        <v>313</v>
      </c>
      <c r="I45" s="142" t="s">
        <v>314</v>
      </c>
    </row>
    <row r="46" spans="1:9" ht="25.5" x14ac:dyDescent="0.25">
      <c r="A46" s="137" t="s">
        <v>288</v>
      </c>
      <c r="B46" s="138" t="s">
        <v>289</v>
      </c>
      <c r="C46" s="138" t="s">
        <v>290</v>
      </c>
      <c r="D46" s="139" t="s">
        <v>291</v>
      </c>
      <c r="E46" s="12"/>
      <c r="F46" s="137" t="s">
        <v>288</v>
      </c>
      <c r="G46" s="138" t="s">
        <v>315</v>
      </c>
      <c r="H46" s="138" t="s">
        <v>316</v>
      </c>
      <c r="I46" s="139"/>
    </row>
    <row r="47" spans="1:9" ht="18" customHeight="1" x14ac:dyDescent="0.25">
      <c r="A47" s="140" t="s">
        <v>292</v>
      </c>
      <c r="B47" s="141" t="s">
        <v>293</v>
      </c>
      <c r="C47" s="141" t="s">
        <v>287</v>
      </c>
      <c r="D47" s="142"/>
      <c r="E47" s="12"/>
      <c r="F47" s="140" t="s">
        <v>292</v>
      </c>
      <c r="G47" s="141" t="s">
        <v>317</v>
      </c>
      <c r="H47" s="141" t="s">
        <v>287</v>
      </c>
      <c r="I47" s="142"/>
    </row>
    <row r="48" spans="1:9" x14ac:dyDescent="0.25">
      <c r="A48" s="137" t="s">
        <v>294</v>
      </c>
      <c r="B48" s="138" t="s">
        <v>295</v>
      </c>
      <c r="C48" s="138" t="s">
        <v>296</v>
      </c>
      <c r="D48" s="139" t="s">
        <v>297</v>
      </c>
      <c r="E48" s="12"/>
      <c r="F48" s="137" t="s">
        <v>294</v>
      </c>
      <c r="G48" s="138" t="s">
        <v>318</v>
      </c>
      <c r="H48" s="138" t="s">
        <v>319</v>
      </c>
      <c r="I48" s="139"/>
    </row>
    <row r="49" spans="1:9" ht="18" customHeight="1" x14ac:dyDescent="0.25">
      <c r="A49" s="140" t="s">
        <v>298</v>
      </c>
      <c r="B49" s="141" t="s">
        <v>299</v>
      </c>
      <c r="C49" s="141" t="s">
        <v>300</v>
      </c>
      <c r="D49" s="142"/>
      <c r="E49" s="12"/>
      <c r="F49" s="140" t="s">
        <v>298</v>
      </c>
      <c r="G49" s="141" t="s">
        <v>320</v>
      </c>
      <c r="H49" s="141" t="s">
        <v>321</v>
      </c>
      <c r="I49" s="142"/>
    </row>
    <row r="50" spans="1:9" ht="25.5" x14ac:dyDescent="0.25">
      <c r="A50" s="137" t="s">
        <v>301</v>
      </c>
      <c r="B50" s="138" t="s">
        <v>302</v>
      </c>
      <c r="C50" s="138" t="s">
        <v>287</v>
      </c>
      <c r="D50" s="139" t="s">
        <v>303</v>
      </c>
      <c r="E50" s="12"/>
      <c r="F50" s="137" t="s">
        <v>301</v>
      </c>
      <c r="G50" s="138" t="s">
        <v>322</v>
      </c>
      <c r="H50" s="138" t="s">
        <v>287</v>
      </c>
      <c r="I50" s="139" t="s">
        <v>323</v>
      </c>
    </row>
    <row r="51" spans="1:9" ht="18" customHeight="1" x14ac:dyDescent="0.25">
      <c r="A51" s="140" t="s">
        <v>304</v>
      </c>
      <c r="B51" s="141" t="s">
        <v>305</v>
      </c>
      <c r="C51" s="141" t="s">
        <v>306</v>
      </c>
      <c r="D51" s="142"/>
      <c r="E51" s="12"/>
      <c r="F51" s="140" t="s">
        <v>304</v>
      </c>
      <c r="G51" s="141" t="s">
        <v>305</v>
      </c>
      <c r="H51" s="141" t="s">
        <v>306</v>
      </c>
      <c r="I51" s="142"/>
    </row>
    <row r="52" spans="1:9" ht="25.5" x14ac:dyDescent="0.25">
      <c r="A52" s="137" t="s">
        <v>307</v>
      </c>
      <c r="B52" s="138" t="s">
        <v>305</v>
      </c>
      <c r="C52" s="138" t="s">
        <v>308</v>
      </c>
      <c r="D52" s="139"/>
      <c r="E52" s="12"/>
      <c r="F52" s="137" t="s">
        <v>307</v>
      </c>
      <c r="G52" s="138" t="s">
        <v>305</v>
      </c>
      <c r="H52" s="138" t="s">
        <v>324</v>
      </c>
      <c r="I52" s="139"/>
    </row>
    <row r="53" spans="1:9" ht="18" customHeight="1" x14ac:dyDescent="0.25">
      <c r="A53" s="131"/>
      <c r="B53" s="131"/>
      <c r="C53" s="131"/>
      <c r="D53" s="134"/>
      <c r="E53" s="12"/>
      <c r="F53" s="12"/>
      <c r="G53" s="12"/>
      <c r="H53" s="12"/>
    </row>
    <row r="54" spans="1:9" ht="24" customHeight="1" x14ac:dyDescent="0.25">
      <c r="A54" s="204" t="s">
        <v>325</v>
      </c>
      <c r="B54" s="203"/>
      <c r="C54" s="203"/>
      <c r="D54" s="203"/>
      <c r="E54" s="12"/>
      <c r="F54" s="12"/>
      <c r="G54" s="12"/>
      <c r="H54" s="12"/>
    </row>
    <row r="55" spans="1:9" ht="15" customHeight="1" x14ac:dyDescent="0.25">
      <c r="A55" s="44" t="s">
        <v>326</v>
      </c>
      <c r="B55" s="50"/>
      <c r="C55" s="50"/>
      <c r="D55" s="152"/>
      <c r="E55" s="50"/>
      <c r="F55" s="50"/>
      <c r="G55" s="12"/>
      <c r="H55" s="12"/>
    </row>
    <row r="56" spans="1:9" x14ac:dyDescent="0.25">
      <c r="A56" s="12"/>
      <c r="B56" s="12"/>
      <c r="C56" s="12"/>
      <c r="D56" s="149"/>
      <c r="E56" s="12"/>
      <c r="F56" s="12"/>
      <c r="G56" s="12"/>
      <c r="H56" s="12"/>
    </row>
    <row r="57" spans="1:9" ht="15" customHeight="1" x14ac:dyDescent="0.25">
      <c r="A57" s="135" t="s">
        <v>327</v>
      </c>
      <c r="B57" s="50"/>
      <c r="C57" s="50"/>
      <c r="D57" s="152"/>
      <c r="E57" s="50"/>
      <c r="F57" s="50"/>
      <c r="G57" s="12"/>
      <c r="H57" s="12"/>
    </row>
    <row r="58" spans="1:9" ht="15" customHeight="1" x14ac:dyDescent="0.25">
      <c r="A58" s="44" t="s">
        <v>328</v>
      </c>
      <c r="B58" s="50"/>
      <c r="C58" s="50"/>
      <c r="D58" s="152"/>
      <c r="E58" s="50"/>
      <c r="F58" s="50"/>
      <c r="G58" s="12"/>
      <c r="H58" s="12"/>
    </row>
    <row r="59" spans="1:9" x14ac:dyDescent="0.25">
      <c r="A59" s="118" t="s">
        <v>357</v>
      </c>
    </row>
    <row r="60" spans="1:9" x14ac:dyDescent="0.25">
      <c r="A60" s="118" t="s">
        <v>355</v>
      </c>
    </row>
    <row r="61" spans="1:9" x14ac:dyDescent="0.25">
      <c r="A61" s="118" t="s">
        <v>354</v>
      </c>
    </row>
    <row r="62" spans="1:9" x14ac:dyDescent="0.25">
      <c r="A62" s="118" t="s">
        <v>358</v>
      </c>
    </row>
    <row r="63" spans="1:9" x14ac:dyDescent="0.25">
      <c r="A63" s="12"/>
      <c r="B63" s="12"/>
      <c r="C63" s="12"/>
      <c r="D63" s="149"/>
      <c r="E63" s="12"/>
      <c r="F63" s="12"/>
      <c r="G63" s="12"/>
      <c r="H63" s="12"/>
    </row>
    <row r="64" spans="1:9" ht="15" customHeight="1" x14ac:dyDescent="0.25">
      <c r="A64" s="44" t="s">
        <v>329</v>
      </c>
      <c r="B64" s="50"/>
      <c r="C64" s="50"/>
      <c r="D64" s="152"/>
      <c r="E64" s="50"/>
      <c r="F64" s="50"/>
      <c r="G64" s="12"/>
      <c r="H64" s="12"/>
    </row>
    <row r="65" spans="1:9" x14ac:dyDescent="0.25">
      <c r="A65" s="118" t="s">
        <v>360</v>
      </c>
    </row>
    <row r="66" spans="1:9" x14ac:dyDescent="0.25">
      <c r="A66" s="118" t="s">
        <v>359</v>
      </c>
    </row>
    <row r="67" spans="1:9" x14ac:dyDescent="0.25">
      <c r="A67" s="12"/>
      <c r="B67" s="12"/>
      <c r="C67" s="12"/>
      <c r="D67" s="149"/>
      <c r="E67" s="12"/>
      <c r="F67" s="12"/>
      <c r="G67" s="12"/>
      <c r="H67" s="12"/>
    </row>
    <row r="68" spans="1:9" ht="15" customHeight="1" x14ac:dyDescent="0.25">
      <c r="A68" s="135" t="s">
        <v>330</v>
      </c>
      <c r="B68" s="135"/>
      <c r="C68" s="135"/>
      <c r="D68" s="153"/>
      <c r="E68" s="135"/>
      <c r="F68" s="135"/>
      <c r="G68" s="12"/>
      <c r="H68" s="12"/>
    </row>
    <row r="69" spans="1:9" ht="15" customHeight="1" x14ac:dyDescent="0.25">
      <c r="A69" s="44" t="s">
        <v>331</v>
      </c>
      <c r="B69" s="50"/>
      <c r="C69" s="50"/>
      <c r="D69" s="152"/>
      <c r="E69" s="50"/>
      <c r="F69" s="50"/>
      <c r="G69" s="12"/>
      <c r="H69" s="12"/>
    </row>
    <row r="70" spans="1:9" x14ac:dyDescent="0.25">
      <c r="A70" s="118" t="s">
        <v>361</v>
      </c>
    </row>
    <row r="71" spans="1:9" x14ac:dyDescent="0.25">
      <c r="A71" s="118" t="s">
        <v>356</v>
      </c>
    </row>
    <row r="72" spans="1:9" x14ac:dyDescent="0.25">
      <c r="A72" s="118" t="s">
        <v>362</v>
      </c>
    </row>
    <row r="73" spans="1:9" x14ac:dyDescent="0.25">
      <c r="A73" s="118" t="s">
        <v>363</v>
      </c>
    </row>
    <row r="74" spans="1:9" s="41" customFormat="1" ht="15" customHeight="1" x14ac:dyDescent="0.25">
      <c r="A74" s="44"/>
      <c r="B74" s="50"/>
      <c r="C74" s="50"/>
      <c r="D74" s="152"/>
      <c r="E74" s="50"/>
      <c r="F74" s="50"/>
      <c r="G74" s="34"/>
      <c r="H74" s="34"/>
      <c r="I74" s="93"/>
    </row>
    <row r="75" spans="1:9" ht="15" customHeight="1" x14ac:dyDescent="0.25">
      <c r="A75" s="44" t="s">
        <v>332</v>
      </c>
      <c r="B75" s="50"/>
      <c r="C75" s="50"/>
      <c r="D75" s="152"/>
      <c r="E75" s="50"/>
      <c r="F75" s="50"/>
      <c r="G75" s="12"/>
      <c r="H75" s="12"/>
    </row>
    <row r="76" spans="1:9" x14ac:dyDescent="0.25">
      <c r="A76" s="118" t="s">
        <v>364</v>
      </c>
    </row>
    <row r="77" spans="1:9" x14ac:dyDescent="0.25">
      <c r="A77" s="118" t="s">
        <v>365</v>
      </c>
    </row>
    <row r="78" spans="1:9" x14ac:dyDescent="0.25">
      <c r="A78" s="118" t="s">
        <v>366</v>
      </c>
    </row>
    <row r="79" spans="1:9" x14ac:dyDescent="0.25">
      <c r="A79" s="12"/>
      <c r="B79" s="12"/>
      <c r="C79" s="12"/>
      <c r="D79" s="149"/>
      <c r="E79" s="12"/>
      <c r="F79" s="12"/>
      <c r="G79" s="12"/>
      <c r="H79" s="12"/>
    </row>
    <row r="80" spans="1:9" ht="15" customHeight="1" x14ac:dyDescent="0.25">
      <c r="A80" s="44" t="s">
        <v>333</v>
      </c>
      <c r="B80" s="50"/>
      <c r="C80" s="50"/>
      <c r="D80" s="152"/>
      <c r="E80" s="50"/>
      <c r="F80" s="50"/>
      <c r="G80" s="12"/>
      <c r="H80" s="12"/>
    </row>
    <row r="81" spans="1:8" x14ac:dyDescent="0.25">
      <c r="A81" s="118" t="s">
        <v>367</v>
      </c>
    </row>
    <row r="82" spans="1:8" x14ac:dyDescent="0.25">
      <c r="A82" s="118" t="s">
        <v>368</v>
      </c>
    </row>
    <row r="83" spans="1:8" x14ac:dyDescent="0.25">
      <c r="A83" s="118"/>
    </row>
    <row r="84" spans="1:8" ht="15" customHeight="1" x14ac:dyDescent="0.25">
      <c r="A84" s="135" t="s">
        <v>334</v>
      </c>
      <c r="B84" s="50"/>
      <c r="C84" s="50"/>
      <c r="D84" s="152"/>
      <c r="E84" s="50"/>
      <c r="F84" s="50"/>
      <c r="G84" s="127"/>
      <c r="H84" s="127"/>
    </row>
    <row r="85" spans="1:8" ht="15" customHeight="1" x14ac:dyDescent="0.25">
      <c r="A85" s="44" t="s">
        <v>335</v>
      </c>
      <c r="B85" s="50"/>
      <c r="C85" s="50"/>
      <c r="D85" s="152"/>
      <c r="E85" s="50"/>
      <c r="F85" s="50"/>
      <c r="G85" s="12"/>
      <c r="H85" s="12"/>
    </row>
    <row r="86" spans="1:8" ht="15" customHeight="1" x14ac:dyDescent="0.25">
      <c r="A86" s="44" t="s">
        <v>336</v>
      </c>
      <c r="B86" s="50"/>
      <c r="C86" s="50"/>
      <c r="D86" s="152"/>
      <c r="E86" s="50"/>
      <c r="F86" s="50"/>
      <c r="G86" s="12"/>
      <c r="H86" s="12"/>
    </row>
    <row r="87" spans="1:8" ht="15" customHeight="1" x14ac:dyDescent="0.25">
      <c r="A87" s="44" t="s">
        <v>337</v>
      </c>
      <c r="B87" s="50"/>
      <c r="C87" s="50"/>
      <c r="D87" s="152"/>
      <c r="E87" s="50"/>
      <c r="F87" s="50"/>
      <c r="G87" s="12"/>
      <c r="H87" s="12"/>
    </row>
    <row r="88" spans="1:8" x14ac:dyDescent="0.25">
      <c r="A88" s="12"/>
      <c r="B88" s="12"/>
      <c r="C88" s="12"/>
      <c r="D88" s="149"/>
      <c r="E88" s="12"/>
      <c r="F88" s="12"/>
      <c r="G88" s="12"/>
      <c r="H88" s="12"/>
    </row>
    <row r="89" spans="1:8" ht="24" customHeight="1" x14ac:dyDescent="0.25">
      <c r="A89" s="202" t="s">
        <v>378</v>
      </c>
      <c r="B89" s="203"/>
      <c r="C89" s="203"/>
      <c r="D89" s="203"/>
      <c r="E89" s="12"/>
      <c r="F89" s="12"/>
      <c r="G89" s="12"/>
      <c r="H89" s="12"/>
    </row>
    <row r="90" spans="1:8" x14ac:dyDescent="0.25">
      <c r="A90" s="136"/>
      <c r="B90" s="12"/>
      <c r="C90" s="12"/>
      <c r="D90" s="149"/>
      <c r="E90" s="12"/>
      <c r="F90" s="12"/>
      <c r="G90" s="12"/>
      <c r="H90" s="12"/>
    </row>
    <row r="91" spans="1:8" x14ac:dyDescent="0.25">
      <c r="A91" s="12"/>
      <c r="B91" s="12"/>
      <c r="C91" s="12"/>
      <c r="D91" s="149"/>
      <c r="E91" s="12"/>
      <c r="F91" s="12"/>
      <c r="G91" s="12"/>
      <c r="H91" s="12"/>
    </row>
    <row r="92" spans="1:8" x14ac:dyDescent="0.25">
      <c r="A92" s="12"/>
      <c r="B92" s="12"/>
      <c r="C92" s="12"/>
      <c r="D92" s="149"/>
      <c r="E92" s="12"/>
      <c r="F92" s="12"/>
      <c r="G92" s="12"/>
      <c r="H92" s="12"/>
    </row>
    <row r="93" spans="1:8" x14ac:dyDescent="0.25">
      <c r="A93" s="12"/>
      <c r="B93" s="12"/>
      <c r="C93" s="12"/>
      <c r="D93" s="149"/>
      <c r="E93" s="12"/>
      <c r="F93" s="12"/>
    </row>
  </sheetData>
  <mergeCells count="13">
    <mergeCell ref="A2:E2"/>
    <mergeCell ref="A89:D89"/>
    <mergeCell ref="A1:G1"/>
    <mergeCell ref="A54:D54"/>
    <mergeCell ref="F24:I24"/>
    <mergeCell ref="A42:D42"/>
    <mergeCell ref="A24:D24"/>
    <mergeCell ref="F35:I35"/>
    <mergeCell ref="F42:I42"/>
    <mergeCell ref="A35:D35"/>
    <mergeCell ref="A3:G3"/>
    <mergeCell ref="A4:G4"/>
    <mergeCell ref="A7:D7"/>
  </mergeCells>
  <pageMargins left="0.75" right="0.75" top="1" bottom="1" header="0.5" footer="0.5"/>
  <headerFooter>
    <oddFooter>&amp;C&amp;8 Illustrative model | Clean Power Whisperer | cleanpowerwhisperer.ai</oddFooter>
  </headerFooter>
  <ignoredErrors>
    <ignoredError sqref="D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F"/>
  </sheetPr>
  <dimension ref="A1:K35"/>
  <sheetViews>
    <sheetView showGridLines="0" topLeftCell="A28" workbookViewId="0">
      <selection activeCell="E7" sqref="E7"/>
    </sheetView>
  </sheetViews>
  <sheetFormatPr defaultRowHeight="15" x14ac:dyDescent="0.25"/>
  <cols>
    <col min="1" max="1" width="35.7109375" style="2" customWidth="1"/>
    <col min="2" max="4" width="17.7109375" style="2" customWidth="1"/>
    <col min="5" max="5" width="16" style="2" customWidth="1"/>
    <col min="6" max="7" width="3" style="2" customWidth="1"/>
    <col min="8" max="8" width="35.7109375" style="2" customWidth="1"/>
    <col min="9" max="11" width="17.7109375" style="2" customWidth="1"/>
    <col min="12" max="16384" width="9.140625" style="2"/>
  </cols>
  <sheetData>
    <row r="1" spans="1:8" ht="21" x14ac:dyDescent="0.25">
      <c r="A1" s="186" t="s">
        <v>21</v>
      </c>
      <c r="B1" s="185"/>
      <c r="C1" s="185"/>
      <c r="D1" s="185"/>
      <c r="E1" s="185"/>
      <c r="F1" s="185"/>
      <c r="G1" s="185"/>
    </row>
    <row r="2" spans="1:8" ht="15.75" x14ac:dyDescent="0.25">
      <c r="A2" s="192" t="s">
        <v>372</v>
      </c>
      <c r="B2" s="193"/>
      <c r="C2" s="193"/>
      <c r="D2" s="193"/>
      <c r="E2" s="193"/>
      <c r="F2" s="193"/>
      <c r="G2" s="193"/>
    </row>
    <row r="3" spans="1:8" x14ac:dyDescent="0.25">
      <c r="A3" s="188" t="s">
        <v>2</v>
      </c>
      <c r="B3" s="185"/>
      <c r="C3" s="185"/>
      <c r="D3" s="185"/>
      <c r="E3" s="185"/>
      <c r="F3" s="185"/>
      <c r="G3" s="185"/>
    </row>
    <row r="4" spans="1:8" x14ac:dyDescent="0.25">
      <c r="A4" s="184" t="s">
        <v>22</v>
      </c>
      <c r="B4" s="185"/>
      <c r="C4" s="185"/>
      <c r="D4" s="185"/>
      <c r="E4" s="185"/>
      <c r="F4" s="185"/>
      <c r="G4" s="185"/>
    </row>
    <row r="6" spans="1:8" s="41" customFormat="1" x14ac:dyDescent="0.25"/>
    <row r="7" spans="1:8" ht="24" customHeight="1" x14ac:dyDescent="0.25">
      <c r="A7" s="187" t="s">
        <v>23</v>
      </c>
      <c r="B7" s="185"/>
      <c r="C7" s="185"/>
      <c r="D7" s="185"/>
      <c r="E7" s="6" t="s">
        <v>24</v>
      </c>
    </row>
    <row r="8" spans="1:8" ht="18" customHeight="1" x14ac:dyDescent="0.25">
      <c r="A8" s="189" t="s">
        <v>25</v>
      </c>
      <c r="B8" s="189"/>
      <c r="C8" s="189"/>
      <c r="D8" s="189"/>
      <c r="E8" s="7">
        <f>IRR('8. Cash Waterfall'!H32:H51)</f>
        <v>0.21775294882492524</v>
      </c>
      <c r="H8" s="7"/>
    </row>
    <row r="9" spans="1:8" ht="18" customHeight="1" x14ac:dyDescent="0.25">
      <c r="A9" s="189" t="s">
        <v>26</v>
      </c>
      <c r="B9" s="189"/>
      <c r="C9" s="189"/>
      <c r="D9" s="189"/>
      <c r="E9" s="8">
        <v>6</v>
      </c>
      <c r="H9" s="8"/>
    </row>
    <row r="10" spans="1:8" ht="18" customHeight="1" x14ac:dyDescent="0.25">
      <c r="A10" s="189" t="s">
        <v>27</v>
      </c>
      <c r="B10" s="189"/>
      <c r="C10" s="189"/>
      <c r="D10" s="189"/>
      <c r="E10" s="9">
        <f>'1. Inputs &amp; Scenarios'!B39</f>
        <v>7.0000000000000007E-2</v>
      </c>
      <c r="H10" s="9"/>
    </row>
    <row r="11" spans="1:8" ht="18" customHeight="1" x14ac:dyDescent="0.25">
      <c r="A11" s="189" t="s">
        <v>28</v>
      </c>
      <c r="B11" s="189"/>
      <c r="C11" s="189"/>
      <c r="D11" s="189"/>
      <c r="E11" s="10">
        <f>MIN('6. Debt Engine'!I8:I25)</f>
        <v>1.818663594470046</v>
      </c>
      <c r="H11" s="10"/>
    </row>
    <row r="12" spans="1:8" ht="18" customHeight="1" x14ac:dyDescent="0.25">
      <c r="A12" s="189" t="s">
        <v>29</v>
      </c>
      <c r="B12" s="189"/>
      <c r="C12" s="189"/>
      <c r="D12" s="189"/>
      <c r="E12" s="10">
        <f>AVERAGE('6. Debt Engine'!I8:I25)</f>
        <v>2.3181779640221851</v>
      </c>
      <c r="H12" s="10"/>
    </row>
    <row r="13" spans="1:8" ht="18" customHeight="1" x14ac:dyDescent="0.25">
      <c r="A13" s="189" t="s">
        <v>30</v>
      </c>
      <c r="B13" s="189"/>
      <c r="C13" s="189"/>
      <c r="D13" s="189"/>
      <c r="E13" s="10">
        <f>'6. Debt Engine'!J8</f>
        <v>2.2696580879961124</v>
      </c>
      <c r="H13" s="10"/>
    </row>
    <row r="14" spans="1:8" ht="18" customHeight="1" x14ac:dyDescent="0.25">
      <c r="A14" s="189" t="s">
        <v>31</v>
      </c>
      <c r="B14" s="189"/>
      <c r="C14" s="189"/>
      <c r="D14" s="189"/>
      <c r="E14" s="9">
        <f>'1. Inputs &amp; Scenarios'!B21/('1. Inputs &amp; Scenarios'!B21+'1. Inputs &amp; Scenarios'!B22+'1. Inputs &amp; Scenarios'!B25)</f>
        <v>0.42105263157894735</v>
      </c>
      <c r="H14" s="9"/>
    </row>
    <row r="15" spans="1:8" ht="18" customHeight="1" x14ac:dyDescent="0.25">
      <c r="A15" s="189" t="s">
        <v>32</v>
      </c>
      <c r="B15" s="189"/>
      <c r="C15" s="189"/>
      <c r="D15" s="189"/>
      <c r="E15" s="11">
        <f>'4. Revenue &amp; OpEx'!E28</f>
        <v>612463323.24763656</v>
      </c>
      <c r="H15" s="11"/>
    </row>
    <row r="16" spans="1:8" ht="18" customHeight="1" x14ac:dyDescent="0.25">
      <c r="A16" s="189" t="s">
        <v>33</v>
      </c>
      <c r="B16" s="189"/>
      <c r="C16" s="189"/>
      <c r="D16" s="189"/>
      <c r="E16" s="11">
        <f>'4. Revenue &amp; OpEx'!L28</f>
        <v>477320795.91916275</v>
      </c>
      <c r="H16" s="11"/>
    </row>
    <row r="18" spans="1:11" ht="24" customHeight="1" x14ac:dyDescent="0.25">
      <c r="A18" s="187" t="s">
        <v>34</v>
      </c>
      <c r="B18" s="185"/>
      <c r="C18" s="185"/>
      <c r="D18" s="185"/>
    </row>
    <row r="19" spans="1:11" ht="21.95" customHeight="1" x14ac:dyDescent="0.25">
      <c r="A19" s="55" t="s">
        <v>35</v>
      </c>
      <c r="B19" s="56" t="s">
        <v>36</v>
      </c>
      <c r="C19" s="56" t="s">
        <v>37</v>
      </c>
      <c r="D19" s="57" t="s">
        <v>38</v>
      </c>
    </row>
    <row r="20" spans="1:11" ht="18" customHeight="1" x14ac:dyDescent="0.25">
      <c r="A20" s="79" t="s">
        <v>39</v>
      </c>
      <c r="B20" s="80">
        <f>'1. Inputs &amp; Scenarios'!B21</f>
        <v>120000000</v>
      </c>
      <c r="C20" s="81">
        <f>B20/B$23</f>
        <v>0.42105263157894735</v>
      </c>
      <c r="D20" s="79" t="s">
        <v>40</v>
      </c>
    </row>
    <row r="21" spans="1:11" ht="18" customHeight="1" x14ac:dyDescent="0.25">
      <c r="A21" s="82" t="s">
        <v>41</v>
      </c>
      <c r="B21" s="83">
        <f>'1. Inputs &amp; Scenarios'!B22</f>
        <v>145000000</v>
      </c>
      <c r="C21" s="84">
        <f>B21/B$23</f>
        <v>0.50877192982456143</v>
      </c>
      <c r="D21" s="82" t="s">
        <v>42</v>
      </c>
    </row>
    <row r="22" spans="1:11" ht="18" customHeight="1" x14ac:dyDescent="0.25">
      <c r="A22" s="178" t="s">
        <v>43</v>
      </c>
      <c r="B22" s="179">
        <f>'1. Inputs &amp; Scenarios'!B25</f>
        <v>20000000</v>
      </c>
      <c r="C22" s="180">
        <f>B22/B$23</f>
        <v>7.0175438596491224E-2</v>
      </c>
      <c r="D22" s="178" t="s">
        <v>42</v>
      </c>
    </row>
    <row r="23" spans="1:11" ht="18" customHeight="1" x14ac:dyDescent="0.25">
      <c r="A23" s="44" t="s">
        <v>44</v>
      </c>
      <c r="B23" s="42">
        <f>SUM(B20:B22)</f>
        <v>285000000</v>
      </c>
      <c r="C23" s="43">
        <f>SUM(C20:C22)</f>
        <v>1</v>
      </c>
      <c r="D23" s="34"/>
    </row>
    <row r="25" spans="1:11" ht="24" customHeight="1" x14ac:dyDescent="0.25">
      <c r="A25" s="194" t="s">
        <v>369</v>
      </c>
      <c r="B25" s="185"/>
      <c r="C25" s="185"/>
      <c r="D25" s="185"/>
      <c r="H25" s="190" t="s">
        <v>370</v>
      </c>
      <c r="I25" s="191"/>
      <c r="J25" s="191"/>
      <c r="K25" s="191"/>
    </row>
    <row r="26" spans="1:11" ht="21.95" customHeight="1" x14ac:dyDescent="0.25">
      <c r="A26" s="97" t="s">
        <v>45</v>
      </c>
      <c r="B26" s="98" t="s">
        <v>46</v>
      </c>
      <c r="C26" s="98" t="s">
        <v>47</v>
      </c>
      <c r="D26" s="99" t="s">
        <v>48</v>
      </c>
      <c r="H26" s="100" t="s">
        <v>45</v>
      </c>
      <c r="I26" s="101" t="s">
        <v>46</v>
      </c>
      <c r="J26" s="101" t="s">
        <v>47</v>
      </c>
      <c r="K26" s="102" t="s">
        <v>48</v>
      </c>
    </row>
    <row r="27" spans="1:11" s="41" customFormat="1" ht="18" customHeight="1" x14ac:dyDescent="0.25">
      <c r="A27" s="103" t="s">
        <v>49</v>
      </c>
      <c r="B27" s="104">
        <f>'10. Insurance &amp; PML'!B14</f>
        <v>35000000</v>
      </c>
      <c r="C27" s="104">
        <f>B27</f>
        <v>35000000</v>
      </c>
      <c r="D27" s="104">
        <f>C27-B27</f>
        <v>0</v>
      </c>
      <c r="H27" s="104" t="s">
        <v>49</v>
      </c>
      <c r="I27" s="104">
        <f>'10. Insurance &amp; PML'!B15</f>
        <v>55000000</v>
      </c>
      <c r="J27" s="104">
        <f>I27</f>
        <v>55000000</v>
      </c>
      <c r="K27" s="104">
        <f>J27-I27</f>
        <v>0</v>
      </c>
    </row>
    <row r="28" spans="1:11" s="41" customFormat="1" ht="18" customHeight="1" x14ac:dyDescent="0.25">
      <c r="A28" s="105" t="s">
        <v>50</v>
      </c>
      <c r="B28" s="106">
        <f>B27*0.05</f>
        <v>1750000</v>
      </c>
      <c r="C28" s="106">
        <f>B28</f>
        <v>1750000</v>
      </c>
      <c r="D28" s="106">
        <f>C28-B28</f>
        <v>0</v>
      </c>
      <c r="H28" s="106" t="s">
        <v>50</v>
      </c>
      <c r="I28" s="106">
        <f>I27*0.05</f>
        <v>2750000</v>
      </c>
      <c r="J28" s="106">
        <f>I28</f>
        <v>2750000</v>
      </c>
      <c r="K28" s="106">
        <f>J28-I28</f>
        <v>0</v>
      </c>
    </row>
    <row r="29" spans="1:11" s="41" customFormat="1" ht="18" customHeight="1" x14ac:dyDescent="0.25">
      <c r="A29" s="103" t="s">
        <v>51</v>
      </c>
      <c r="B29" s="104">
        <f>MIN(B27-B28,25000000)</f>
        <v>25000000</v>
      </c>
      <c r="C29" s="104">
        <f>MIN(C27-C28,50000000)</f>
        <v>33250000</v>
      </c>
      <c r="D29" s="104">
        <f>C29-B29</f>
        <v>8250000</v>
      </c>
      <c r="H29" s="104" t="s">
        <v>51</v>
      </c>
      <c r="I29" s="104">
        <f>MIN(I27-I28,25000000)</f>
        <v>25000000</v>
      </c>
      <c r="J29" s="104">
        <f>MIN(J27-J28,50000000)</f>
        <v>50000000</v>
      </c>
      <c r="K29" s="104">
        <f>J29-I29</f>
        <v>25000000</v>
      </c>
    </row>
    <row r="30" spans="1:11" s="41" customFormat="1" ht="18" customHeight="1" x14ac:dyDescent="0.25">
      <c r="A30" s="107" t="s">
        <v>52</v>
      </c>
      <c r="B30" s="108">
        <f>B27-B28-B29</f>
        <v>8250000</v>
      </c>
      <c r="C30" s="108">
        <f>C27-C28-C29</f>
        <v>0</v>
      </c>
      <c r="D30" s="106">
        <f>B30-C30</f>
        <v>8250000</v>
      </c>
      <c r="H30" s="108" t="s">
        <v>52</v>
      </c>
      <c r="I30" s="108">
        <f>I27-I28-I29</f>
        <v>27250000</v>
      </c>
      <c r="J30" s="108">
        <f>J27-J28-J29</f>
        <v>2250000</v>
      </c>
      <c r="K30" s="106">
        <f>I30-J30</f>
        <v>25000000</v>
      </c>
    </row>
    <row r="31" spans="1:11" s="41" customFormat="1" ht="18" customHeight="1" x14ac:dyDescent="0.25">
      <c r="A31" s="103" t="s">
        <v>53</v>
      </c>
      <c r="B31" s="104">
        <f>'10. Insurance &amp; PML'!C14*320/365</f>
        <v>8767123.2876712326</v>
      </c>
      <c r="C31" s="104">
        <f>B31</f>
        <v>8767123.2876712326</v>
      </c>
      <c r="D31" s="104">
        <f>C31-B31</f>
        <v>0</v>
      </c>
      <c r="H31" s="104" t="s">
        <v>53</v>
      </c>
      <c r="I31" s="104">
        <f>'10. Insurance &amp; PML'!C15*320/365</f>
        <v>15780821.91780822</v>
      </c>
      <c r="J31" s="104">
        <f>I31</f>
        <v>15780821.91780822</v>
      </c>
      <c r="K31" s="104">
        <f>J31-I31</f>
        <v>0</v>
      </c>
    </row>
    <row r="32" spans="1:11" s="41" customFormat="1" ht="18" customHeight="1" x14ac:dyDescent="0.25">
      <c r="A32" s="105" t="s">
        <v>54</v>
      </c>
      <c r="B32" s="106">
        <f>B29+B31</f>
        <v>33767123.287671231</v>
      </c>
      <c r="C32" s="106">
        <f>C29+C31</f>
        <v>42017123.287671231</v>
      </c>
      <c r="D32" s="106">
        <f>C32-B32</f>
        <v>8250000</v>
      </c>
      <c r="H32" s="106" t="s">
        <v>54</v>
      </c>
      <c r="I32" s="106">
        <f>I29+I31</f>
        <v>40780821.91780822</v>
      </c>
      <c r="J32" s="106">
        <f>J29+J31</f>
        <v>65780821.91780822</v>
      </c>
      <c r="K32" s="106">
        <f>J32-I32</f>
        <v>25000000</v>
      </c>
    </row>
    <row r="33" spans="1:11" s="41" customFormat="1" ht="18" customHeight="1" x14ac:dyDescent="0.25">
      <c r="A33" s="109" t="s">
        <v>55</v>
      </c>
      <c r="B33" s="110">
        <f>B30+('10. Insurance &amp; PML'!C14-B31)</f>
        <v>9482876.7123287674</v>
      </c>
      <c r="C33" s="110">
        <f>C30+('10. Insurance &amp; PML'!C14-C31)</f>
        <v>1232876.7123287674</v>
      </c>
      <c r="D33" s="104">
        <f>B33-C33</f>
        <v>8250000</v>
      </c>
      <c r="H33" s="110" t="s">
        <v>55</v>
      </c>
      <c r="I33" s="110">
        <f>I30+('10. Insurance &amp; PML'!C15-I31)</f>
        <v>29469178.08219178</v>
      </c>
      <c r="J33" s="110">
        <f>J30+('10. Insurance &amp; PML'!C15-J31)</f>
        <v>4469178.0821917802</v>
      </c>
      <c r="K33" s="104">
        <f>I33-J33</f>
        <v>25000000</v>
      </c>
    </row>
    <row r="35" spans="1:11" x14ac:dyDescent="0.25">
      <c r="A35" s="12"/>
      <c r="B35" s="12"/>
      <c r="C35" s="12"/>
      <c r="D35" s="12"/>
      <c r="E35" s="12"/>
    </row>
  </sheetData>
  <mergeCells count="17">
    <mergeCell ref="H25:K25"/>
    <mergeCell ref="A13:D13"/>
    <mergeCell ref="A2:G2"/>
    <mergeCell ref="A16:D16"/>
    <mergeCell ref="A8:D8"/>
    <mergeCell ref="A25:D25"/>
    <mergeCell ref="A12:D12"/>
    <mergeCell ref="A11:D11"/>
    <mergeCell ref="A14:D14"/>
    <mergeCell ref="A15:D15"/>
    <mergeCell ref="A1:G1"/>
    <mergeCell ref="A4:G4"/>
    <mergeCell ref="A18:D18"/>
    <mergeCell ref="A3:G3"/>
    <mergeCell ref="A10:D10"/>
    <mergeCell ref="A9:D9"/>
    <mergeCell ref="A7:D7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3366"/>
  </sheetPr>
  <dimension ref="A1:G47"/>
  <sheetViews>
    <sheetView showGridLines="0" topLeftCell="A21" workbookViewId="0">
      <selection activeCell="H34" sqref="H34"/>
    </sheetView>
  </sheetViews>
  <sheetFormatPr defaultRowHeight="15" x14ac:dyDescent="0.25"/>
  <cols>
    <col min="1" max="1" width="34" style="2" customWidth="1"/>
    <col min="2" max="2" width="20" style="13" customWidth="1"/>
    <col min="3" max="4" width="3" style="2" customWidth="1"/>
    <col min="5" max="16384" width="9.140625" style="2"/>
  </cols>
  <sheetData>
    <row r="1" spans="1:7" ht="21" x14ac:dyDescent="0.25">
      <c r="A1" s="186" t="s">
        <v>21</v>
      </c>
      <c r="B1" s="185"/>
      <c r="C1" s="185"/>
      <c r="D1" s="185"/>
      <c r="E1" s="185"/>
      <c r="F1" s="185"/>
    </row>
    <row r="2" spans="1:7" ht="15.75" x14ac:dyDescent="0.25">
      <c r="A2" s="192" t="s">
        <v>56</v>
      </c>
      <c r="B2" s="193"/>
      <c r="C2" s="193"/>
      <c r="D2" s="193"/>
      <c r="E2" s="193"/>
      <c r="F2" s="193"/>
    </row>
    <row r="3" spans="1:7" x14ac:dyDescent="0.25">
      <c r="A3" s="188" t="s">
        <v>2</v>
      </c>
      <c r="B3" s="185"/>
      <c r="C3" s="185"/>
      <c r="D3" s="185"/>
      <c r="E3" s="185"/>
      <c r="F3" s="185"/>
      <c r="G3" s="185"/>
    </row>
    <row r="4" spans="1:7" x14ac:dyDescent="0.25">
      <c r="A4" s="184" t="s">
        <v>22</v>
      </c>
      <c r="B4" s="185"/>
      <c r="C4" s="185"/>
      <c r="D4" s="185"/>
      <c r="E4" s="185"/>
      <c r="F4" s="185"/>
      <c r="G4" s="185"/>
    </row>
    <row r="5" spans="1:7" ht="15.95" customHeight="1" x14ac:dyDescent="0.25">
      <c r="A5" s="195"/>
      <c r="B5" s="196"/>
      <c r="C5" s="185"/>
      <c r="D5" s="185"/>
    </row>
    <row r="7" spans="1:7" ht="24" customHeight="1" x14ac:dyDescent="0.25">
      <c r="A7" s="51" t="s">
        <v>383</v>
      </c>
      <c r="B7" s="181" t="s">
        <v>24</v>
      </c>
    </row>
    <row r="8" spans="1:7" ht="15.75" x14ac:dyDescent="0.25">
      <c r="A8" s="182" t="s">
        <v>57</v>
      </c>
      <c r="B8" s="183"/>
    </row>
    <row r="9" spans="1:7" ht="18" customHeight="1" x14ac:dyDescent="0.25">
      <c r="A9" s="15" t="s">
        <v>58</v>
      </c>
      <c r="B9" s="16">
        <v>150</v>
      </c>
    </row>
    <row r="10" spans="1:7" ht="18" customHeight="1" x14ac:dyDescent="0.25">
      <c r="A10" s="15" t="s">
        <v>59</v>
      </c>
      <c r="B10" s="16" t="s">
        <v>60</v>
      </c>
    </row>
    <row r="11" spans="1:7" ht="18" customHeight="1" x14ac:dyDescent="0.25">
      <c r="A11" s="15" t="s">
        <v>61</v>
      </c>
      <c r="B11" s="16">
        <v>380000</v>
      </c>
    </row>
    <row r="12" spans="1:7" ht="18" customHeight="1" x14ac:dyDescent="0.25">
      <c r="A12" s="15" t="s">
        <v>375</v>
      </c>
      <c r="B12" s="16">
        <v>5.0000000000000001E-3</v>
      </c>
    </row>
    <row r="13" spans="1:7" ht="18" customHeight="1" x14ac:dyDescent="0.25">
      <c r="A13" s="15" t="s">
        <v>374</v>
      </c>
      <c r="B13" s="16">
        <v>1.4999999999999999E-2</v>
      </c>
    </row>
    <row r="14" spans="1:7" ht="18" customHeight="1" x14ac:dyDescent="0.25">
      <c r="A14" s="15" t="s">
        <v>62</v>
      </c>
      <c r="B14" s="16">
        <v>2027</v>
      </c>
    </row>
    <row r="15" spans="1:7" ht="18" customHeight="1" x14ac:dyDescent="0.25">
      <c r="A15" s="15" t="s">
        <v>376</v>
      </c>
      <c r="B15" s="16">
        <v>20</v>
      </c>
    </row>
    <row r="16" spans="1:7" ht="18" customHeight="1" x14ac:dyDescent="0.25">
      <c r="A16" s="15" t="s">
        <v>377</v>
      </c>
      <c r="B16" s="16" t="s">
        <v>63</v>
      </c>
    </row>
    <row r="18" spans="1:2" ht="15.75" x14ac:dyDescent="0.25">
      <c r="A18" s="182" t="s">
        <v>34</v>
      </c>
      <c r="B18" s="183"/>
    </row>
    <row r="19" spans="1:2" ht="18" customHeight="1" x14ac:dyDescent="0.25">
      <c r="A19" s="15" t="s">
        <v>64</v>
      </c>
      <c r="B19" s="17">
        <v>215000000</v>
      </c>
    </row>
    <row r="20" spans="1:2" ht="18" customHeight="1" x14ac:dyDescent="0.25">
      <c r="A20" s="15" t="s">
        <v>65</v>
      </c>
      <c r="B20" s="17">
        <v>240000000</v>
      </c>
    </row>
    <row r="21" spans="1:2" ht="18" customHeight="1" x14ac:dyDescent="0.25">
      <c r="A21" s="15" t="s">
        <v>39</v>
      </c>
      <c r="B21" s="17">
        <v>120000000</v>
      </c>
    </row>
    <row r="22" spans="1:2" ht="18" customHeight="1" x14ac:dyDescent="0.25">
      <c r="A22" s="15" t="s">
        <v>66</v>
      </c>
      <c r="B22" s="17">
        <f>B23+B24</f>
        <v>145000000</v>
      </c>
    </row>
    <row r="23" spans="1:2" ht="18" customHeight="1" x14ac:dyDescent="0.25">
      <c r="A23" s="15" t="s">
        <v>67</v>
      </c>
      <c r="B23" s="17">
        <v>29000000</v>
      </c>
    </row>
    <row r="24" spans="1:2" ht="18" customHeight="1" x14ac:dyDescent="0.25">
      <c r="A24" s="15" t="s">
        <v>68</v>
      </c>
      <c r="B24" s="17">
        <v>116000000</v>
      </c>
    </row>
    <row r="25" spans="1:2" ht="18" customHeight="1" x14ac:dyDescent="0.25">
      <c r="A25" s="15" t="s">
        <v>69</v>
      </c>
      <c r="B25" s="17">
        <v>20000000</v>
      </c>
    </row>
    <row r="26" spans="1:2" ht="18" customHeight="1" x14ac:dyDescent="0.25">
      <c r="A26" s="15" t="s">
        <v>70</v>
      </c>
      <c r="B26" s="17">
        <v>237500000</v>
      </c>
    </row>
    <row r="27" spans="1:2" ht="18" customHeight="1" x14ac:dyDescent="0.25">
      <c r="A27" s="15" t="s">
        <v>71</v>
      </c>
      <c r="B27" s="18">
        <v>0.3</v>
      </c>
    </row>
    <row r="28" spans="1:2" ht="18" customHeight="1" x14ac:dyDescent="0.25">
      <c r="A28" s="15" t="s">
        <v>72</v>
      </c>
      <c r="B28" s="18">
        <v>0.6</v>
      </c>
    </row>
    <row r="30" spans="1:2" ht="15.75" x14ac:dyDescent="0.25">
      <c r="A30" s="182" t="s">
        <v>73</v>
      </c>
      <c r="B30" s="183"/>
    </row>
    <row r="31" spans="1:2" ht="18" customHeight="1" x14ac:dyDescent="0.25">
      <c r="A31" s="15" t="s">
        <v>74</v>
      </c>
      <c r="B31" s="19">
        <v>4.4999999999999998E-2</v>
      </c>
    </row>
    <row r="32" spans="1:2" ht="18" customHeight="1" x14ac:dyDescent="0.25">
      <c r="A32" s="15" t="s">
        <v>75</v>
      </c>
      <c r="B32" s="19">
        <v>0.02</v>
      </c>
    </row>
    <row r="33" spans="1:2" ht="18" customHeight="1" x14ac:dyDescent="0.25">
      <c r="A33" s="15" t="s">
        <v>76</v>
      </c>
      <c r="B33" s="19">
        <f>B31+B32</f>
        <v>6.5000000000000002E-2</v>
      </c>
    </row>
    <row r="34" spans="1:2" ht="18" customHeight="1" x14ac:dyDescent="0.25">
      <c r="A34" s="15" t="s">
        <v>77</v>
      </c>
      <c r="B34" s="20">
        <v>18</v>
      </c>
    </row>
    <row r="35" spans="1:2" ht="18" customHeight="1" x14ac:dyDescent="0.25">
      <c r="A35" s="15" t="s">
        <v>78</v>
      </c>
      <c r="B35" s="16" t="s">
        <v>79</v>
      </c>
    </row>
    <row r="36" spans="1:2" ht="18" customHeight="1" x14ac:dyDescent="0.25">
      <c r="A36" s="15" t="s">
        <v>80</v>
      </c>
      <c r="B36" s="17">
        <v>8500000</v>
      </c>
    </row>
    <row r="37" spans="1:2" x14ac:dyDescent="0.25">
      <c r="B37" s="15"/>
    </row>
    <row r="38" spans="1:2" ht="15.75" x14ac:dyDescent="0.25">
      <c r="A38" s="182" t="s">
        <v>81</v>
      </c>
      <c r="B38" s="183"/>
    </row>
    <row r="39" spans="1:2" ht="18" customHeight="1" x14ac:dyDescent="0.25">
      <c r="A39" s="15" t="s">
        <v>82</v>
      </c>
      <c r="B39" s="18">
        <v>7.0000000000000007E-2</v>
      </c>
    </row>
    <row r="40" spans="1:2" ht="18" customHeight="1" x14ac:dyDescent="0.25">
      <c r="A40" s="15" t="s">
        <v>83</v>
      </c>
      <c r="B40" s="18">
        <v>0.99</v>
      </c>
    </row>
    <row r="41" spans="1:2" ht="18" customHeight="1" x14ac:dyDescent="0.25">
      <c r="A41" s="15" t="s">
        <v>84</v>
      </c>
      <c r="B41" s="18">
        <v>0.01</v>
      </c>
    </row>
    <row r="42" spans="1:2" ht="18" customHeight="1" x14ac:dyDescent="0.25">
      <c r="A42" s="15" t="s">
        <v>85</v>
      </c>
      <c r="B42" s="18">
        <v>0.05</v>
      </c>
    </row>
    <row r="43" spans="1:2" ht="18" customHeight="1" x14ac:dyDescent="0.25">
      <c r="A43" s="15" t="s">
        <v>86</v>
      </c>
      <c r="B43" s="19">
        <v>0.95</v>
      </c>
    </row>
    <row r="44" spans="1:2" ht="18" customHeight="1" x14ac:dyDescent="0.25">
      <c r="A44" s="15" t="s">
        <v>87</v>
      </c>
      <c r="B44" s="19">
        <v>0.37</v>
      </c>
    </row>
    <row r="45" spans="1:2" ht="18" customHeight="1" x14ac:dyDescent="0.25">
      <c r="A45" s="15" t="s">
        <v>88</v>
      </c>
      <c r="B45" s="21">
        <v>0</v>
      </c>
    </row>
    <row r="46" spans="1:2" ht="18" customHeight="1" x14ac:dyDescent="0.25">
      <c r="A46" s="15" t="s">
        <v>89</v>
      </c>
      <c r="B46" s="17">
        <v>5000000</v>
      </c>
    </row>
    <row r="47" spans="1:2" x14ac:dyDescent="0.25">
      <c r="A47" s="22"/>
      <c r="B47" s="23"/>
    </row>
  </sheetData>
  <mergeCells count="5">
    <mergeCell ref="A1:F1"/>
    <mergeCell ref="A2:F2"/>
    <mergeCell ref="A5:D5"/>
    <mergeCell ref="A3:G3"/>
    <mergeCell ref="A4:G4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33"/>
  </sheetPr>
  <dimension ref="A1:J47"/>
  <sheetViews>
    <sheetView showGridLines="0" topLeftCell="A16" workbookViewId="0">
      <selection activeCell="A21" sqref="A1:XFD1048576"/>
    </sheetView>
  </sheetViews>
  <sheetFormatPr defaultRowHeight="15" x14ac:dyDescent="0.25"/>
  <cols>
    <col min="1" max="1" width="12" style="2" customWidth="1"/>
    <col min="2" max="2" width="12.28515625" style="2" customWidth="1"/>
    <col min="3" max="4" width="13" style="2" customWidth="1"/>
    <col min="5" max="7" width="14" style="2" customWidth="1"/>
    <col min="8" max="9" width="13" style="2" customWidth="1"/>
    <col min="10" max="10" width="12" style="2" customWidth="1"/>
    <col min="11" max="12" width="3" style="2" customWidth="1"/>
    <col min="13" max="16384" width="9.140625" style="2"/>
  </cols>
  <sheetData>
    <row r="1" spans="1:10" ht="21" x14ac:dyDescent="0.25">
      <c r="A1" s="186" t="s">
        <v>21</v>
      </c>
      <c r="B1" s="185"/>
      <c r="C1" s="185"/>
      <c r="D1" s="185"/>
      <c r="E1" s="185"/>
      <c r="F1" s="185"/>
      <c r="G1" s="185"/>
    </row>
    <row r="2" spans="1:10" ht="15.75" x14ac:dyDescent="0.25">
      <c r="A2" s="192" t="s">
        <v>90</v>
      </c>
      <c r="B2" s="193"/>
      <c r="C2" s="193"/>
      <c r="D2" s="193"/>
      <c r="E2" s="193"/>
      <c r="F2" s="193"/>
      <c r="G2" s="193"/>
    </row>
    <row r="3" spans="1:10" x14ac:dyDescent="0.25">
      <c r="A3" s="188" t="s">
        <v>2</v>
      </c>
      <c r="B3" s="185"/>
      <c r="C3" s="185"/>
      <c r="D3" s="185"/>
      <c r="E3" s="185"/>
      <c r="F3" s="185"/>
      <c r="G3" s="185"/>
    </row>
    <row r="4" spans="1:10" x14ac:dyDescent="0.25">
      <c r="A4" s="184" t="s">
        <v>22</v>
      </c>
      <c r="B4" s="185"/>
      <c r="C4" s="185"/>
      <c r="D4" s="185"/>
      <c r="E4" s="185"/>
      <c r="F4" s="185"/>
      <c r="G4" s="185"/>
    </row>
    <row r="5" spans="1:10" s="41" customFormat="1" ht="20.100000000000001" customHeight="1" x14ac:dyDescent="0.25">
      <c r="A5" s="38"/>
      <c r="B5" s="45"/>
      <c r="C5" s="45"/>
      <c r="D5" s="45"/>
      <c r="E5" s="45"/>
      <c r="F5" s="45"/>
      <c r="G5" s="45"/>
    </row>
    <row r="7" spans="1:10" ht="21.95" customHeight="1" x14ac:dyDescent="0.25">
      <c r="A7" s="55" t="s">
        <v>91</v>
      </c>
      <c r="B7" s="55" t="s">
        <v>92</v>
      </c>
      <c r="C7" s="55" t="s">
        <v>93</v>
      </c>
      <c r="D7" s="55" t="s">
        <v>94</v>
      </c>
      <c r="E7" s="55" t="s">
        <v>95</v>
      </c>
      <c r="F7" s="55" t="s">
        <v>96</v>
      </c>
      <c r="G7" s="55" t="s">
        <v>97</v>
      </c>
      <c r="H7" s="55" t="s">
        <v>98</v>
      </c>
      <c r="I7" s="55" t="s">
        <v>99</v>
      </c>
      <c r="J7" s="58" t="s">
        <v>100</v>
      </c>
    </row>
    <row r="8" spans="1:10" ht="18" customHeight="1" x14ac:dyDescent="0.25">
      <c r="A8" s="64">
        <v>1</v>
      </c>
      <c r="B8" s="64">
        <f>'1. Inputs &amp; Scenarios'!B14+1</f>
        <v>2028</v>
      </c>
      <c r="C8" s="65">
        <v>0</v>
      </c>
      <c r="D8" s="65">
        <v>0</v>
      </c>
      <c r="E8" s="66">
        <f>'1. Inputs &amp; Scenarios'!B11*0.75</f>
        <v>285000</v>
      </c>
      <c r="F8" s="66">
        <f>'1. Inputs &amp; Scenarios'!B11*0.25</f>
        <v>95000</v>
      </c>
      <c r="G8" s="66">
        <f t="shared" ref="G8:G27" si="0">E8+F8</f>
        <v>380000</v>
      </c>
      <c r="H8" s="67">
        <f t="shared" ref="H8:H27" si="1">IF(A8&lt;=5,75,IF(A8&lt;=10,77,IF(A8&lt;=15,79,81)))</f>
        <v>75</v>
      </c>
      <c r="I8" s="67">
        <f t="shared" ref="I8:I27" si="2">IF(A8&lt;=5,110,IF(A8&lt;=10,113,IF(A8&lt;=15,116,119)))</f>
        <v>110</v>
      </c>
      <c r="J8" s="68">
        <v>1</v>
      </c>
    </row>
    <row r="9" spans="1:10" ht="18" customHeight="1" x14ac:dyDescent="0.25">
      <c r="A9" s="69">
        <v>2</v>
      </c>
      <c r="B9" s="69">
        <f t="shared" ref="B9:B27" si="3">B8+1</f>
        <v>2029</v>
      </c>
      <c r="C9" s="70">
        <f>1-(1-'1. Inputs &amp; Scenarios'!B12)^(A9-1)</f>
        <v>5.0000000000000044E-3</v>
      </c>
      <c r="D9" s="70">
        <f>1-(1-'1. Inputs &amp; Scenarios'!B13)^(A9-1)</f>
        <v>1.5000000000000013E-2</v>
      </c>
      <c r="E9" s="71">
        <f>E$8*(1-'1. Inputs &amp; Scenarios'!B12)^(A9-1)</f>
        <v>283575</v>
      </c>
      <c r="F9" s="71">
        <f>F$8*(1-'1. Inputs &amp; Scenarios'!B13)^(A9-1)</f>
        <v>93575</v>
      </c>
      <c r="G9" s="71">
        <f t="shared" si="0"/>
        <v>377150</v>
      </c>
      <c r="H9" s="72">
        <f t="shared" si="1"/>
        <v>75</v>
      </c>
      <c r="I9" s="72">
        <f t="shared" si="2"/>
        <v>110</v>
      </c>
      <c r="J9" s="73">
        <v>1</v>
      </c>
    </row>
    <row r="10" spans="1:10" ht="18" customHeight="1" x14ac:dyDescent="0.25">
      <c r="A10" s="64">
        <v>3</v>
      </c>
      <c r="B10" s="64">
        <f t="shared" si="3"/>
        <v>2030</v>
      </c>
      <c r="C10" s="65">
        <f>1-(1-'1. Inputs &amp; Scenarios'!B12)^(A10-1)</f>
        <v>9.9749999999999561E-3</v>
      </c>
      <c r="D10" s="65">
        <f>1-(1-'1. Inputs &amp; Scenarios'!B13)^(A10-1)</f>
        <v>2.9774999999999996E-2</v>
      </c>
      <c r="E10" s="66">
        <f>E$8*(1-'1. Inputs &amp; Scenarios'!B12)^(A10-1)</f>
        <v>282157.125</v>
      </c>
      <c r="F10" s="66">
        <f>F$8*(1-'1. Inputs &amp; Scenarios'!B13)^(A10-1)</f>
        <v>92171.375</v>
      </c>
      <c r="G10" s="66">
        <f t="shared" si="0"/>
        <v>374328.5</v>
      </c>
      <c r="H10" s="67">
        <f t="shared" si="1"/>
        <v>75</v>
      </c>
      <c r="I10" s="67">
        <f t="shared" si="2"/>
        <v>110</v>
      </c>
      <c r="J10" s="68">
        <v>1</v>
      </c>
    </row>
    <row r="11" spans="1:10" ht="18" customHeight="1" x14ac:dyDescent="0.25">
      <c r="A11" s="69">
        <v>4</v>
      </c>
      <c r="B11" s="69">
        <f t="shared" si="3"/>
        <v>2031</v>
      </c>
      <c r="C11" s="70">
        <f>1-(1-'1. Inputs &amp; Scenarios'!B12)^(A11-1)</f>
        <v>1.4925124999999984E-2</v>
      </c>
      <c r="D11" s="70">
        <f>1-(1-'1. Inputs &amp; Scenarios'!B13)^(A11-1)</f>
        <v>4.4328374999999975E-2</v>
      </c>
      <c r="E11" s="71">
        <f>E$8*(1-'1. Inputs &amp; Scenarios'!B12)^(A11-1)</f>
        <v>280746.33937499998</v>
      </c>
      <c r="F11" s="71">
        <f>F$8*(1-'1. Inputs &amp; Scenarios'!B13)^(A11-1)</f>
        <v>90788.804375000007</v>
      </c>
      <c r="G11" s="71">
        <f t="shared" si="0"/>
        <v>371535.14374999999</v>
      </c>
      <c r="H11" s="72">
        <f t="shared" si="1"/>
        <v>75</v>
      </c>
      <c r="I11" s="72">
        <f t="shared" si="2"/>
        <v>110</v>
      </c>
      <c r="J11" s="73">
        <v>1</v>
      </c>
    </row>
    <row r="12" spans="1:10" ht="18" customHeight="1" x14ac:dyDescent="0.25">
      <c r="A12" s="64">
        <v>5</v>
      </c>
      <c r="B12" s="64">
        <f t="shared" si="3"/>
        <v>2032</v>
      </c>
      <c r="C12" s="65">
        <f>1-(1-'1. Inputs &amp; Scenarios'!B12)^(A12-1)</f>
        <v>1.9850499374999941E-2</v>
      </c>
      <c r="D12" s="65">
        <f>1-(1-'1. Inputs &amp; Scenarios'!B13)^(A12-1)</f>
        <v>5.866344937500001E-2</v>
      </c>
      <c r="E12" s="66">
        <f>E$8*(1-'1. Inputs &amp; Scenarios'!B12)^(A12-1)</f>
        <v>279342.60767812503</v>
      </c>
      <c r="F12" s="66">
        <f>F$8*(1-'1. Inputs &amp; Scenarios'!B13)^(A12-1)</f>
        <v>89426.972309374993</v>
      </c>
      <c r="G12" s="66">
        <f t="shared" si="0"/>
        <v>368769.57998750004</v>
      </c>
      <c r="H12" s="67">
        <f t="shared" si="1"/>
        <v>75</v>
      </c>
      <c r="I12" s="67">
        <f t="shared" si="2"/>
        <v>110</v>
      </c>
      <c r="J12" s="68">
        <v>1</v>
      </c>
    </row>
    <row r="13" spans="1:10" ht="18" customHeight="1" x14ac:dyDescent="0.25">
      <c r="A13" s="69">
        <v>6</v>
      </c>
      <c r="B13" s="69">
        <f t="shared" si="3"/>
        <v>2033</v>
      </c>
      <c r="C13" s="70">
        <f>1-(1-'1. Inputs &amp; Scenarios'!B12)^(A13-1)</f>
        <v>2.4751246878124911E-2</v>
      </c>
      <c r="D13" s="70">
        <f>1-(1-'1. Inputs &amp; Scenarios'!B13)^(A13-1)</f>
        <v>7.2783497634374972E-2</v>
      </c>
      <c r="E13" s="71">
        <f>E$8*(1-'1. Inputs &amp; Scenarios'!B12)^(A13-1)</f>
        <v>277945.89463973441</v>
      </c>
      <c r="F13" s="71">
        <f>F$8*(1-'1. Inputs &amp; Scenarios'!B13)^(A13-1)</f>
        <v>88085.567724734385</v>
      </c>
      <c r="G13" s="71">
        <f t="shared" si="0"/>
        <v>366031.46236446878</v>
      </c>
      <c r="H13" s="72">
        <f t="shared" si="1"/>
        <v>77</v>
      </c>
      <c r="I13" s="72">
        <f t="shared" si="2"/>
        <v>113</v>
      </c>
      <c r="J13" s="73">
        <v>1</v>
      </c>
    </row>
    <row r="14" spans="1:10" ht="18" customHeight="1" x14ac:dyDescent="0.25">
      <c r="A14" s="64">
        <v>7</v>
      </c>
      <c r="B14" s="64">
        <f t="shared" si="3"/>
        <v>2034</v>
      </c>
      <c r="C14" s="65">
        <f>1-(1-'1. Inputs &amp; Scenarios'!B12)^(A14-1)</f>
        <v>2.9627490643734267E-2</v>
      </c>
      <c r="D14" s="65">
        <f>1-(1-'1. Inputs &amp; Scenarios'!B13)^(A14-1)</f>
        <v>8.6691745169859336E-2</v>
      </c>
      <c r="E14" s="66">
        <f>E$8*(1-'1. Inputs &amp; Scenarios'!B12)^(A14-1)</f>
        <v>276556.16516653571</v>
      </c>
      <c r="F14" s="66">
        <f>F$8*(1-'1. Inputs &amp; Scenarios'!B13)^(A14-1)</f>
        <v>86764.284208863362</v>
      </c>
      <c r="G14" s="66">
        <f t="shared" si="0"/>
        <v>363320.44937539904</v>
      </c>
      <c r="H14" s="67">
        <f t="shared" si="1"/>
        <v>77</v>
      </c>
      <c r="I14" s="67">
        <f t="shared" si="2"/>
        <v>113</v>
      </c>
      <c r="J14" s="68">
        <v>1</v>
      </c>
    </row>
    <row r="15" spans="1:10" ht="18" customHeight="1" x14ac:dyDescent="0.25">
      <c r="A15" s="69">
        <v>8</v>
      </c>
      <c r="B15" s="69">
        <f t="shared" si="3"/>
        <v>2035</v>
      </c>
      <c r="C15" s="70">
        <f>1-(1-'1. Inputs &amp; Scenarios'!B12)^(A15-1)</f>
        <v>3.4479353190515649E-2</v>
      </c>
      <c r="D15" s="70">
        <f>1-(1-'1. Inputs &amp; Scenarios'!B13)^(A15-1)</f>
        <v>0.10039136899231149</v>
      </c>
      <c r="E15" s="71">
        <f>E$8*(1-'1. Inputs &amp; Scenarios'!B12)^(A15-1)</f>
        <v>275173.38434070302</v>
      </c>
      <c r="F15" s="71">
        <f>F$8*(1-'1. Inputs &amp; Scenarios'!B13)^(A15-1)</f>
        <v>85462.819945730414</v>
      </c>
      <c r="G15" s="71">
        <f t="shared" si="0"/>
        <v>360636.20428643341</v>
      </c>
      <c r="H15" s="72">
        <f t="shared" si="1"/>
        <v>77</v>
      </c>
      <c r="I15" s="72">
        <f t="shared" si="2"/>
        <v>113</v>
      </c>
      <c r="J15" s="73">
        <v>1</v>
      </c>
    </row>
    <row r="16" spans="1:10" ht="18" customHeight="1" x14ac:dyDescent="0.25">
      <c r="A16" s="64">
        <v>9</v>
      </c>
      <c r="B16" s="64">
        <f t="shared" si="3"/>
        <v>2036</v>
      </c>
      <c r="C16" s="65">
        <f>1-(1-'1. Inputs &amp; Scenarios'!B12)^(A16-1)</f>
        <v>3.9306956424563055E-2</v>
      </c>
      <c r="D16" s="65">
        <f>1-(1-'1. Inputs &amp; Scenarios'!B13)^(A16-1)</f>
        <v>0.11388549845742679</v>
      </c>
      <c r="E16" s="66">
        <f>E$8*(1-'1. Inputs &amp; Scenarios'!B12)^(A16-1)</f>
        <v>273797.51741899952</v>
      </c>
      <c r="F16" s="66">
        <f>F$8*(1-'1. Inputs &amp; Scenarios'!B13)^(A16-1)</f>
        <v>84180.877646544453</v>
      </c>
      <c r="G16" s="66">
        <f t="shared" si="0"/>
        <v>357978.39506554394</v>
      </c>
      <c r="H16" s="67">
        <f t="shared" si="1"/>
        <v>77</v>
      </c>
      <c r="I16" s="67">
        <f t="shared" si="2"/>
        <v>113</v>
      </c>
      <c r="J16" s="68">
        <v>1</v>
      </c>
    </row>
    <row r="17" spans="1:10" ht="18" customHeight="1" x14ac:dyDescent="0.25">
      <c r="A17" s="69">
        <v>10</v>
      </c>
      <c r="B17" s="69">
        <f t="shared" si="3"/>
        <v>2037</v>
      </c>
      <c r="C17" s="70">
        <f>1-(1-'1. Inputs &amp; Scenarios'!B12)^(A17-1)</f>
        <v>4.4110421642440278E-2</v>
      </c>
      <c r="D17" s="70">
        <f>1-(1-'1. Inputs &amp; Scenarios'!B13)^(A17-1)</f>
        <v>0.12717721598056542</v>
      </c>
      <c r="E17" s="71">
        <f>E$8*(1-'1. Inputs &amp; Scenarios'!B12)^(A17-1)</f>
        <v>272428.52983190451</v>
      </c>
      <c r="F17" s="71">
        <f>F$8*(1-'1. Inputs &amp; Scenarios'!B13)^(A17-1)</f>
        <v>82918.164481846281</v>
      </c>
      <c r="G17" s="71">
        <f t="shared" si="0"/>
        <v>355346.69431375078</v>
      </c>
      <c r="H17" s="72">
        <f t="shared" si="1"/>
        <v>77</v>
      </c>
      <c r="I17" s="72">
        <f t="shared" si="2"/>
        <v>113</v>
      </c>
      <c r="J17" s="73">
        <v>1</v>
      </c>
    </row>
    <row r="18" spans="1:10" ht="18" customHeight="1" x14ac:dyDescent="0.25">
      <c r="A18" s="64">
        <v>11</v>
      </c>
      <c r="B18" s="64">
        <f t="shared" si="3"/>
        <v>2038</v>
      </c>
      <c r="C18" s="65">
        <f>1-(1-'1. Inputs &amp; Scenarios'!B12)^(A18-1)</f>
        <v>4.8889869534228025E-2</v>
      </c>
      <c r="D18" s="65">
        <f>1-(1-'1. Inputs &amp; Scenarios'!B13)^(A18-1)</f>
        <v>0.14026955774085692</v>
      </c>
      <c r="E18" s="66">
        <f>E$8*(1-'1. Inputs &amp; Scenarios'!B12)^(A18-1)</f>
        <v>271066.38718274503</v>
      </c>
      <c r="F18" s="66">
        <f>F$8*(1-'1. Inputs &amp; Scenarios'!B13)^(A18-1)</f>
        <v>81674.392014618599</v>
      </c>
      <c r="G18" s="66">
        <f t="shared" si="0"/>
        <v>352740.77919736365</v>
      </c>
      <c r="H18" s="67">
        <f t="shared" si="1"/>
        <v>79</v>
      </c>
      <c r="I18" s="67">
        <f t="shared" si="2"/>
        <v>116</v>
      </c>
      <c r="J18" s="68">
        <v>1</v>
      </c>
    </row>
    <row r="19" spans="1:10" ht="18" customHeight="1" x14ac:dyDescent="0.25">
      <c r="A19" s="69">
        <v>12</v>
      </c>
      <c r="B19" s="69">
        <f t="shared" si="3"/>
        <v>2039</v>
      </c>
      <c r="C19" s="70">
        <f>1-(1-'1. Inputs &amp; Scenarios'!B12)^(A19-1)</f>
        <v>5.3645420186556936E-2</v>
      </c>
      <c r="D19" s="70">
        <f>1-(1-'1. Inputs &amp; Scenarios'!B13)^(A19-1)</f>
        <v>0.15316551437474402</v>
      </c>
      <c r="E19" s="71">
        <f>E$8*(1-'1. Inputs &amp; Scenarios'!B12)^(A19-1)</f>
        <v>269711.05524683127</v>
      </c>
      <c r="F19" s="71">
        <f>F$8*(1-'1. Inputs &amp; Scenarios'!B13)^(A19-1)</f>
        <v>80449.276134399319</v>
      </c>
      <c r="G19" s="71">
        <f t="shared" si="0"/>
        <v>350160.33138123062</v>
      </c>
      <c r="H19" s="72">
        <f t="shared" si="1"/>
        <v>79</v>
      </c>
      <c r="I19" s="72">
        <f t="shared" si="2"/>
        <v>116</v>
      </c>
      <c r="J19" s="73">
        <v>1</v>
      </c>
    </row>
    <row r="20" spans="1:10" ht="18" customHeight="1" x14ac:dyDescent="0.25">
      <c r="A20" s="64">
        <v>13</v>
      </c>
      <c r="B20" s="64">
        <f t="shared" si="3"/>
        <v>2040</v>
      </c>
      <c r="C20" s="65">
        <f>1-(1-'1. Inputs &amp; Scenarios'!B12)^(A20-1)</f>
        <v>5.8377193085624057E-2</v>
      </c>
      <c r="D20" s="65">
        <f>1-(1-'1. Inputs &amp; Scenarios'!B13)^(A20-1)</f>
        <v>0.16586803165912289</v>
      </c>
      <c r="E20" s="66">
        <f>E$8*(1-'1. Inputs &amp; Scenarios'!B12)^(A20-1)</f>
        <v>268362.49997059716</v>
      </c>
      <c r="F20" s="66">
        <f>F$8*(1-'1. Inputs &amp; Scenarios'!B13)^(A20-1)</f>
        <v>79242.53699238332</v>
      </c>
      <c r="G20" s="66">
        <f t="shared" si="0"/>
        <v>347605.03696298046</v>
      </c>
      <c r="H20" s="67">
        <f t="shared" si="1"/>
        <v>79</v>
      </c>
      <c r="I20" s="67">
        <f t="shared" si="2"/>
        <v>116</v>
      </c>
      <c r="J20" s="68">
        <v>1</v>
      </c>
    </row>
    <row r="21" spans="1:10" ht="18" customHeight="1" x14ac:dyDescent="0.25">
      <c r="A21" s="69">
        <v>14</v>
      </c>
      <c r="B21" s="69">
        <f t="shared" si="3"/>
        <v>2041</v>
      </c>
      <c r="C21" s="70">
        <f>1-(1-'1. Inputs &amp; Scenarios'!B12)^(A21-1)</f>
        <v>6.3085307120195888E-2</v>
      </c>
      <c r="D21" s="70">
        <f>1-(1-'1. Inputs &amp; Scenarios'!B13)^(A21-1)</f>
        <v>0.17838001118423608</v>
      </c>
      <c r="E21" s="71">
        <f>E$8*(1-'1. Inputs &amp; Scenarios'!B12)^(A21-1)</f>
        <v>267020.68747074419</v>
      </c>
      <c r="F21" s="71">
        <f>F$8*(1-'1. Inputs &amp; Scenarios'!B13)^(A21-1)</f>
        <v>78053.898937497579</v>
      </c>
      <c r="G21" s="71">
        <f t="shared" si="0"/>
        <v>345074.58640824177</v>
      </c>
      <c r="H21" s="72">
        <f t="shared" si="1"/>
        <v>79</v>
      </c>
      <c r="I21" s="72">
        <f t="shared" si="2"/>
        <v>116</v>
      </c>
      <c r="J21" s="73">
        <v>1</v>
      </c>
    </row>
    <row r="22" spans="1:10" ht="18" customHeight="1" x14ac:dyDescent="0.25">
      <c r="A22" s="64">
        <v>15</v>
      </c>
      <c r="B22" s="64">
        <f t="shared" si="3"/>
        <v>2042</v>
      </c>
      <c r="C22" s="65">
        <f>1-(1-'1. Inputs &amp; Scenarios'!B12)^(A22-1)</f>
        <v>6.7769880584594877E-2</v>
      </c>
      <c r="D22" s="65">
        <f>1-(1-'1. Inputs &amp; Scenarios'!B13)^(A22-1)</f>
        <v>0.19070431101647245</v>
      </c>
      <c r="E22" s="66">
        <f>E$8*(1-'1. Inputs &amp; Scenarios'!B12)^(A22-1)</f>
        <v>265685.58403339045</v>
      </c>
      <c r="F22" s="66">
        <f>F$8*(1-'1. Inputs &amp; Scenarios'!B13)^(A22-1)</f>
        <v>76883.090453435114</v>
      </c>
      <c r="G22" s="66">
        <f t="shared" si="0"/>
        <v>342568.67448682559</v>
      </c>
      <c r="H22" s="67">
        <f t="shared" si="1"/>
        <v>79</v>
      </c>
      <c r="I22" s="67">
        <f t="shared" si="2"/>
        <v>116</v>
      </c>
      <c r="J22" s="68">
        <v>1</v>
      </c>
    </row>
    <row r="23" spans="1:10" ht="18" customHeight="1" x14ac:dyDescent="0.25">
      <c r="A23" s="69">
        <v>16</v>
      </c>
      <c r="B23" s="69">
        <f t="shared" si="3"/>
        <v>2043</v>
      </c>
      <c r="C23" s="70">
        <f>1-(1-'1. Inputs &amp; Scenarios'!B12)^(A23-1)</f>
        <v>7.2431031181671934E-2</v>
      </c>
      <c r="D23" s="70">
        <f>1-(1-'1. Inputs &amp; Scenarios'!B13)^(A23-1)</f>
        <v>0.20284374635122548</v>
      </c>
      <c r="E23" s="71">
        <f>E$8*(1-'1. Inputs &amp; Scenarios'!B12)^(A23-1)</f>
        <v>264357.15611322352</v>
      </c>
      <c r="F23" s="71">
        <f>F$8*(1-'1. Inputs &amp; Scenarios'!B13)^(A23-1)</f>
        <v>75729.844096633577</v>
      </c>
      <c r="G23" s="71">
        <f t="shared" si="0"/>
        <v>340087.00020985713</v>
      </c>
      <c r="H23" s="72">
        <f t="shared" si="1"/>
        <v>81</v>
      </c>
      <c r="I23" s="72">
        <f t="shared" si="2"/>
        <v>119</v>
      </c>
      <c r="J23" s="73">
        <v>1</v>
      </c>
    </row>
    <row r="24" spans="1:10" ht="18" customHeight="1" x14ac:dyDescent="0.25">
      <c r="A24" s="64">
        <v>17</v>
      </c>
      <c r="B24" s="64">
        <f t="shared" si="3"/>
        <v>2044</v>
      </c>
      <c r="C24" s="65">
        <f>1-(1-'1. Inputs &amp; Scenarios'!B12)^(A24-1)</f>
        <v>7.7068876025763622E-2</v>
      </c>
      <c r="D24" s="65">
        <f>1-(1-'1. Inputs &amp; Scenarios'!B13)^(A24-1)</f>
        <v>0.21480109015595705</v>
      </c>
      <c r="E24" s="66">
        <f>E$8*(1-'1. Inputs &amp; Scenarios'!B12)^(A24-1)</f>
        <v>263035.37033265736</v>
      </c>
      <c r="F24" s="66">
        <f>F$8*(1-'1. Inputs &amp; Scenarios'!B13)^(A24-1)</f>
        <v>74593.896435184084</v>
      </c>
      <c r="G24" s="66">
        <f t="shared" si="0"/>
        <v>337629.26676784141</v>
      </c>
      <c r="H24" s="67">
        <f t="shared" si="1"/>
        <v>81</v>
      </c>
      <c r="I24" s="67">
        <f t="shared" si="2"/>
        <v>119</v>
      </c>
      <c r="J24" s="68">
        <v>1</v>
      </c>
    </row>
    <row r="25" spans="1:10" ht="18" customHeight="1" x14ac:dyDescent="0.25">
      <c r="A25" s="69">
        <v>18</v>
      </c>
      <c r="B25" s="69">
        <f t="shared" si="3"/>
        <v>2045</v>
      </c>
      <c r="C25" s="70">
        <f>1-(1-'1. Inputs &amp; Scenarios'!B12)^(A25-1)</f>
        <v>8.1683531645634799E-2</v>
      </c>
      <c r="D25" s="70">
        <f>1-(1-'1. Inputs &amp; Scenarios'!B13)^(A25-1)</f>
        <v>0.22657907380361775</v>
      </c>
      <c r="E25" s="71">
        <f>E$8*(1-'1. Inputs &amp; Scenarios'!B12)^(A25-1)</f>
        <v>261720.19348099409</v>
      </c>
      <c r="F25" s="71">
        <f>F$8*(1-'1. Inputs &amp; Scenarios'!B13)^(A25-1)</f>
        <v>73474.987988656314</v>
      </c>
      <c r="G25" s="71">
        <f t="shared" si="0"/>
        <v>335195.18146965042</v>
      </c>
      <c r="H25" s="72">
        <f t="shared" si="1"/>
        <v>81</v>
      </c>
      <c r="I25" s="72">
        <f t="shared" si="2"/>
        <v>119</v>
      </c>
      <c r="J25" s="73">
        <v>1</v>
      </c>
    </row>
    <row r="26" spans="1:10" ht="18" customHeight="1" x14ac:dyDescent="0.25">
      <c r="A26" s="64">
        <v>19</v>
      </c>
      <c r="B26" s="64">
        <f t="shared" si="3"/>
        <v>2046</v>
      </c>
      <c r="C26" s="65">
        <f>1-(1-'1. Inputs &amp; Scenarios'!B12)^(A26-1)</f>
        <v>8.6275113987406615E-2</v>
      </c>
      <c r="D26" s="65">
        <f>1-(1-'1. Inputs &amp; Scenarios'!B13)^(A26-1)</f>
        <v>0.23818038769656347</v>
      </c>
      <c r="E26" s="66">
        <f>E$8*(1-'1. Inputs &amp; Scenarios'!B12)^(A26-1)</f>
        <v>260411.5925135891</v>
      </c>
      <c r="F26" s="66">
        <f>F$8*(1-'1. Inputs &amp; Scenarios'!B13)^(A26-1)</f>
        <v>72372.863168826472</v>
      </c>
      <c r="G26" s="66">
        <f t="shared" si="0"/>
        <v>332784.45568241557</v>
      </c>
      <c r="H26" s="67">
        <f t="shared" si="1"/>
        <v>81</v>
      </c>
      <c r="I26" s="67">
        <f t="shared" si="2"/>
        <v>119</v>
      </c>
      <c r="J26" s="68">
        <v>1</v>
      </c>
    </row>
    <row r="27" spans="1:10" ht="18" customHeight="1" x14ac:dyDescent="0.25">
      <c r="A27" s="69">
        <v>20</v>
      </c>
      <c r="B27" s="69">
        <f t="shared" si="3"/>
        <v>2047</v>
      </c>
      <c r="C27" s="70">
        <f>1-(1-'1. Inputs &amp; Scenarios'!B12)^(A27-1)</f>
        <v>9.0843738417469622E-2</v>
      </c>
      <c r="D27" s="70">
        <f>1-(1-'1. Inputs &amp; Scenarios'!B13)^(A27-1)</f>
        <v>0.24960768188111493</v>
      </c>
      <c r="E27" s="71">
        <f>E$8*(1-'1. Inputs &amp; Scenarios'!B12)^(A27-1)</f>
        <v>259109.53455102115</v>
      </c>
      <c r="F27" s="71">
        <f>F$8*(1-'1. Inputs &amp; Scenarios'!B13)^(A27-1)</f>
        <v>71287.270221294079</v>
      </c>
      <c r="G27" s="71">
        <f t="shared" si="0"/>
        <v>330396.8047723152</v>
      </c>
      <c r="H27" s="72">
        <f t="shared" si="1"/>
        <v>81</v>
      </c>
      <c r="I27" s="72">
        <f t="shared" si="2"/>
        <v>119</v>
      </c>
      <c r="J27" s="73">
        <v>1</v>
      </c>
    </row>
    <row r="29" spans="1:10" ht="24" customHeight="1" x14ac:dyDescent="0.25">
      <c r="A29" s="24" t="s">
        <v>338</v>
      </c>
      <c r="B29" s="24"/>
      <c r="C29" s="24"/>
      <c r="D29" s="25"/>
    </row>
    <row r="30" spans="1:10" ht="21.95" customHeight="1" x14ac:dyDescent="0.25">
      <c r="A30" s="59" t="s">
        <v>101</v>
      </c>
      <c r="B30" s="59" t="s">
        <v>102</v>
      </c>
      <c r="C30" s="60" t="s">
        <v>103</v>
      </c>
    </row>
    <row r="31" spans="1:10" x14ac:dyDescent="0.25">
      <c r="A31" s="74" t="s">
        <v>104</v>
      </c>
      <c r="B31" s="65">
        <v>6.5000000000000002E-2</v>
      </c>
      <c r="C31" s="66">
        <v>24700</v>
      </c>
    </row>
    <row r="32" spans="1:10" x14ac:dyDescent="0.25">
      <c r="A32" s="75" t="s">
        <v>105</v>
      </c>
      <c r="B32" s="70">
        <v>7.0000000000000007E-2</v>
      </c>
      <c r="C32" s="71">
        <v>26600</v>
      </c>
    </row>
    <row r="33" spans="1:4" x14ac:dyDescent="0.25">
      <c r="A33" s="74" t="s">
        <v>106</v>
      </c>
      <c r="B33" s="65">
        <v>8.5000000000000006E-2</v>
      </c>
      <c r="C33" s="66">
        <v>32300</v>
      </c>
    </row>
    <row r="34" spans="1:4" x14ac:dyDescent="0.25">
      <c r="A34" s="75" t="s">
        <v>107</v>
      </c>
      <c r="B34" s="70">
        <v>0.09</v>
      </c>
      <c r="C34" s="71">
        <v>34200</v>
      </c>
    </row>
    <row r="35" spans="1:4" x14ac:dyDescent="0.25">
      <c r="A35" s="74" t="s">
        <v>108</v>
      </c>
      <c r="B35" s="65">
        <v>9.5000000000000001E-2</v>
      </c>
      <c r="C35" s="66">
        <v>36100</v>
      </c>
    </row>
    <row r="36" spans="1:4" x14ac:dyDescent="0.25">
      <c r="A36" s="75" t="s">
        <v>109</v>
      </c>
      <c r="B36" s="70">
        <v>0.1</v>
      </c>
      <c r="C36" s="71">
        <v>38000</v>
      </c>
    </row>
    <row r="37" spans="1:4" x14ac:dyDescent="0.25">
      <c r="A37" s="74" t="s">
        <v>110</v>
      </c>
      <c r="B37" s="65">
        <v>0.105</v>
      </c>
      <c r="C37" s="66">
        <v>39900</v>
      </c>
    </row>
    <row r="38" spans="1:4" x14ac:dyDescent="0.25">
      <c r="A38" s="75" t="s">
        <v>111</v>
      </c>
      <c r="B38" s="70">
        <v>0.1</v>
      </c>
      <c r="C38" s="71">
        <v>38000</v>
      </c>
    </row>
    <row r="39" spans="1:4" x14ac:dyDescent="0.25">
      <c r="A39" s="74" t="s">
        <v>112</v>
      </c>
      <c r="B39" s="65">
        <v>0.09</v>
      </c>
      <c r="C39" s="66">
        <v>34200</v>
      </c>
    </row>
    <row r="40" spans="1:4" x14ac:dyDescent="0.25">
      <c r="A40" s="75" t="s">
        <v>113</v>
      </c>
      <c r="B40" s="70">
        <v>0.08</v>
      </c>
      <c r="C40" s="71">
        <v>30400</v>
      </c>
    </row>
    <row r="41" spans="1:4" x14ac:dyDescent="0.25">
      <c r="A41" s="74" t="s">
        <v>114</v>
      </c>
      <c r="B41" s="65">
        <v>6.5000000000000002E-2</v>
      </c>
      <c r="C41" s="66">
        <v>24700</v>
      </c>
    </row>
    <row r="42" spans="1:4" x14ac:dyDescent="0.25">
      <c r="A42" s="75" t="s">
        <v>115</v>
      </c>
      <c r="B42" s="70">
        <v>5.5E-2</v>
      </c>
      <c r="C42" s="71">
        <v>20900</v>
      </c>
    </row>
    <row r="43" spans="1:4" x14ac:dyDescent="0.25">
      <c r="C43" s="26"/>
    </row>
    <row r="44" spans="1:4" ht="24" customHeight="1" x14ac:dyDescent="0.25">
      <c r="A44" s="24" t="s">
        <v>116</v>
      </c>
      <c r="B44" s="24"/>
      <c r="C44" s="24"/>
      <c r="D44" s="25"/>
    </row>
    <row r="45" spans="1:4" ht="21.95" customHeight="1" x14ac:dyDescent="0.25">
      <c r="A45" s="76" t="s">
        <v>117</v>
      </c>
      <c r="B45" s="77" t="s">
        <v>37</v>
      </c>
      <c r="C45" s="78" t="s">
        <v>103</v>
      </c>
    </row>
    <row r="46" spans="1:4" x14ac:dyDescent="0.25">
      <c r="A46" s="74" t="s">
        <v>118</v>
      </c>
      <c r="B46" s="65">
        <v>0.75</v>
      </c>
      <c r="C46" s="66">
        <f>B46*'1. Inputs &amp; Scenarios'!B11</f>
        <v>285000</v>
      </c>
    </row>
    <row r="47" spans="1:4" x14ac:dyDescent="0.25">
      <c r="A47" s="75" t="s">
        <v>119</v>
      </c>
      <c r="B47" s="70">
        <v>0.25</v>
      </c>
      <c r="C47" s="71">
        <f>B47*'1. Inputs &amp; Scenarios'!B11</f>
        <v>95000</v>
      </c>
    </row>
  </sheetData>
  <mergeCells count="4">
    <mergeCell ref="A1:G1"/>
    <mergeCell ref="A2:G2"/>
    <mergeCell ref="A3:G3"/>
    <mergeCell ref="A4:G4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6600"/>
  </sheetPr>
  <dimension ref="A1:G31"/>
  <sheetViews>
    <sheetView showGridLines="0" workbookViewId="0">
      <selection activeCell="G25" sqref="G25"/>
    </sheetView>
  </sheetViews>
  <sheetFormatPr defaultRowHeight="15" x14ac:dyDescent="0.25"/>
  <cols>
    <col min="1" max="1" width="34" style="2" customWidth="1"/>
    <col min="2" max="2" width="18" style="2" customWidth="1"/>
    <col min="3" max="3" width="18.42578125" style="13" bestFit="1" customWidth="1"/>
    <col min="4" max="6" width="3" style="2" customWidth="1"/>
    <col min="7" max="16384" width="9.140625" style="2"/>
  </cols>
  <sheetData>
    <row r="1" spans="1:7" ht="21" x14ac:dyDescent="0.25">
      <c r="A1" s="186" t="s">
        <v>21</v>
      </c>
      <c r="B1" s="185"/>
      <c r="C1" s="185"/>
      <c r="D1" s="185"/>
      <c r="E1" s="185"/>
      <c r="F1" s="185"/>
      <c r="G1" s="185"/>
    </row>
    <row r="2" spans="1:7" ht="15.75" x14ac:dyDescent="0.25">
      <c r="A2" s="192" t="s">
        <v>120</v>
      </c>
      <c r="B2" s="193"/>
      <c r="C2" s="193"/>
      <c r="D2" s="193"/>
      <c r="E2" s="193"/>
      <c r="F2" s="193"/>
      <c r="G2" s="193"/>
    </row>
    <row r="3" spans="1:7" x14ac:dyDescent="0.25">
      <c r="A3" s="188" t="s">
        <v>2</v>
      </c>
      <c r="B3" s="185"/>
      <c r="C3" s="185"/>
      <c r="D3" s="185"/>
      <c r="E3" s="185"/>
      <c r="F3" s="185"/>
      <c r="G3" s="185"/>
    </row>
    <row r="4" spans="1:7" x14ac:dyDescent="0.25">
      <c r="A4" s="184" t="s">
        <v>22</v>
      </c>
      <c r="B4" s="185"/>
      <c r="C4" s="185"/>
      <c r="D4" s="185"/>
      <c r="E4" s="185"/>
      <c r="F4" s="185"/>
      <c r="G4" s="185"/>
    </row>
    <row r="6" spans="1:7" s="41" customFormat="1" x14ac:dyDescent="0.25">
      <c r="C6" s="93"/>
    </row>
    <row r="7" spans="1:7" ht="24" customHeight="1" x14ac:dyDescent="0.25">
      <c r="A7" s="187" t="s">
        <v>121</v>
      </c>
      <c r="B7" s="185"/>
      <c r="C7" s="185"/>
    </row>
    <row r="8" spans="1:7" ht="21.95" customHeight="1" x14ac:dyDescent="0.25">
      <c r="A8" s="174" t="s">
        <v>122</v>
      </c>
      <c r="B8" s="173" t="s">
        <v>36</v>
      </c>
      <c r="C8" s="173" t="s">
        <v>37</v>
      </c>
    </row>
    <row r="9" spans="1:7" ht="18" customHeight="1" x14ac:dyDescent="0.25">
      <c r="A9" s="111" t="s">
        <v>64</v>
      </c>
      <c r="B9" s="175">
        <f>'1. Inputs &amp; Scenarios'!B19</f>
        <v>215000000</v>
      </c>
      <c r="C9" s="112">
        <f>B9/B$13</f>
        <v>0.89583333333333337</v>
      </c>
    </row>
    <row r="10" spans="1:7" ht="18" customHeight="1" x14ac:dyDescent="0.25">
      <c r="A10" s="113" t="s">
        <v>123</v>
      </c>
      <c r="B10" s="176">
        <v>12500000</v>
      </c>
      <c r="C10" s="114">
        <f>B10/B$13</f>
        <v>5.2083333333333336E-2</v>
      </c>
    </row>
    <row r="11" spans="1:7" ht="18" customHeight="1" x14ac:dyDescent="0.25">
      <c r="A11" s="111" t="s">
        <v>124</v>
      </c>
      <c r="B11" s="175">
        <v>8000000</v>
      </c>
      <c r="C11" s="112">
        <f>B11/B$13</f>
        <v>3.3333333333333333E-2</v>
      </c>
    </row>
    <row r="12" spans="1:7" ht="18" customHeight="1" x14ac:dyDescent="0.25">
      <c r="A12" s="115" t="s">
        <v>125</v>
      </c>
      <c r="B12" s="177">
        <v>4500000</v>
      </c>
      <c r="C12" s="116">
        <f>B12/B$13</f>
        <v>1.8749999999999999E-2</v>
      </c>
    </row>
    <row r="13" spans="1:7" ht="18" customHeight="1" x14ac:dyDescent="0.25">
      <c r="A13" s="52" t="s">
        <v>126</v>
      </c>
      <c r="B13" s="53">
        <f>SUM(B9:B12)</f>
        <v>240000000</v>
      </c>
      <c r="C13" s="54">
        <f>SUM(C9:C12)</f>
        <v>1</v>
      </c>
    </row>
    <row r="15" spans="1:7" ht="24" customHeight="1" x14ac:dyDescent="0.25">
      <c r="A15" s="187" t="s">
        <v>127</v>
      </c>
      <c r="B15" s="185"/>
      <c r="C15" s="185"/>
    </row>
    <row r="16" spans="1:7" ht="21.95" customHeight="1" x14ac:dyDescent="0.25">
      <c r="A16" s="55" t="s">
        <v>35</v>
      </c>
      <c r="B16" s="56" t="s">
        <v>36</v>
      </c>
      <c r="C16" s="94" t="s">
        <v>37</v>
      </c>
    </row>
    <row r="17" spans="1:3" ht="18" customHeight="1" x14ac:dyDescent="0.25">
      <c r="A17" s="74" t="s">
        <v>128</v>
      </c>
      <c r="B17" s="85">
        <f>'1. Inputs &amp; Scenarios'!B21</f>
        <v>120000000</v>
      </c>
      <c r="C17" s="65">
        <f>B17/B$21</f>
        <v>0.42105263157894735</v>
      </c>
    </row>
    <row r="18" spans="1:3" ht="18" customHeight="1" x14ac:dyDescent="0.25">
      <c r="A18" s="75" t="s">
        <v>129</v>
      </c>
      <c r="B18" s="86">
        <f>'1. Inputs &amp; Scenarios'!B23</f>
        <v>29000000</v>
      </c>
      <c r="C18" s="70">
        <f>B18/B$21</f>
        <v>0.10175438596491228</v>
      </c>
    </row>
    <row r="19" spans="1:3" ht="18" customHeight="1" x14ac:dyDescent="0.25">
      <c r="A19" s="74" t="s">
        <v>130</v>
      </c>
      <c r="B19" s="85">
        <f>'1. Inputs &amp; Scenarios'!B24</f>
        <v>116000000</v>
      </c>
      <c r="C19" s="65">
        <f>B19/B$21</f>
        <v>0.40701754385964911</v>
      </c>
    </row>
    <row r="20" spans="1:3" ht="18" customHeight="1" x14ac:dyDescent="0.25">
      <c r="A20" s="87" t="s">
        <v>69</v>
      </c>
      <c r="B20" s="88">
        <f>'1. Inputs &amp; Scenarios'!B25</f>
        <v>20000000</v>
      </c>
      <c r="C20" s="89">
        <f>B20/B$21</f>
        <v>7.0175438596491224E-2</v>
      </c>
    </row>
    <row r="21" spans="1:3" ht="18" customHeight="1" x14ac:dyDescent="0.25">
      <c r="A21" s="46" t="s">
        <v>131</v>
      </c>
      <c r="B21" s="47">
        <f>SUM(B17:B20)</f>
        <v>285000000</v>
      </c>
      <c r="C21" s="48">
        <f>SUM(C17:C20)</f>
        <v>1</v>
      </c>
    </row>
    <row r="23" spans="1:3" ht="24" customHeight="1" x14ac:dyDescent="0.25">
      <c r="A23" s="187" t="s">
        <v>132</v>
      </c>
      <c r="B23" s="185"/>
      <c r="C23" s="185"/>
    </row>
    <row r="24" spans="1:3" ht="21.95" customHeight="1" x14ac:dyDescent="0.25">
      <c r="A24" s="55" t="s">
        <v>133</v>
      </c>
      <c r="B24" s="56" t="s">
        <v>36</v>
      </c>
      <c r="C24" s="94" t="s">
        <v>134</v>
      </c>
    </row>
    <row r="25" spans="1:3" ht="18" customHeight="1" x14ac:dyDescent="0.25">
      <c r="A25" s="74" t="s">
        <v>135</v>
      </c>
      <c r="B25" s="85">
        <f>'1. Inputs &amp; Scenarios'!B20</f>
        <v>240000000</v>
      </c>
      <c r="C25" s="90" t="s">
        <v>136</v>
      </c>
    </row>
    <row r="26" spans="1:3" ht="18" customHeight="1" x14ac:dyDescent="0.25">
      <c r="A26" s="75" t="s">
        <v>137</v>
      </c>
      <c r="B26" s="86">
        <f>'1. Inputs &amp; Scenarios'!B36</f>
        <v>8500000</v>
      </c>
      <c r="C26" s="91" t="s">
        <v>138</v>
      </c>
    </row>
    <row r="27" spans="1:3" ht="18" customHeight="1" x14ac:dyDescent="0.25">
      <c r="A27" s="74" t="s">
        <v>139</v>
      </c>
      <c r="B27" s="85">
        <v>3000000</v>
      </c>
      <c r="C27" s="90" t="s">
        <v>140</v>
      </c>
    </row>
    <row r="28" spans="1:3" ht="18" customHeight="1" x14ac:dyDescent="0.25">
      <c r="A28" s="75" t="s">
        <v>141</v>
      </c>
      <c r="B28" s="86">
        <v>5000000</v>
      </c>
      <c r="C28" s="91" t="s">
        <v>142</v>
      </c>
    </row>
    <row r="29" spans="1:3" ht="18" customHeight="1" x14ac:dyDescent="0.25">
      <c r="A29" s="74" t="s">
        <v>143</v>
      </c>
      <c r="B29" s="85">
        <v>2500000</v>
      </c>
      <c r="C29" s="90" t="s">
        <v>144</v>
      </c>
    </row>
    <row r="30" spans="1:3" ht="18" customHeight="1" x14ac:dyDescent="0.25">
      <c r="A30" s="87" t="s">
        <v>145</v>
      </c>
      <c r="B30" s="88">
        <v>26000000</v>
      </c>
      <c r="C30" s="92" t="s">
        <v>146</v>
      </c>
    </row>
    <row r="31" spans="1:3" ht="18" customHeight="1" x14ac:dyDescent="0.25">
      <c r="A31" s="46" t="s">
        <v>147</v>
      </c>
      <c r="B31" s="47">
        <f>SUM(B25:B30)</f>
        <v>285000000</v>
      </c>
      <c r="C31" s="95"/>
    </row>
  </sheetData>
  <mergeCells count="7">
    <mergeCell ref="A7:C7"/>
    <mergeCell ref="A23:C23"/>
    <mergeCell ref="A15:C15"/>
    <mergeCell ref="A1:G1"/>
    <mergeCell ref="A2:G2"/>
    <mergeCell ref="A3:G3"/>
    <mergeCell ref="A4:G4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600"/>
  </sheetPr>
  <dimension ref="A1:L29"/>
  <sheetViews>
    <sheetView showGridLines="0" topLeftCell="A21" workbookViewId="0">
      <selection activeCell="A7" sqref="A7:L28"/>
    </sheetView>
  </sheetViews>
  <sheetFormatPr defaultRowHeight="15" x14ac:dyDescent="0.25"/>
  <cols>
    <col min="1" max="1" width="8" style="2" customWidth="1"/>
    <col min="2" max="2" width="10" style="2" customWidth="1"/>
    <col min="3" max="5" width="14" style="2" customWidth="1"/>
    <col min="6" max="7" width="13" style="2" customWidth="1"/>
    <col min="8" max="9" width="12" style="2" customWidth="1"/>
    <col min="10" max="10" width="13" style="2" customWidth="1"/>
    <col min="11" max="12" width="14" style="2" customWidth="1"/>
    <col min="13" max="14" width="3" style="2" customWidth="1"/>
    <col min="15" max="16384" width="9.140625" style="2"/>
  </cols>
  <sheetData>
    <row r="1" spans="1:12" ht="21" x14ac:dyDescent="0.25">
      <c r="A1" s="186" t="s">
        <v>21</v>
      </c>
      <c r="B1" s="185"/>
      <c r="C1" s="185"/>
      <c r="D1" s="185"/>
      <c r="E1" s="185"/>
      <c r="F1" s="185"/>
      <c r="G1" s="185"/>
    </row>
    <row r="2" spans="1:12" ht="15.75" x14ac:dyDescent="0.25">
      <c r="A2" s="192" t="s">
        <v>148</v>
      </c>
      <c r="B2" s="193"/>
      <c r="C2" s="193"/>
      <c r="D2" s="193"/>
      <c r="E2" s="193"/>
      <c r="F2" s="193"/>
      <c r="G2" s="193"/>
    </row>
    <row r="3" spans="1:12" x14ac:dyDescent="0.25">
      <c r="A3" s="188" t="s">
        <v>2</v>
      </c>
      <c r="B3" s="185"/>
      <c r="C3" s="185"/>
      <c r="D3" s="185"/>
      <c r="E3" s="185"/>
      <c r="F3" s="185"/>
      <c r="G3" s="185"/>
    </row>
    <row r="4" spans="1:12" x14ac:dyDescent="0.25">
      <c r="A4" s="184" t="s">
        <v>22</v>
      </c>
      <c r="B4" s="185"/>
      <c r="C4" s="185"/>
      <c r="D4" s="185"/>
      <c r="E4" s="185"/>
      <c r="F4" s="185"/>
      <c r="G4" s="185"/>
    </row>
    <row r="6" spans="1:12" s="41" customFormat="1" x14ac:dyDescent="0.25"/>
    <row r="7" spans="1:12" ht="21.95" customHeight="1" x14ac:dyDescent="0.25">
      <c r="A7" s="163" t="s">
        <v>91</v>
      </c>
      <c r="B7" s="163" t="s">
        <v>149</v>
      </c>
      <c r="C7" s="163" t="s">
        <v>150</v>
      </c>
      <c r="D7" s="163" t="s">
        <v>151</v>
      </c>
      <c r="E7" s="163" t="s">
        <v>152</v>
      </c>
      <c r="F7" s="163" t="s">
        <v>153</v>
      </c>
      <c r="G7" s="163" t="s">
        <v>154</v>
      </c>
      <c r="H7" s="163" t="s">
        <v>155</v>
      </c>
      <c r="I7" s="163" t="s">
        <v>156</v>
      </c>
      <c r="J7" s="163" t="s">
        <v>157</v>
      </c>
      <c r="K7" s="163" t="s">
        <v>158</v>
      </c>
      <c r="L7" s="163" t="s">
        <v>159</v>
      </c>
    </row>
    <row r="8" spans="1:12" ht="18" customHeight="1" x14ac:dyDescent="0.25">
      <c r="A8" s="155">
        <v>1</v>
      </c>
      <c r="B8" s="155">
        <f>'2. Technical Engine'!B8</f>
        <v>2028</v>
      </c>
      <c r="C8" s="161">
        <f>'2. Technical Engine'!E8*'2. Technical Engine'!H8*'2. Technical Engine'!J8</f>
        <v>21375000</v>
      </c>
      <c r="D8" s="161">
        <f>'2. Technical Engine'!F8*'2. Technical Engine'!I8*'2. Technical Engine'!J8</f>
        <v>10450000</v>
      </c>
      <c r="E8" s="161">
        <f t="shared" ref="E8:E27" si="0">C8+D8</f>
        <v>31825000</v>
      </c>
      <c r="F8" s="161">
        <v>2000000</v>
      </c>
      <c r="G8" s="161">
        <v>1100000</v>
      </c>
      <c r="H8" s="161">
        <v>1200000</v>
      </c>
      <c r="I8" s="161">
        <v>800000</v>
      </c>
      <c r="J8" s="161">
        <v>415000</v>
      </c>
      <c r="K8" s="161">
        <f t="shared" ref="K8:K27" si="1">SUM(F8:J8)</f>
        <v>5515000</v>
      </c>
      <c r="L8" s="161">
        <f t="shared" ref="L8:L27" si="2">E8-K8</f>
        <v>26310000</v>
      </c>
    </row>
    <row r="9" spans="1:12" ht="18" customHeight="1" x14ac:dyDescent="0.25">
      <c r="A9" s="158">
        <v>2</v>
      </c>
      <c r="B9" s="158">
        <f>'2. Technical Engine'!B9</f>
        <v>2029</v>
      </c>
      <c r="C9" s="162">
        <f>'2. Technical Engine'!E9*'2. Technical Engine'!H9*'2. Technical Engine'!J9</f>
        <v>21268125</v>
      </c>
      <c r="D9" s="162">
        <f>'2. Technical Engine'!F9*'2. Technical Engine'!I9*'2. Technical Engine'!J9</f>
        <v>10293250</v>
      </c>
      <c r="E9" s="162">
        <f t="shared" si="0"/>
        <v>31561375</v>
      </c>
      <c r="F9" s="162">
        <f t="shared" ref="F9:F27" si="3">F8*1.02</f>
        <v>2040000</v>
      </c>
      <c r="G9" s="162">
        <f t="shared" ref="G9:G27" si="4">G8*1.03</f>
        <v>1133000</v>
      </c>
      <c r="H9" s="162">
        <f t="shared" ref="H9:H27" si="5">H8*1.015</f>
        <v>1217999.9999999998</v>
      </c>
      <c r="I9" s="162">
        <f t="shared" ref="I9:I27" si="6">I8*1.02</f>
        <v>816000</v>
      </c>
      <c r="J9" s="162">
        <f t="shared" ref="J9:J27" si="7">J8+7000*1.02^(A9-2)</f>
        <v>422000</v>
      </c>
      <c r="K9" s="162">
        <f t="shared" si="1"/>
        <v>5629000</v>
      </c>
      <c r="L9" s="162">
        <f t="shared" si="2"/>
        <v>25932375</v>
      </c>
    </row>
    <row r="10" spans="1:12" ht="18" customHeight="1" x14ac:dyDescent="0.25">
      <c r="A10" s="155">
        <v>3</v>
      </c>
      <c r="B10" s="155">
        <f>'2. Technical Engine'!B10</f>
        <v>2030</v>
      </c>
      <c r="C10" s="161">
        <f>'2. Technical Engine'!E10*'2. Technical Engine'!H10*'2. Technical Engine'!J10</f>
        <v>21161784.375</v>
      </c>
      <c r="D10" s="161">
        <f>'2. Technical Engine'!F10*'2. Technical Engine'!I10*'2. Technical Engine'!J10</f>
        <v>10138851.25</v>
      </c>
      <c r="E10" s="161">
        <f t="shared" si="0"/>
        <v>31300635.625</v>
      </c>
      <c r="F10" s="161">
        <f t="shared" si="3"/>
        <v>2080800</v>
      </c>
      <c r="G10" s="161">
        <f t="shared" si="4"/>
        <v>1166990</v>
      </c>
      <c r="H10" s="161">
        <f t="shared" si="5"/>
        <v>1236269.9999999995</v>
      </c>
      <c r="I10" s="161">
        <f t="shared" si="6"/>
        <v>832320</v>
      </c>
      <c r="J10" s="161">
        <f t="shared" si="7"/>
        <v>429140</v>
      </c>
      <c r="K10" s="161">
        <f t="shared" si="1"/>
        <v>5745520</v>
      </c>
      <c r="L10" s="161">
        <f t="shared" si="2"/>
        <v>25555115.625</v>
      </c>
    </row>
    <row r="11" spans="1:12" ht="18" customHeight="1" x14ac:dyDescent="0.25">
      <c r="A11" s="158">
        <v>4</v>
      </c>
      <c r="B11" s="158">
        <f>'2. Technical Engine'!B11</f>
        <v>2031</v>
      </c>
      <c r="C11" s="162">
        <f>'2. Technical Engine'!E11*'2. Technical Engine'!H11*'2. Technical Engine'!J11</f>
        <v>21055975.453125</v>
      </c>
      <c r="D11" s="162">
        <f>'2. Technical Engine'!F11*'2. Technical Engine'!I11*'2. Technical Engine'!J11</f>
        <v>9986768.4812500011</v>
      </c>
      <c r="E11" s="162">
        <f t="shared" si="0"/>
        <v>31042743.934375003</v>
      </c>
      <c r="F11" s="162">
        <f t="shared" si="3"/>
        <v>2122416</v>
      </c>
      <c r="G11" s="162">
        <f t="shared" si="4"/>
        <v>1201999.7</v>
      </c>
      <c r="H11" s="162">
        <f t="shared" si="5"/>
        <v>1254814.0499999993</v>
      </c>
      <c r="I11" s="162">
        <f t="shared" si="6"/>
        <v>848966.4</v>
      </c>
      <c r="J11" s="162">
        <f t="shared" si="7"/>
        <v>436422.8</v>
      </c>
      <c r="K11" s="162">
        <f t="shared" si="1"/>
        <v>5864618.9500000002</v>
      </c>
      <c r="L11" s="162">
        <f t="shared" si="2"/>
        <v>25178124.984375004</v>
      </c>
    </row>
    <row r="12" spans="1:12" ht="18" customHeight="1" x14ac:dyDescent="0.25">
      <c r="A12" s="155">
        <v>5</v>
      </c>
      <c r="B12" s="155">
        <f>'2. Technical Engine'!B12</f>
        <v>2032</v>
      </c>
      <c r="C12" s="161">
        <f>'2. Technical Engine'!E12*'2. Technical Engine'!H12*'2. Technical Engine'!J12</f>
        <v>20950695.575859379</v>
      </c>
      <c r="D12" s="161">
        <f>'2. Technical Engine'!F12*'2. Technical Engine'!I12*'2. Technical Engine'!J12</f>
        <v>9836966.9540312495</v>
      </c>
      <c r="E12" s="161">
        <f t="shared" si="0"/>
        <v>30787662.529890627</v>
      </c>
      <c r="F12" s="161">
        <f t="shared" si="3"/>
        <v>2164864.3199999998</v>
      </c>
      <c r="G12" s="161">
        <f t="shared" si="4"/>
        <v>1238059.6909999999</v>
      </c>
      <c r="H12" s="161">
        <f t="shared" si="5"/>
        <v>1273636.2607499992</v>
      </c>
      <c r="I12" s="161">
        <f t="shared" si="6"/>
        <v>865945.728</v>
      </c>
      <c r="J12" s="161">
        <f t="shared" si="7"/>
        <v>443851.25599999999</v>
      </c>
      <c r="K12" s="161">
        <f t="shared" si="1"/>
        <v>5986357.2557499995</v>
      </c>
      <c r="L12" s="161">
        <f t="shared" si="2"/>
        <v>24801305.274140626</v>
      </c>
    </row>
    <row r="13" spans="1:12" ht="18" customHeight="1" x14ac:dyDescent="0.25">
      <c r="A13" s="158">
        <v>6</v>
      </c>
      <c r="B13" s="158">
        <f>'2. Technical Engine'!B13</f>
        <v>2033</v>
      </c>
      <c r="C13" s="162">
        <f>'2. Technical Engine'!E13*'2. Technical Engine'!H13*'2. Technical Engine'!J13</f>
        <v>21401833.88725955</v>
      </c>
      <c r="D13" s="162">
        <f>'2. Technical Engine'!F13*'2. Technical Engine'!I13*'2. Technical Engine'!J13</f>
        <v>9953669.1528949849</v>
      </c>
      <c r="E13" s="162">
        <f t="shared" si="0"/>
        <v>31355503.040154535</v>
      </c>
      <c r="F13" s="162">
        <f t="shared" si="3"/>
        <v>2208161.6063999999</v>
      </c>
      <c r="G13" s="162">
        <f t="shared" si="4"/>
        <v>1275201.4817299999</v>
      </c>
      <c r="H13" s="162">
        <f t="shared" si="5"/>
        <v>1292740.804661249</v>
      </c>
      <c r="I13" s="162">
        <f t="shared" si="6"/>
        <v>883264.64256000007</v>
      </c>
      <c r="J13" s="162">
        <f t="shared" si="7"/>
        <v>451428.28112</v>
      </c>
      <c r="K13" s="162">
        <f t="shared" si="1"/>
        <v>6110796.8164712489</v>
      </c>
      <c r="L13" s="162">
        <f t="shared" si="2"/>
        <v>25244706.223683286</v>
      </c>
    </row>
    <row r="14" spans="1:12" ht="18" customHeight="1" x14ac:dyDescent="0.25">
      <c r="A14" s="155">
        <v>7</v>
      </c>
      <c r="B14" s="155">
        <f>'2. Technical Engine'!B14</f>
        <v>2034</v>
      </c>
      <c r="C14" s="161">
        <f>'2. Technical Engine'!E14*'2. Technical Engine'!H14*'2. Technical Engine'!J14</f>
        <v>21294824.717823248</v>
      </c>
      <c r="D14" s="161">
        <f>'2. Technical Engine'!F14*'2. Technical Engine'!I14*'2. Technical Engine'!J14</f>
        <v>9804364.1156015601</v>
      </c>
      <c r="E14" s="161">
        <f t="shared" si="0"/>
        <v>31099188.833424807</v>
      </c>
      <c r="F14" s="161">
        <f t="shared" si="3"/>
        <v>2252324.8385279998</v>
      </c>
      <c r="G14" s="161">
        <f t="shared" si="4"/>
        <v>1313457.5261818999</v>
      </c>
      <c r="H14" s="161">
        <f t="shared" si="5"/>
        <v>1312131.9167311676</v>
      </c>
      <c r="I14" s="161">
        <f t="shared" si="6"/>
        <v>900929.93541120004</v>
      </c>
      <c r="J14" s="161">
        <f t="shared" si="7"/>
        <v>459156.84674240003</v>
      </c>
      <c r="K14" s="161">
        <f t="shared" si="1"/>
        <v>6238001.0635946672</v>
      </c>
      <c r="L14" s="161">
        <f t="shared" si="2"/>
        <v>24861187.769830137</v>
      </c>
    </row>
    <row r="15" spans="1:12" ht="18" customHeight="1" x14ac:dyDescent="0.25">
      <c r="A15" s="158">
        <v>8</v>
      </c>
      <c r="B15" s="158">
        <f>'2. Technical Engine'!B15</f>
        <v>2035</v>
      </c>
      <c r="C15" s="162">
        <f>'2. Technical Engine'!E15*'2. Technical Engine'!H15*'2. Technical Engine'!J15</f>
        <v>21188350.594234131</v>
      </c>
      <c r="D15" s="162">
        <f>'2. Technical Engine'!F15*'2. Technical Engine'!I15*'2. Technical Engine'!J15</f>
        <v>9657298.6538675372</v>
      </c>
      <c r="E15" s="162">
        <f t="shared" si="0"/>
        <v>30845649.248101667</v>
      </c>
      <c r="F15" s="162">
        <f t="shared" si="3"/>
        <v>2297371.3352985596</v>
      </c>
      <c r="G15" s="162">
        <f t="shared" si="4"/>
        <v>1352861.251967357</v>
      </c>
      <c r="H15" s="162">
        <f t="shared" si="5"/>
        <v>1331813.895482135</v>
      </c>
      <c r="I15" s="162">
        <f t="shared" si="6"/>
        <v>918948.53411942406</v>
      </c>
      <c r="J15" s="162">
        <f t="shared" si="7"/>
        <v>467039.983677248</v>
      </c>
      <c r="K15" s="162">
        <f t="shared" si="1"/>
        <v>6368035.000544725</v>
      </c>
      <c r="L15" s="162">
        <f t="shared" si="2"/>
        <v>24477614.24755694</v>
      </c>
    </row>
    <row r="16" spans="1:12" ht="18" customHeight="1" x14ac:dyDescent="0.25">
      <c r="A16" s="155">
        <v>9</v>
      </c>
      <c r="B16" s="155">
        <f>'2. Technical Engine'!B16</f>
        <v>2036</v>
      </c>
      <c r="C16" s="161">
        <f>'2. Technical Engine'!E16*'2. Technical Engine'!H16*'2. Technical Engine'!J16</f>
        <v>21082408.841262963</v>
      </c>
      <c r="D16" s="161">
        <f>'2. Technical Engine'!F16*'2. Technical Engine'!I16*'2. Technical Engine'!J16</f>
        <v>9512439.1740595233</v>
      </c>
      <c r="E16" s="161">
        <f t="shared" si="0"/>
        <v>30594848.015322484</v>
      </c>
      <c r="F16" s="161">
        <f t="shared" si="3"/>
        <v>2343318.762004531</v>
      </c>
      <c r="G16" s="161">
        <f t="shared" si="4"/>
        <v>1393447.0895263779</v>
      </c>
      <c r="H16" s="161">
        <f t="shared" si="5"/>
        <v>1351791.1039143668</v>
      </c>
      <c r="I16" s="161">
        <f t="shared" si="6"/>
        <v>937327.50480181258</v>
      </c>
      <c r="J16" s="161">
        <f t="shared" si="7"/>
        <v>475080.78335079295</v>
      </c>
      <c r="K16" s="161">
        <f t="shared" si="1"/>
        <v>6500965.2435978809</v>
      </c>
      <c r="L16" s="161">
        <f t="shared" si="2"/>
        <v>24093882.771724604</v>
      </c>
    </row>
    <row r="17" spans="1:12" ht="18" customHeight="1" x14ac:dyDescent="0.25">
      <c r="A17" s="158">
        <v>10</v>
      </c>
      <c r="B17" s="158">
        <f>'2. Technical Engine'!B17</f>
        <v>2037</v>
      </c>
      <c r="C17" s="162">
        <f>'2. Technical Engine'!E17*'2. Technical Engine'!H17*'2. Technical Engine'!J17</f>
        <v>20976996.797056649</v>
      </c>
      <c r="D17" s="162">
        <f>'2. Technical Engine'!F17*'2. Technical Engine'!I17*'2. Technical Engine'!J17</f>
        <v>9369752.5864486303</v>
      </c>
      <c r="E17" s="162">
        <f t="shared" si="0"/>
        <v>30346749.383505277</v>
      </c>
      <c r="F17" s="162">
        <f t="shared" si="3"/>
        <v>2390185.1372446218</v>
      </c>
      <c r="G17" s="162">
        <f t="shared" si="4"/>
        <v>1435250.5022121691</v>
      </c>
      <c r="H17" s="162">
        <f t="shared" si="5"/>
        <v>1372067.9704730823</v>
      </c>
      <c r="I17" s="162">
        <f t="shared" si="6"/>
        <v>956074.05489784887</v>
      </c>
      <c r="J17" s="162">
        <f t="shared" si="7"/>
        <v>483282.39901780878</v>
      </c>
      <c r="K17" s="162">
        <f t="shared" si="1"/>
        <v>6636860.0638455302</v>
      </c>
      <c r="L17" s="162">
        <f t="shared" si="2"/>
        <v>23709889.319659747</v>
      </c>
    </row>
    <row r="18" spans="1:12" ht="18" customHeight="1" x14ac:dyDescent="0.25">
      <c r="A18" s="155">
        <v>11</v>
      </c>
      <c r="B18" s="155">
        <f>'2. Technical Engine'!B18</f>
        <v>2038</v>
      </c>
      <c r="C18" s="161">
        <f>'2. Technical Engine'!E18*'2. Technical Engine'!H18*'2. Technical Engine'!J18</f>
        <v>21414244.587436859</v>
      </c>
      <c r="D18" s="161">
        <f>'2. Technical Engine'!F18*'2. Technical Engine'!I18*'2. Technical Engine'!J18</f>
        <v>9474229.4736957569</v>
      </c>
      <c r="E18" s="161">
        <f t="shared" si="0"/>
        <v>30888474.061132617</v>
      </c>
      <c r="F18" s="161">
        <f t="shared" si="3"/>
        <v>2437988.8399895141</v>
      </c>
      <c r="G18" s="161">
        <f t="shared" si="4"/>
        <v>1478308.0172785341</v>
      </c>
      <c r="H18" s="161">
        <f t="shared" si="5"/>
        <v>1392648.9900301783</v>
      </c>
      <c r="I18" s="161">
        <f t="shared" si="6"/>
        <v>975195.53599580587</v>
      </c>
      <c r="J18" s="161">
        <f t="shared" si="7"/>
        <v>491648.04699816497</v>
      </c>
      <c r="K18" s="161">
        <f t="shared" si="1"/>
        <v>6775789.4302921975</v>
      </c>
      <c r="L18" s="161">
        <f t="shared" si="2"/>
        <v>24112684.630840421</v>
      </c>
    </row>
    <row r="19" spans="1:12" ht="18" customHeight="1" x14ac:dyDescent="0.25">
      <c r="A19" s="158">
        <v>12</v>
      </c>
      <c r="B19" s="158">
        <f>'2. Technical Engine'!B19</f>
        <v>2039</v>
      </c>
      <c r="C19" s="162">
        <f>'2. Technical Engine'!E19*'2. Technical Engine'!H19*'2. Technical Engine'!J19</f>
        <v>21307173.36449967</v>
      </c>
      <c r="D19" s="162">
        <f>'2. Technical Engine'!F19*'2. Technical Engine'!I19*'2. Technical Engine'!J19</f>
        <v>9332116.0315903202</v>
      </c>
      <c r="E19" s="162">
        <f t="shared" si="0"/>
        <v>30639289.39608999</v>
      </c>
      <c r="F19" s="162">
        <f t="shared" si="3"/>
        <v>2486748.6167893042</v>
      </c>
      <c r="G19" s="162">
        <f t="shared" si="4"/>
        <v>1522657.2577968901</v>
      </c>
      <c r="H19" s="162">
        <f t="shared" si="5"/>
        <v>1413538.7248806308</v>
      </c>
      <c r="I19" s="162">
        <f t="shared" si="6"/>
        <v>994699.44671572198</v>
      </c>
      <c r="J19" s="162">
        <f t="shared" si="7"/>
        <v>500181.00793812826</v>
      </c>
      <c r="K19" s="162">
        <f t="shared" si="1"/>
        <v>6917825.0541206747</v>
      </c>
      <c r="L19" s="162">
        <f t="shared" si="2"/>
        <v>23721464.341969315</v>
      </c>
    </row>
    <row r="20" spans="1:12" ht="18" customHeight="1" x14ac:dyDescent="0.25">
      <c r="A20" s="155">
        <v>13</v>
      </c>
      <c r="B20" s="155">
        <f>'2. Technical Engine'!B20</f>
        <v>2040</v>
      </c>
      <c r="C20" s="161">
        <f>'2. Technical Engine'!E20*'2. Technical Engine'!H20*'2. Technical Engine'!J20</f>
        <v>21200637.497677177</v>
      </c>
      <c r="D20" s="161">
        <f>'2. Technical Engine'!F20*'2. Technical Engine'!I20*'2. Technical Engine'!J20</f>
        <v>9192134.2911164649</v>
      </c>
      <c r="E20" s="161">
        <f t="shared" si="0"/>
        <v>30392771.788793642</v>
      </c>
      <c r="F20" s="161">
        <f t="shared" si="3"/>
        <v>2536483.5891250903</v>
      </c>
      <c r="G20" s="161">
        <f t="shared" si="4"/>
        <v>1568336.9755307969</v>
      </c>
      <c r="H20" s="161">
        <f t="shared" si="5"/>
        <v>1434741.8057538401</v>
      </c>
      <c r="I20" s="161">
        <f t="shared" si="6"/>
        <v>1014593.4356500364</v>
      </c>
      <c r="J20" s="161">
        <f t="shared" si="7"/>
        <v>508884.62809689081</v>
      </c>
      <c r="K20" s="161">
        <f t="shared" si="1"/>
        <v>7063040.4341566544</v>
      </c>
      <c r="L20" s="161">
        <f t="shared" si="2"/>
        <v>23329731.35463699</v>
      </c>
    </row>
    <row r="21" spans="1:12" ht="18" customHeight="1" x14ac:dyDescent="0.25">
      <c r="A21" s="158">
        <v>14</v>
      </c>
      <c r="B21" s="158">
        <f>'2. Technical Engine'!B21</f>
        <v>2041</v>
      </c>
      <c r="C21" s="162">
        <f>'2. Technical Engine'!E21*'2. Technical Engine'!H21*'2. Technical Engine'!J21</f>
        <v>21094634.310188793</v>
      </c>
      <c r="D21" s="162">
        <f>'2. Technical Engine'!F21*'2. Technical Engine'!I21*'2. Technical Engine'!J21</f>
        <v>9054252.2767497189</v>
      </c>
      <c r="E21" s="162">
        <f t="shared" si="0"/>
        <v>30148886.586938512</v>
      </c>
      <c r="F21" s="162">
        <f t="shared" si="3"/>
        <v>2587213.2609075923</v>
      </c>
      <c r="G21" s="162">
        <f t="shared" si="4"/>
        <v>1615387.0847967209</v>
      </c>
      <c r="H21" s="162">
        <f t="shared" si="5"/>
        <v>1456262.9328401475</v>
      </c>
      <c r="I21" s="162">
        <f t="shared" si="6"/>
        <v>1034885.3043630372</v>
      </c>
      <c r="J21" s="162">
        <f t="shared" si="7"/>
        <v>517762.3206588286</v>
      </c>
      <c r="K21" s="162">
        <f t="shared" si="1"/>
        <v>7211510.9035663269</v>
      </c>
      <c r="L21" s="162">
        <f t="shared" si="2"/>
        <v>22937375.683372185</v>
      </c>
    </row>
    <row r="22" spans="1:12" ht="18" customHeight="1" x14ac:dyDescent="0.25">
      <c r="A22" s="155">
        <v>15</v>
      </c>
      <c r="B22" s="155">
        <f>'2. Technical Engine'!B22</f>
        <v>2042</v>
      </c>
      <c r="C22" s="161">
        <f>'2. Technical Engine'!E22*'2. Technical Engine'!H22*'2. Technical Engine'!J22</f>
        <v>20989161.138637844</v>
      </c>
      <c r="D22" s="161">
        <f>'2. Technical Engine'!F22*'2. Technical Engine'!I22*'2. Technical Engine'!J22</f>
        <v>8918438.492598474</v>
      </c>
      <c r="E22" s="161">
        <f t="shared" si="0"/>
        <v>29907599.631236318</v>
      </c>
      <c r="F22" s="161">
        <f t="shared" si="3"/>
        <v>2638957.526125744</v>
      </c>
      <c r="G22" s="161">
        <f t="shared" si="4"/>
        <v>1663848.6973406225</v>
      </c>
      <c r="H22" s="161">
        <f t="shared" si="5"/>
        <v>1478106.8768327497</v>
      </c>
      <c r="I22" s="161">
        <f t="shared" si="6"/>
        <v>1055583.010450298</v>
      </c>
      <c r="J22" s="161">
        <f t="shared" si="7"/>
        <v>526817.56707200513</v>
      </c>
      <c r="K22" s="161">
        <f t="shared" si="1"/>
        <v>7363313.6778214192</v>
      </c>
      <c r="L22" s="161">
        <f t="shared" si="2"/>
        <v>22544285.953414898</v>
      </c>
    </row>
    <row r="23" spans="1:12" ht="18" customHeight="1" x14ac:dyDescent="0.25">
      <c r="A23" s="158">
        <v>16</v>
      </c>
      <c r="B23" s="158">
        <f>'2. Technical Engine'!B23</f>
        <v>2043</v>
      </c>
      <c r="C23" s="162">
        <f>'2. Technical Engine'!E23*'2. Technical Engine'!H23*'2. Technical Engine'!J23</f>
        <v>21412929.645171106</v>
      </c>
      <c r="D23" s="162">
        <f>'2. Technical Engine'!F23*'2. Technical Engine'!I23*'2. Technical Engine'!J23</f>
        <v>9011851.4474993963</v>
      </c>
      <c r="E23" s="162">
        <f t="shared" si="0"/>
        <v>30424781.0926705</v>
      </c>
      <c r="F23" s="162">
        <f t="shared" si="3"/>
        <v>2691736.6766482587</v>
      </c>
      <c r="G23" s="162">
        <f t="shared" si="4"/>
        <v>1713764.1582608412</v>
      </c>
      <c r="H23" s="162">
        <f t="shared" si="5"/>
        <v>1500278.4799852408</v>
      </c>
      <c r="I23" s="162">
        <f t="shared" si="6"/>
        <v>1076694.6706593039</v>
      </c>
      <c r="J23" s="162">
        <f t="shared" si="7"/>
        <v>536053.91841344524</v>
      </c>
      <c r="K23" s="162">
        <f t="shared" si="1"/>
        <v>7518527.90396709</v>
      </c>
      <c r="L23" s="162">
        <f t="shared" si="2"/>
        <v>22906253.18870341</v>
      </c>
    </row>
    <row r="24" spans="1:12" ht="18" customHeight="1" x14ac:dyDescent="0.25">
      <c r="A24" s="155">
        <v>17</v>
      </c>
      <c r="B24" s="155">
        <f>'2. Technical Engine'!B24</f>
        <v>2044</v>
      </c>
      <c r="C24" s="161">
        <f>'2. Technical Engine'!E24*'2. Technical Engine'!H24*'2. Technical Engine'!J24</f>
        <v>21305864.996945247</v>
      </c>
      <c r="D24" s="161">
        <f>'2. Technical Engine'!F24*'2. Technical Engine'!I24*'2. Technical Engine'!J24</f>
        <v>8876673.6757869069</v>
      </c>
      <c r="E24" s="161">
        <f t="shared" si="0"/>
        <v>30182538.672732152</v>
      </c>
      <c r="F24" s="161">
        <f t="shared" si="3"/>
        <v>2745571.4101812239</v>
      </c>
      <c r="G24" s="161">
        <f t="shared" si="4"/>
        <v>1765177.0830086665</v>
      </c>
      <c r="H24" s="161">
        <f t="shared" si="5"/>
        <v>1522782.6571850192</v>
      </c>
      <c r="I24" s="161">
        <f t="shared" si="6"/>
        <v>1098228.56407249</v>
      </c>
      <c r="J24" s="161">
        <f t="shared" si="7"/>
        <v>545474.99678171414</v>
      </c>
      <c r="K24" s="161">
        <f t="shared" si="1"/>
        <v>7677234.7112291129</v>
      </c>
      <c r="L24" s="161">
        <f t="shared" si="2"/>
        <v>22505303.96150304</v>
      </c>
    </row>
    <row r="25" spans="1:12" ht="18" customHeight="1" x14ac:dyDescent="0.25">
      <c r="A25" s="158">
        <v>18</v>
      </c>
      <c r="B25" s="158">
        <f>'2. Technical Engine'!B25</f>
        <v>2045</v>
      </c>
      <c r="C25" s="162">
        <f>'2. Technical Engine'!E25*'2. Technical Engine'!H25*'2. Technical Engine'!J25</f>
        <v>21199335.671960521</v>
      </c>
      <c r="D25" s="162">
        <f>'2. Technical Engine'!F25*'2. Technical Engine'!I25*'2. Technical Engine'!J25</f>
        <v>8743523.5706501007</v>
      </c>
      <c r="E25" s="162">
        <f t="shared" si="0"/>
        <v>29942859.242610622</v>
      </c>
      <c r="F25" s="162">
        <f t="shared" si="3"/>
        <v>2800482.8383848486</v>
      </c>
      <c r="G25" s="162">
        <f t="shared" si="4"/>
        <v>1818132.3954989265</v>
      </c>
      <c r="H25" s="162">
        <f t="shared" si="5"/>
        <v>1545624.3970427944</v>
      </c>
      <c r="I25" s="162">
        <f t="shared" si="6"/>
        <v>1120193.1353539398</v>
      </c>
      <c r="J25" s="162">
        <f t="shared" si="7"/>
        <v>555084.49671734846</v>
      </c>
      <c r="K25" s="162">
        <f t="shared" si="1"/>
        <v>7839517.2629978573</v>
      </c>
      <c r="L25" s="162">
        <f t="shared" si="2"/>
        <v>22103341.979612764</v>
      </c>
    </row>
    <row r="26" spans="1:12" ht="18" customHeight="1" x14ac:dyDescent="0.25">
      <c r="A26" s="155">
        <v>19</v>
      </c>
      <c r="B26" s="155">
        <f>'2. Technical Engine'!B26</f>
        <v>2046</v>
      </c>
      <c r="C26" s="161">
        <f>'2. Technical Engine'!E26*'2. Technical Engine'!H26*'2. Technical Engine'!J26</f>
        <v>21093338.993600719</v>
      </c>
      <c r="D26" s="161">
        <f>'2. Technical Engine'!F26*'2. Technical Engine'!I26*'2. Technical Engine'!J26</f>
        <v>8612370.7170903496</v>
      </c>
      <c r="E26" s="161">
        <f t="shared" si="0"/>
        <v>29705709.710691068</v>
      </c>
      <c r="F26" s="161">
        <f t="shared" si="3"/>
        <v>2856492.4951525456</v>
      </c>
      <c r="G26" s="161">
        <f t="shared" si="4"/>
        <v>1872676.3673638944</v>
      </c>
      <c r="H26" s="161">
        <f t="shared" si="5"/>
        <v>1568808.7629984361</v>
      </c>
      <c r="I26" s="161">
        <f t="shared" si="6"/>
        <v>1142596.9980610188</v>
      </c>
      <c r="J26" s="161">
        <f t="shared" si="7"/>
        <v>564886.1866516954</v>
      </c>
      <c r="K26" s="161">
        <f t="shared" si="1"/>
        <v>8005460.8102275906</v>
      </c>
      <c r="L26" s="161">
        <f t="shared" si="2"/>
        <v>21700248.900463477</v>
      </c>
    </row>
    <row r="27" spans="1:12" ht="18" customHeight="1" x14ac:dyDescent="0.25">
      <c r="A27" s="158">
        <v>20</v>
      </c>
      <c r="B27" s="158">
        <f>'2. Technical Engine'!B27</f>
        <v>2047</v>
      </c>
      <c r="C27" s="162">
        <f>'2. Technical Engine'!E27*'2. Technical Engine'!H27*'2. Technical Engine'!J27</f>
        <v>20987872.298632711</v>
      </c>
      <c r="D27" s="162">
        <f>'2. Technical Engine'!F27*'2. Technical Engine'!I27*'2. Technical Engine'!J27</f>
        <v>8483185.156333996</v>
      </c>
      <c r="E27" s="162">
        <f t="shared" si="0"/>
        <v>29471057.454966709</v>
      </c>
      <c r="F27" s="162">
        <f t="shared" si="3"/>
        <v>2913622.3450555964</v>
      </c>
      <c r="G27" s="162">
        <f t="shared" si="4"/>
        <v>1928856.6583848111</v>
      </c>
      <c r="H27" s="162">
        <f t="shared" si="5"/>
        <v>1592340.8944434125</v>
      </c>
      <c r="I27" s="162">
        <f t="shared" si="6"/>
        <v>1165448.9380222391</v>
      </c>
      <c r="J27" s="162">
        <f t="shared" si="7"/>
        <v>574883.91038472927</v>
      </c>
      <c r="K27" s="162">
        <f t="shared" si="1"/>
        <v>8175152.746290789</v>
      </c>
      <c r="L27" s="162">
        <f t="shared" si="2"/>
        <v>21295904.708675921</v>
      </c>
    </row>
    <row r="28" spans="1:12" ht="18" customHeight="1" x14ac:dyDescent="0.25">
      <c r="A28" s="171" t="s">
        <v>44</v>
      </c>
      <c r="B28" s="171"/>
      <c r="C28" s="172">
        <f t="shared" ref="C28:L28" si="8">SUM(C8:C27)</f>
        <v>423761187.74637151</v>
      </c>
      <c r="D28" s="172">
        <f t="shared" si="8"/>
        <v>188702135.50126493</v>
      </c>
      <c r="E28" s="172">
        <f t="shared" si="8"/>
        <v>612463323.24763656</v>
      </c>
      <c r="F28" s="172">
        <f t="shared" si="8"/>
        <v>48594739.597835436</v>
      </c>
      <c r="G28" s="172">
        <f t="shared" si="8"/>
        <v>29557411.937878508</v>
      </c>
      <c r="H28" s="172">
        <f t="shared" si="8"/>
        <v>27748400.524004444</v>
      </c>
      <c r="I28" s="172">
        <f t="shared" si="8"/>
        <v>19437895.839134179</v>
      </c>
      <c r="J28" s="172">
        <f t="shared" si="8"/>
        <v>9804079.4296211991</v>
      </c>
      <c r="K28" s="172">
        <f t="shared" si="8"/>
        <v>135142527.32847378</v>
      </c>
      <c r="L28" s="172">
        <f t="shared" si="8"/>
        <v>477320795.91916275</v>
      </c>
    </row>
    <row r="29" spans="1:12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</sheetData>
  <mergeCells count="4">
    <mergeCell ref="A1:G1"/>
    <mergeCell ref="A2:G2"/>
    <mergeCell ref="A3:G3"/>
    <mergeCell ref="A4:G4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0066"/>
  </sheetPr>
  <dimension ref="A1:G26"/>
  <sheetViews>
    <sheetView showGridLines="0" workbookViewId="0">
      <selection activeCell="C32" sqref="C32"/>
    </sheetView>
  </sheetViews>
  <sheetFormatPr defaultRowHeight="15" x14ac:dyDescent="0.25"/>
  <cols>
    <col min="1" max="1" width="22" style="2" bestFit="1" customWidth="1"/>
    <col min="2" max="2" width="14" style="2" bestFit="1" customWidth="1"/>
    <col min="3" max="3" width="18" style="2" customWidth="1"/>
    <col min="4" max="6" width="16" style="2" customWidth="1"/>
    <col min="7" max="8" width="3" style="2" customWidth="1"/>
    <col min="9" max="16384" width="9.140625" style="2"/>
  </cols>
  <sheetData>
    <row r="1" spans="1:7" ht="21" x14ac:dyDescent="0.25">
      <c r="A1" s="186" t="s">
        <v>21</v>
      </c>
      <c r="B1" s="185"/>
      <c r="C1" s="185"/>
      <c r="D1" s="185"/>
      <c r="E1" s="185"/>
      <c r="F1" s="185"/>
      <c r="G1" s="185"/>
    </row>
    <row r="2" spans="1:7" ht="15.75" x14ac:dyDescent="0.25">
      <c r="A2" s="192" t="s">
        <v>160</v>
      </c>
      <c r="B2" s="193"/>
      <c r="C2" s="193"/>
      <c r="D2" s="193"/>
      <c r="E2" s="193"/>
      <c r="F2" s="193"/>
      <c r="G2" s="193"/>
    </row>
    <row r="3" spans="1:7" x14ac:dyDescent="0.25">
      <c r="A3" s="188" t="s">
        <v>2</v>
      </c>
      <c r="B3" s="185"/>
      <c r="C3" s="185"/>
      <c r="D3" s="185"/>
      <c r="E3" s="185"/>
      <c r="F3" s="185"/>
      <c r="G3" s="185"/>
    </row>
    <row r="4" spans="1:7" x14ac:dyDescent="0.25">
      <c r="A4" s="184" t="s">
        <v>22</v>
      </c>
      <c r="B4" s="185"/>
      <c r="C4" s="185"/>
      <c r="D4" s="185"/>
      <c r="E4" s="185"/>
      <c r="F4" s="185"/>
      <c r="G4" s="185"/>
    </row>
    <row r="6" spans="1:7" s="41" customFormat="1" x14ac:dyDescent="0.25"/>
    <row r="7" spans="1:7" ht="24" customHeight="1" x14ac:dyDescent="0.25">
      <c r="A7" s="187" t="s">
        <v>161</v>
      </c>
      <c r="B7" s="185"/>
      <c r="C7" s="185"/>
      <c r="D7" s="185"/>
      <c r="E7" s="185"/>
      <c r="F7" s="185"/>
    </row>
    <row r="8" spans="1:7" ht="18" customHeight="1" x14ac:dyDescent="0.25">
      <c r="A8" s="197" t="s">
        <v>162</v>
      </c>
      <c r="B8" s="185"/>
      <c r="C8" s="39">
        <f>'1. Inputs &amp; Scenarios'!B26</f>
        <v>237500000</v>
      </c>
    </row>
    <row r="9" spans="1:7" ht="18" customHeight="1" x14ac:dyDescent="0.25">
      <c r="A9" s="197" t="s">
        <v>71</v>
      </c>
      <c r="B9" s="185"/>
      <c r="C9" s="40">
        <f>'1. Inputs &amp; Scenarios'!B27</f>
        <v>0.3</v>
      </c>
    </row>
    <row r="10" spans="1:7" ht="18" customHeight="1" x14ac:dyDescent="0.25">
      <c r="A10" s="197" t="s">
        <v>163</v>
      </c>
      <c r="B10" s="185"/>
      <c r="C10" s="39">
        <f>C8*C9</f>
        <v>71250000</v>
      </c>
    </row>
    <row r="11" spans="1:7" ht="18" customHeight="1" x14ac:dyDescent="0.25">
      <c r="A11" s="197" t="s">
        <v>164</v>
      </c>
      <c r="B11" s="185"/>
      <c r="C11" s="39">
        <f>C8-0.5*C10</f>
        <v>201875000</v>
      </c>
    </row>
    <row r="12" spans="1:7" ht="18" customHeight="1" x14ac:dyDescent="0.25">
      <c r="A12" s="197" t="s">
        <v>72</v>
      </c>
      <c r="B12" s="185"/>
      <c r="C12" s="40">
        <f>'1. Inputs &amp; Scenarios'!B28</f>
        <v>0.6</v>
      </c>
    </row>
    <row r="13" spans="1:7" ht="18" customHeight="1" x14ac:dyDescent="0.25">
      <c r="A13" s="198" t="s">
        <v>165</v>
      </c>
      <c r="B13" s="185"/>
      <c r="C13" s="16" t="s">
        <v>166</v>
      </c>
    </row>
    <row r="15" spans="1:7" ht="24" customHeight="1" x14ac:dyDescent="0.25">
      <c r="A15" s="187" t="s">
        <v>167</v>
      </c>
      <c r="B15" s="185"/>
      <c r="C15" s="185"/>
      <c r="D15" s="185"/>
      <c r="E15" s="185"/>
      <c r="F15" s="185"/>
    </row>
    <row r="16" spans="1:7" ht="21.95" customHeight="1" x14ac:dyDescent="0.25">
      <c r="A16" s="163" t="s">
        <v>91</v>
      </c>
      <c r="B16" s="163" t="s">
        <v>168</v>
      </c>
      <c r="C16" s="163" t="s">
        <v>169</v>
      </c>
      <c r="D16" s="163" t="s">
        <v>170</v>
      </c>
      <c r="E16" s="163" t="s">
        <v>171</v>
      </c>
      <c r="F16" s="163" t="s">
        <v>172</v>
      </c>
    </row>
    <row r="17" spans="1:6" ht="18" customHeight="1" x14ac:dyDescent="0.25">
      <c r="A17" s="155">
        <v>1</v>
      </c>
      <c r="B17" s="167">
        <v>0.2</v>
      </c>
      <c r="C17" s="161">
        <f>C$11*C$12</f>
        <v>121125000</v>
      </c>
      <c r="D17" s="161">
        <f t="shared" ref="D17:D22" si="0">C$11*(1-C$12)*B17</f>
        <v>16150000</v>
      </c>
      <c r="E17" s="161">
        <f t="shared" ref="E17:E22" si="1">C17+D17</f>
        <v>137275000</v>
      </c>
      <c r="F17" s="161">
        <f>E17</f>
        <v>137275000</v>
      </c>
    </row>
    <row r="18" spans="1:6" ht="18" customHeight="1" x14ac:dyDescent="0.25">
      <c r="A18" s="158">
        <v>2</v>
      </c>
      <c r="B18" s="168">
        <v>0.32</v>
      </c>
      <c r="C18" s="162">
        <v>0</v>
      </c>
      <c r="D18" s="162">
        <f t="shared" si="0"/>
        <v>25840000</v>
      </c>
      <c r="E18" s="162">
        <f t="shared" si="1"/>
        <v>25840000</v>
      </c>
      <c r="F18" s="162">
        <f>F17+E18</f>
        <v>163115000</v>
      </c>
    </row>
    <row r="19" spans="1:6" ht="18" customHeight="1" x14ac:dyDescent="0.25">
      <c r="A19" s="155">
        <v>3</v>
      </c>
      <c r="B19" s="167">
        <v>0.192</v>
      </c>
      <c r="C19" s="161">
        <v>0</v>
      </c>
      <c r="D19" s="161">
        <f t="shared" si="0"/>
        <v>15504000</v>
      </c>
      <c r="E19" s="161">
        <f t="shared" si="1"/>
        <v>15504000</v>
      </c>
      <c r="F19" s="161">
        <f>F18+E19</f>
        <v>178619000</v>
      </c>
    </row>
    <row r="20" spans="1:6" ht="18" customHeight="1" x14ac:dyDescent="0.25">
      <c r="A20" s="158">
        <v>4</v>
      </c>
      <c r="B20" s="168">
        <v>0.1152</v>
      </c>
      <c r="C20" s="162">
        <v>0</v>
      </c>
      <c r="D20" s="162">
        <f t="shared" si="0"/>
        <v>9302400</v>
      </c>
      <c r="E20" s="162">
        <f t="shared" si="1"/>
        <v>9302400</v>
      </c>
      <c r="F20" s="162">
        <f>F19+E20</f>
        <v>187921400</v>
      </c>
    </row>
    <row r="21" spans="1:6" ht="18" customHeight="1" x14ac:dyDescent="0.25">
      <c r="A21" s="155">
        <v>5</v>
      </c>
      <c r="B21" s="167">
        <v>0.1152</v>
      </c>
      <c r="C21" s="161">
        <v>0</v>
      </c>
      <c r="D21" s="161">
        <f t="shared" si="0"/>
        <v>9302400</v>
      </c>
      <c r="E21" s="161">
        <f t="shared" si="1"/>
        <v>9302400</v>
      </c>
      <c r="F21" s="161">
        <f>F20+E21</f>
        <v>197223800</v>
      </c>
    </row>
    <row r="22" spans="1:6" ht="18" customHeight="1" x14ac:dyDescent="0.25">
      <c r="A22" s="158">
        <v>6</v>
      </c>
      <c r="B22" s="168">
        <v>5.7599999999999998E-2</v>
      </c>
      <c r="C22" s="162">
        <v>0</v>
      </c>
      <c r="D22" s="162">
        <f t="shared" si="0"/>
        <v>4651200</v>
      </c>
      <c r="E22" s="162">
        <f t="shared" si="1"/>
        <v>4651200</v>
      </c>
      <c r="F22" s="162">
        <f>F21+E22</f>
        <v>201875000</v>
      </c>
    </row>
    <row r="24" spans="1:6" ht="24" customHeight="1" x14ac:dyDescent="0.25">
      <c r="A24" s="24" t="s">
        <v>173</v>
      </c>
      <c r="B24" s="24"/>
      <c r="C24" s="27"/>
      <c r="D24" s="25"/>
    </row>
    <row r="25" spans="1:6" ht="18" customHeight="1" x14ac:dyDescent="0.25">
      <c r="A25" s="169" t="s">
        <v>174</v>
      </c>
      <c r="B25" s="161">
        <f>C10*0.99</f>
        <v>70537500</v>
      </c>
    </row>
    <row r="26" spans="1:6" ht="18" customHeight="1" x14ac:dyDescent="0.25">
      <c r="A26" s="170" t="s">
        <v>175</v>
      </c>
      <c r="B26" s="162">
        <f>C10*0.01</f>
        <v>712500</v>
      </c>
    </row>
  </sheetData>
  <mergeCells count="12">
    <mergeCell ref="A15:F15"/>
    <mergeCell ref="A11:B11"/>
    <mergeCell ref="A13:B13"/>
    <mergeCell ref="A9:B9"/>
    <mergeCell ref="A1:G1"/>
    <mergeCell ref="A2:G2"/>
    <mergeCell ref="A7:F7"/>
    <mergeCell ref="A12:B12"/>
    <mergeCell ref="A10:B10"/>
    <mergeCell ref="A8:B8"/>
    <mergeCell ref="A3:G3"/>
    <mergeCell ref="A4:G4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0000"/>
  </sheetPr>
  <dimension ref="A1:J50"/>
  <sheetViews>
    <sheetView showGridLines="0" workbookViewId="0">
      <selection activeCell="G41" sqref="G41"/>
    </sheetView>
  </sheetViews>
  <sheetFormatPr defaultRowHeight="15" x14ac:dyDescent="0.25"/>
  <cols>
    <col min="1" max="1" width="8" style="2" customWidth="1"/>
    <col min="2" max="2" width="14.85546875" style="2" bestFit="1" customWidth="1"/>
    <col min="3" max="3" width="22.5703125" style="2" bestFit="1" customWidth="1"/>
    <col min="4" max="7" width="14" style="2" customWidth="1"/>
    <col min="8" max="8" width="16" style="2" customWidth="1"/>
    <col min="9" max="9" width="23.42578125" style="2" bestFit="1" customWidth="1"/>
    <col min="10" max="10" width="20.42578125" style="2" bestFit="1" customWidth="1"/>
    <col min="11" max="12" width="3" style="2" customWidth="1"/>
    <col min="13" max="16384" width="9.140625" style="2"/>
  </cols>
  <sheetData>
    <row r="1" spans="1:10" ht="21" x14ac:dyDescent="0.25">
      <c r="A1" s="186" t="s">
        <v>21</v>
      </c>
      <c r="B1" s="185"/>
      <c r="C1" s="185"/>
      <c r="D1" s="185"/>
      <c r="E1" s="185"/>
      <c r="F1" s="185"/>
      <c r="G1" s="185"/>
    </row>
    <row r="2" spans="1:10" ht="15.75" x14ac:dyDescent="0.25">
      <c r="A2" s="192" t="s">
        <v>382</v>
      </c>
      <c r="B2" s="193"/>
      <c r="C2" s="193"/>
      <c r="D2" s="193"/>
      <c r="E2" s="193"/>
      <c r="F2" s="193"/>
      <c r="G2" s="193"/>
    </row>
    <row r="3" spans="1:10" x14ac:dyDescent="0.25">
      <c r="A3" s="188" t="s">
        <v>2</v>
      </c>
      <c r="B3" s="185"/>
      <c r="C3" s="185"/>
      <c r="D3" s="185"/>
      <c r="E3" s="185"/>
      <c r="F3" s="185"/>
      <c r="G3" s="185"/>
    </row>
    <row r="4" spans="1:10" x14ac:dyDescent="0.25">
      <c r="A4" s="184" t="s">
        <v>22</v>
      </c>
      <c r="B4" s="185"/>
      <c r="C4" s="185"/>
      <c r="D4" s="185"/>
      <c r="E4" s="185"/>
      <c r="F4" s="185"/>
      <c r="G4" s="185"/>
    </row>
    <row r="5" spans="1:10" ht="15.95" customHeight="1" x14ac:dyDescent="0.25">
      <c r="A5" s="4" t="s">
        <v>176</v>
      </c>
    </row>
    <row r="6" spans="1:10" ht="15.95" customHeight="1" x14ac:dyDescent="0.25">
      <c r="A6" s="4" t="s">
        <v>177</v>
      </c>
    </row>
    <row r="7" spans="1:10" ht="27.95" customHeight="1" x14ac:dyDescent="0.25">
      <c r="A7" s="166" t="s">
        <v>91</v>
      </c>
      <c r="B7" s="166" t="s">
        <v>149</v>
      </c>
      <c r="C7" s="166" t="s">
        <v>178</v>
      </c>
      <c r="D7" s="166" t="s">
        <v>159</v>
      </c>
      <c r="E7" s="166" t="s">
        <v>179</v>
      </c>
      <c r="F7" s="166" t="s">
        <v>180</v>
      </c>
      <c r="G7" s="166" t="s">
        <v>181</v>
      </c>
      <c r="H7" s="166" t="s">
        <v>182</v>
      </c>
      <c r="I7" s="166" t="s">
        <v>183</v>
      </c>
      <c r="J7" s="166" t="s">
        <v>184</v>
      </c>
    </row>
    <row r="8" spans="1:10" ht="18" customHeight="1" x14ac:dyDescent="0.25">
      <c r="A8" s="155">
        <v>1</v>
      </c>
      <c r="B8" s="155">
        <f>'2. Technical Engine'!B8</f>
        <v>2028</v>
      </c>
      <c r="C8" s="161">
        <f>'1. Inputs &amp; Scenarios'!B21</f>
        <v>120000000</v>
      </c>
      <c r="D8" s="161">
        <f>'4. Revenue &amp; OpEx'!L8</f>
        <v>26310000</v>
      </c>
      <c r="E8" s="161">
        <f>IF(A8&gt;'1. Inputs &amp; Scenarios'!B34,0,C8*'1. Inputs &amp; Scenarios'!B33)</f>
        <v>7800000</v>
      </c>
      <c r="F8" s="161">
        <f>IF(OR(A8&gt;'1. Inputs &amp; Scenarios'!$B$34,C8&lt;=0),0,MIN('1. Inputs &amp; Scenarios'!$B$21/'1. Inputs &amp; Scenarios'!$B$34,C8))</f>
        <v>6666666.666666667</v>
      </c>
      <c r="G8" s="161">
        <f t="shared" ref="G8:G27" si="0">E8+F8</f>
        <v>14466666.666666668</v>
      </c>
      <c r="H8" s="161">
        <f t="shared" ref="H8:H27" si="1">MAX(C8-F8,0)</f>
        <v>113333333.33333333</v>
      </c>
      <c r="I8" s="156">
        <f t="shared" ref="I8:I27" si="2">IF(G8=0,99,D8/G8)</f>
        <v>1.818663594470046</v>
      </c>
      <c r="J8" s="156">
        <f>IF(C8=0,0,NPV('1. Inputs &amp; Scenarios'!B33,D8:D$25)*(1+'1. Inputs &amp; Scenarios'!B33)/C8)</f>
        <v>2.2696580879961124</v>
      </c>
    </row>
    <row r="9" spans="1:10" ht="18" customHeight="1" x14ac:dyDescent="0.25">
      <c r="A9" s="158">
        <v>2</v>
      </c>
      <c r="B9" s="158">
        <f>'2. Technical Engine'!B9</f>
        <v>2029</v>
      </c>
      <c r="C9" s="162">
        <f t="shared" ref="C9:C27" si="3">H8</f>
        <v>113333333.33333333</v>
      </c>
      <c r="D9" s="162">
        <f>'4. Revenue &amp; OpEx'!L9</f>
        <v>25932375</v>
      </c>
      <c r="E9" s="162">
        <f>IF(A9&gt;'1. Inputs &amp; Scenarios'!B34,0,C9*'1. Inputs &amp; Scenarios'!B33)</f>
        <v>7366666.666666667</v>
      </c>
      <c r="F9" s="162">
        <f>IF(OR(A9&gt;'1. Inputs &amp; Scenarios'!$B$34,C9&lt;=0),0,MIN('1. Inputs &amp; Scenarios'!$B$21/'1. Inputs &amp; Scenarios'!$B$34,C9))</f>
        <v>6666666.666666667</v>
      </c>
      <c r="G9" s="162">
        <f t="shared" si="0"/>
        <v>14033333.333333334</v>
      </c>
      <c r="H9" s="162">
        <f t="shared" si="1"/>
        <v>106666666.66666666</v>
      </c>
      <c r="I9" s="159">
        <f t="shared" si="2"/>
        <v>1.8479127078384798</v>
      </c>
      <c r="J9" s="159">
        <f>IF(C9=0,0,NPV('1. Inputs &amp; Scenarios'!B33,D9:D$25)*(1+'1. Inputs &amp; Scenarios'!B33)/C9)</f>
        <v>2.3121366498167926</v>
      </c>
    </row>
    <row r="10" spans="1:10" ht="18" customHeight="1" x14ac:dyDescent="0.25">
      <c r="A10" s="155">
        <v>3</v>
      </c>
      <c r="B10" s="155">
        <f>'2. Technical Engine'!B10</f>
        <v>2030</v>
      </c>
      <c r="C10" s="161">
        <f t="shared" si="3"/>
        <v>106666666.66666666</v>
      </c>
      <c r="D10" s="161">
        <f>'4. Revenue &amp; OpEx'!L10</f>
        <v>25555115.625</v>
      </c>
      <c r="E10" s="161">
        <f>IF(A10&gt;'1. Inputs &amp; Scenarios'!B34,0,C10*'1. Inputs &amp; Scenarios'!B33)</f>
        <v>6933333.333333333</v>
      </c>
      <c r="F10" s="161">
        <f>IF(OR(A10&gt;'1. Inputs &amp; Scenarios'!$B$34,C10&lt;=0),0,MIN('1. Inputs &amp; Scenarios'!$B$21/'1. Inputs &amp; Scenarios'!$B$34,C10))</f>
        <v>6666666.666666667</v>
      </c>
      <c r="G10" s="161">
        <f t="shared" si="0"/>
        <v>13600000</v>
      </c>
      <c r="H10" s="161">
        <f t="shared" si="1"/>
        <v>99999999.999999985</v>
      </c>
      <c r="I10" s="156">
        <f t="shared" si="2"/>
        <v>1.8790526194852941</v>
      </c>
      <c r="J10" s="156">
        <f>IF(C10=0,0,NPV('1. Inputs &amp; Scenarios'!B33,D10:D$25)*(1+'1. Inputs &amp; Scenarios'!B33)/C10)</f>
        <v>2.3574085711676895</v>
      </c>
    </row>
    <row r="11" spans="1:10" ht="18" customHeight="1" x14ac:dyDescent="0.25">
      <c r="A11" s="158">
        <v>4</v>
      </c>
      <c r="B11" s="158">
        <f>'2. Technical Engine'!B11</f>
        <v>2031</v>
      </c>
      <c r="C11" s="162">
        <f t="shared" si="3"/>
        <v>99999999.999999985</v>
      </c>
      <c r="D11" s="162">
        <f>'4. Revenue &amp; OpEx'!L11</f>
        <v>25178124.984375004</v>
      </c>
      <c r="E11" s="162">
        <f>IF(A11&gt;'1. Inputs &amp; Scenarios'!B34,0,C11*'1. Inputs &amp; Scenarios'!B33)</f>
        <v>6499999.9999999991</v>
      </c>
      <c r="F11" s="162">
        <f>IF(OR(A11&gt;'1. Inputs &amp; Scenarios'!$B$34,C11&lt;=0),0,MIN('1. Inputs &amp; Scenarios'!$B$21/'1. Inputs &amp; Scenarios'!$B$34,C11))</f>
        <v>6666666.666666667</v>
      </c>
      <c r="G11" s="162">
        <f t="shared" si="0"/>
        <v>13166666.666666666</v>
      </c>
      <c r="H11" s="162">
        <f t="shared" si="1"/>
        <v>93333333.333333313</v>
      </c>
      <c r="I11" s="159">
        <f t="shared" si="2"/>
        <v>1.9122626570411396</v>
      </c>
      <c r="J11" s="159">
        <f>IF(C11=0,0,NPV('1. Inputs &amp; Scenarios'!B33,D11:D$25)*(1+'1. Inputs &amp; Scenarios'!B33)/C11)</f>
        <v>2.4058541554402448</v>
      </c>
    </row>
    <row r="12" spans="1:10" ht="18" customHeight="1" x14ac:dyDescent="0.25">
      <c r="A12" s="155">
        <v>5</v>
      </c>
      <c r="B12" s="155">
        <f>'2. Technical Engine'!B12</f>
        <v>2032</v>
      </c>
      <c r="C12" s="161">
        <f t="shared" si="3"/>
        <v>93333333.333333313</v>
      </c>
      <c r="D12" s="161">
        <f>'4. Revenue &amp; OpEx'!L12</f>
        <v>24801305.274140626</v>
      </c>
      <c r="E12" s="161">
        <f>IF(A12&gt;'1. Inputs &amp; Scenarios'!B34,0,C12*'1. Inputs &amp; Scenarios'!B33)</f>
        <v>6066666.666666666</v>
      </c>
      <c r="F12" s="161">
        <f>IF(OR(A12&gt;'1. Inputs &amp; Scenarios'!$B$34,C12&lt;=0),0,MIN('1. Inputs &amp; Scenarios'!$B$21/'1. Inputs &amp; Scenarios'!$B$34,C12))</f>
        <v>6666666.666666667</v>
      </c>
      <c r="G12" s="161">
        <f t="shared" si="0"/>
        <v>12733333.333333332</v>
      </c>
      <c r="H12" s="161">
        <f t="shared" si="1"/>
        <v>86666666.666666642</v>
      </c>
      <c r="I12" s="156">
        <f t="shared" si="2"/>
        <v>1.9477464874979551</v>
      </c>
      <c r="J12" s="156">
        <f>IF(C12=0,0,NPV('1. Inputs &amp; Scenarios'!B33,D12:D$25)*(1+'1. Inputs &amp; Scenarios'!B33)/C12)</f>
        <v>2.4579510476359996</v>
      </c>
    </row>
    <row r="13" spans="1:10" ht="18" customHeight="1" x14ac:dyDescent="0.25">
      <c r="A13" s="158">
        <v>6</v>
      </c>
      <c r="B13" s="158">
        <f>'2. Technical Engine'!B13</f>
        <v>2033</v>
      </c>
      <c r="C13" s="162">
        <f t="shared" si="3"/>
        <v>86666666.666666642</v>
      </c>
      <c r="D13" s="162">
        <f>'4. Revenue &amp; OpEx'!L13</f>
        <v>25244706.223683286</v>
      </c>
      <c r="E13" s="162">
        <f>IF(A13&gt;'1. Inputs &amp; Scenarios'!B34,0,C13*'1. Inputs &amp; Scenarios'!B33)</f>
        <v>5633333.3333333321</v>
      </c>
      <c r="F13" s="162">
        <f>IF(OR(A13&gt;'1. Inputs &amp; Scenarios'!$B$34,C13&lt;=0),0,MIN('1. Inputs &amp; Scenarios'!$B$21/'1. Inputs &amp; Scenarios'!$B$34,C13))</f>
        <v>6666666.666666667</v>
      </c>
      <c r="G13" s="162">
        <f t="shared" si="0"/>
        <v>12300000</v>
      </c>
      <c r="H13" s="162">
        <f t="shared" si="1"/>
        <v>79999999.99999997</v>
      </c>
      <c r="I13" s="159">
        <f t="shared" si="2"/>
        <v>2.0524151401368527</v>
      </c>
      <c r="J13" s="159">
        <f>IF(C13=0,0,NPV('1. Inputs &amp; Scenarios'!B33,D13:D$25)*(1+'1. Inputs &amp; Scenarios'!B33)/C13)</f>
        <v>2.5143108925160615</v>
      </c>
    </row>
    <row r="14" spans="1:10" ht="18" customHeight="1" x14ac:dyDescent="0.25">
      <c r="A14" s="155">
        <v>7</v>
      </c>
      <c r="B14" s="155">
        <f>'2. Technical Engine'!B14</f>
        <v>2034</v>
      </c>
      <c r="C14" s="161">
        <f t="shared" si="3"/>
        <v>79999999.99999997</v>
      </c>
      <c r="D14" s="161">
        <f>'4. Revenue &amp; OpEx'!L14</f>
        <v>24861187.769830137</v>
      </c>
      <c r="E14" s="161">
        <f>IF(A14&gt;'1. Inputs &amp; Scenarios'!B34,0,C14*'1. Inputs &amp; Scenarios'!B33)</f>
        <v>5199999.9999999981</v>
      </c>
      <c r="F14" s="161">
        <f>IF(OR(A14&gt;'1. Inputs &amp; Scenarios'!$B$34,C14&lt;=0),0,MIN('1. Inputs &amp; Scenarios'!$B$21/'1. Inputs &amp; Scenarios'!$B$34,C14))</f>
        <v>6666666.666666667</v>
      </c>
      <c r="G14" s="161">
        <f t="shared" si="0"/>
        <v>11866666.666666664</v>
      </c>
      <c r="H14" s="161">
        <f t="shared" si="1"/>
        <v>73333333.333333299</v>
      </c>
      <c r="I14" s="156">
        <f t="shared" si="2"/>
        <v>2.0950439131879333</v>
      </c>
      <c r="J14" s="156">
        <f>IF(C14=0,0,NPV('1. Inputs &amp; Scenarios'!B33,D14:D$25)*(1+'1. Inputs &amp; Scenarios'!B33)/C14)</f>
        <v>2.5648160406376221</v>
      </c>
    </row>
    <row r="15" spans="1:10" ht="18" customHeight="1" x14ac:dyDescent="0.25">
      <c r="A15" s="158">
        <v>8</v>
      </c>
      <c r="B15" s="158">
        <f>'2. Technical Engine'!B15</f>
        <v>2035</v>
      </c>
      <c r="C15" s="162">
        <f t="shared" si="3"/>
        <v>73333333.333333299</v>
      </c>
      <c r="D15" s="162">
        <f>'4. Revenue &amp; OpEx'!L15</f>
        <v>24477614.24755694</v>
      </c>
      <c r="E15" s="162">
        <f>IF(A15&gt;'1. Inputs &amp; Scenarios'!B34,0,C15*'1. Inputs &amp; Scenarios'!B33)</f>
        <v>4766666.6666666642</v>
      </c>
      <c r="F15" s="162">
        <f>IF(OR(A15&gt;'1. Inputs &amp; Scenarios'!$B$34,C15&lt;=0),0,MIN('1. Inputs &amp; Scenarios'!$B$21/'1. Inputs &amp; Scenarios'!$B$34,C15))</f>
        <v>6666666.666666667</v>
      </c>
      <c r="G15" s="162">
        <f t="shared" si="0"/>
        <v>11433333.333333332</v>
      </c>
      <c r="H15" s="162">
        <f t="shared" si="1"/>
        <v>66666666.666666634</v>
      </c>
      <c r="I15" s="159">
        <f t="shared" si="2"/>
        <v>2.1408992053256801</v>
      </c>
      <c r="J15" s="159">
        <f>IF(C15=0,0,NPV('1. Inputs &amp; Scenarios'!B33,D15:D$25)*(1+'1. Inputs &amp; Scenarios'!B33)/C15)</f>
        <v>2.6187976593744047</v>
      </c>
    </row>
    <row r="16" spans="1:10" ht="18" customHeight="1" x14ac:dyDescent="0.25">
      <c r="A16" s="155">
        <v>9</v>
      </c>
      <c r="B16" s="155">
        <f>'2. Technical Engine'!B16</f>
        <v>2036</v>
      </c>
      <c r="C16" s="161">
        <f t="shared" si="3"/>
        <v>66666666.666666634</v>
      </c>
      <c r="D16" s="161">
        <f>'4. Revenue &amp; OpEx'!L16</f>
        <v>24093882.771724604</v>
      </c>
      <c r="E16" s="161">
        <f>IF(A16&gt;'1. Inputs &amp; Scenarios'!B34,0,C16*'1. Inputs &amp; Scenarios'!B33)</f>
        <v>4333333.3333333312</v>
      </c>
      <c r="F16" s="161">
        <f>IF(OR(A16&gt;'1. Inputs &amp; Scenarios'!$B$34,C16&lt;=0),0,MIN('1. Inputs &amp; Scenarios'!$B$21/'1. Inputs &amp; Scenarios'!$B$34,C16))</f>
        <v>6666666.666666667</v>
      </c>
      <c r="G16" s="161">
        <f t="shared" si="0"/>
        <v>10999999.999999998</v>
      </c>
      <c r="H16" s="161">
        <f t="shared" si="1"/>
        <v>59999999.99999997</v>
      </c>
      <c r="I16" s="156">
        <f t="shared" si="2"/>
        <v>2.1903529792476917</v>
      </c>
      <c r="J16" s="156">
        <f>IF(C16=0,0,NPV('1. Inputs &amp; Scenarios'!B33,D16:D$25)*(1+'1. Inputs &amp; Scenarios'!B33)/C16)</f>
        <v>2.6768915703523928</v>
      </c>
    </row>
    <row r="17" spans="1:10" ht="18" customHeight="1" x14ac:dyDescent="0.25">
      <c r="A17" s="158">
        <v>10</v>
      </c>
      <c r="B17" s="158">
        <f>'2. Technical Engine'!B17</f>
        <v>2037</v>
      </c>
      <c r="C17" s="162">
        <f t="shared" si="3"/>
        <v>59999999.99999997</v>
      </c>
      <c r="D17" s="162">
        <f>'4. Revenue &amp; OpEx'!L17</f>
        <v>23709889.319659747</v>
      </c>
      <c r="E17" s="162">
        <f>IF(A17&gt;'1. Inputs &amp; Scenarios'!B34,0,C17*'1. Inputs &amp; Scenarios'!B33)</f>
        <v>3899999.9999999981</v>
      </c>
      <c r="F17" s="162">
        <f>IF(OR(A17&gt;'1. Inputs &amp; Scenarios'!$B$34,C17&lt;=0),0,MIN('1. Inputs &amp; Scenarios'!$B$21/'1. Inputs &amp; Scenarios'!$B$34,C17))</f>
        <v>6666666.666666667</v>
      </c>
      <c r="G17" s="162">
        <f t="shared" si="0"/>
        <v>10566666.666666664</v>
      </c>
      <c r="H17" s="162">
        <f t="shared" si="1"/>
        <v>53333333.333333306</v>
      </c>
      <c r="I17" s="159">
        <f t="shared" si="2"/>
        <v>2.2438381059614909</v>
      </c>
      <c r="J17" s="159">
        <f>IF(C17=0,0,NPV('1. Inputs &amp; Scenarios'!B33,D17:D$25)*(1+'1. Inputs &amp; Scenarios'!B33)/C17)</f>
        <v>2.7399886057188856</v>
      </c>
    </row>
    <row r="18" spans="1:10" ht="18" customHeight="1" x14ac:dyDescent="0.25">
      <c r="A18" s="155">
        <v>11</v>
      </c>
      <c r="B18" s="155">
        <f>'2. Technical Engine'!B18</f>
        <v>2038</v>
      </c>
      <c r="C18" s="161">
        <f t="shared" si="3"/>
        <v>53333333.333333306</v>
      </c>
      <c r="D18" s="161">
        <f>'4. Revenue &amp; OpEx'!L18</f>
        <v>24112684.630840421</v>
      </c>
      <c r="E18" s="161">
        <f>IF(A18&gt;'1. Inputs &amp; Scenarios'!B34,0,C18*'1. Inputs &amp; Scenarios'!B33)</f>
        <v>3466666.6666666651</v>
      </c>
      <c r="F18" s="161">
        <f>IF(OR(A18&gt;'1. Inputs &amp; Scenarios'!$B$34,C18&lt;=0),0,MIN('1. Inputs &amp; Scenarios'!$B$21/'1. Inputs &amp; Scenarios'!$B$34,C18))</f>
        <v>6666666.666666667</v>
      </c>
      <c r="G18" s="161">
        <f t="shared" si="0"/>
        <v>10133333.333333332</v>
      </c>
      <c r="H18" s="161">
        <f t="shared" si="1"/>
        <v>46666666.666666642</v>
      </c>
      <c r="I18" s="156">
        <f t="shared" si="2"/>
        <v>2.3795412464645156</v>
      </c>
      <c r="J18" s="156">
        <f>IF(C18=0,0,NPV('1. Inputs &amp; Scenarios'!B33,D18:D$25)*(1+'1. Inputs &amp; Scenarios'!B33)/C18)</f>
        <v>2.809391995874984</v>
      </c>
    </row>
    <row r="19" spans="1:10" ht="18" customHeight="1" x14ac:dyDescent="0.25">
      <c r="A19" s="158">
        <v>12</v>
      </c>
      <c r="B19" s="158">
        <f>'2. Technical Engine'!B19</f>
        <v>2039</v>
      </c>
      <c r="C19" s="162">
        <f t="shared" si="3"/>
        <v>46666666.666666642</v>
      </c>
      <c r="D19" s="162">
        <f>'4. Revenue &amp; OpEx'!L19</f>
        <v>23721464.341969315</v>
      </c>
      <c r="E19" s="162">
        <f>IF(A19&gt;'1. Inputs &amp; Scenarios'!B34,0,C19*'1. Inputs &amp; Scenarios'!B33)</f>
        <v>3033333.3333333316</v>
      </c>
      <c r="F19" s="162">
        <f>IF(OR(A19&gt;'1. Inputs &amp; Scenarios'!$B$34,C19&lt;=0),0,MIN('1. Inputs &amp; Scenarios'!$B$21/'1. Inputs &amp; Scenarios'!$B$34,C19))</f>
        <v>6666666.666666667</v>
      </c>
      <c r="G19" s="162">
        <f t="shared" si="0"/>
        <v>9699999.9999999981</v>
      </c>
      <c r="H19" s="162">
        <f t="shared" si="1"/>
        <v>39999999.999999978</v>
      </c>
      <c r="I19" s="159">
        <f t="shared" si="2"/>
        <v>2.4455117878318888</v>
      </c>
      <c r="J19" s="159">
        <f>IF(C19=0,0,NPV('1. Inputs &amp; Scenarios'!B33,D19:D$25)*(1+'1. Inputs &amp; Scenarios'!B33)/C19)</f>
        <v>2.8691454907254434</v>
      </c>
    </row>
    <row r="20" spans="1:10" ht="18" customHeight="1" x14ac:dyDescent="0.25">
      <c r="A20" s="155">
        <v>13</v>
      </c>
      <c r="B20" s="155">
        <f>'2. Technical Engine'!B20</f>
        <v>2040</v>
      </c>
      <c r="C20" s="161">
        <f t="shared" si="3"/>
        <v>39999999.999999978</v>
      </c>
      <c r="D20" s="161">
        <f>'4. Revenue &amp; OpEx'!L20</f>
        <v>23329731.35463699</v>
      </c>
      <c r="E20" s="161">
        <f>IF(A20&gt;'1. Inputs &amp; Scenarios'!B34,0,C20*'1. Inputs &amp; Scenarios'!B33)</f>
        <v>2599999.9999999986</v>
      </c>
      <c r="F20" s="161">
        <f>IF(OR(A20&gt;'1. Inputs &amp; Scenarios'!$B$34,C20&lt;=0),0,MIN('1. Inputs &amp; Scenarios'!$B$21/'1. Inputs &amp; Scenarios'!$B$34,C20))</f>
        <v>6666666.666666667</v>
      </c>
      <c r="G20" s="161">
        <f t="shared" si="0"/>
        <v>9266666.666666666</v>
      </c>
      <c r="H20" s="161">
        <f t="shared" si="1"/>
        <v>33333333.33333331</v>
      </c>
      <c r="I20" s="156">
        <f t="shared" si="2"/>
        <v>2.517596908773776</v>
      </c>
      <c r="J20" s="156">
        <f>IF(C20=0,0,NPV('1. Inputs &amp; Scenarios'!B33,D20:D$25)*(1+'1. Inputs &amp; Scenarios'!B33)/C20)</f>
        <v>2.93332928412143</v>
      </c>
    </row>
    <row r="21" spans="1:10" ht="18" customHeight="1" x14ac:dyDescent="0.25">
      <c r="A21" s="158">
        <v>14</v>
      </c>
      <c r="B21" s="158">
        <f>'2. Technical Engine'!B21</f>
        <v>2041</v>
      </c>
      <c r="C21" s="162">
        <f t="shared" si="3"/>
        <v>33333333.33333331</v>
      </c>
      <c r="D21" s="162">
        <f>'4. Revenue &amp; OpEx'!L21</f>
        <v>22937375.683372185</v>
      </c>
      <c r="E21" s="162">
        <f>IF(A21&gt;'1. Inputs &amp; Scenarios'!B34,0,C21*'1. Inputs &amp; Scenarios'!B33)</f>
        <v>2166666.6666666651</v>
      </c>
      <c r="F21" s="162">
        <f>IF(OR(A21&gt;'1. Inputs &amp; Scenarios'!$B$34,C21&lt;=0),0,MIN('1. Inputs &amp; Scenarios'!$B$21/'1. Inputs &amp; Scenarios'!$B$34,C21))</f>
        <v>6666666.666666667</v>
      </c>
      <c r="G21" s="162">
        <f t="shared" si="0"/>
        <v>8833333.3333333321</v>
      </c>
      <c r="H21" s="162">
        <f t="shared" si="1"/>
        <v>26666666.666666642</v>
      </c>
      <c r="I21" s="159">
        <f t="shared" si="2"/>
        <v>2.5966840396270401</v>
      </c>
      <c r="J21" s="159">
        <f>IF(C21=0,0,NPV('1. Inputs &amp; Scenarios'!B33,D21:D$25)*(1+'1. Inputs &amp; Scenarios'!B33)/C21)</f>
        <v>3.0034099083265353</v>
      </c>
    </row>
    <row r="22" spans="1:10" ht="18" customHeight="1" x14ac:dyDescent="0.25">
      <c r="A22" s="155">
        <v>15</v>
      </c>
      <c r="B22" s="155">
        <f>'2. Technical Engine'!B22</f>
        <v>2042</v>
      </c>
      <c r="C22" s="161">
        <f t="shared" si="3"/>
        <v>26666666.666666642</v>
      </c>
      <c r="D22" s="161">
        <f>'4. Revenue &amp; OpEx'!L22</f>
        <v>22544285.953414898</v>
      </c>
      <c r="E22" s="161">
        <f>IF(A22&gt;'1. Inputs &amp; Scenarios'!B34,0,C22*'1. Inputs &amp; Scenarios'!B33)</f>
        <v>1733333.3333333319</v>
      </c>
      <c r="F22" s="161">
        <f>IF(OR(A22&gt;'1. Inputs &amp; Scenarios'!$B$34,C22&lt;=0),0,MIN('1. Inputs &amp; Scenarios'!$B$21/'1. Inputs &amp; Scenarios'!$B$34,C22))</f>
        <v>6666666.666666667</v>
      </c>
      <c r="G22" s="161">
        <f t="shared" si="0"/>
        <v>8399999.9999999981</v>
      </c>
      <c r="H22" s="161">
        <f t="shared" si="1"/>
        <v>19999999.999999974</v>
      </c>
      <c r="I22" s="156">
        <f t="shared" si="2"/>
        <v>2.6838435658827264</v>
      </c>
      <c r="J22" s="156">
        <f>IF(C22=0,0,NPV('1. Inputs &amp; Scenarios'!B33,D22:D$25)*(1+'1. Inputs &amp; Scenarios'!B33)/C22)</f>
        <v>3.0822279991050237</v>
      </c>
    </row>
    <row r="23" spans="1:10" ht="18" customHeight="1" x14ac:dyDescent="0.25">
      <c r="A23" s="158">
        <v>16</v>
      </c>
      <c r="B23" s="158">
        <f>'2. Technical Engine'!B23</f>
        <v>2043</v>
      </c>
      <c r="C23" s="162">
        <f t="shared" si="3"/>
        <v>19999999.999999974</v>
      </c>
      <c r="D23" s="162">
        <f>'4. Revenue &amp; OpEx'!L23</f>
        <v>22906253.18870341</v>
      </c>
      <c r="E23" s="162">
        <f>IF(A23&gt;'1. Inputs &amp; Scenarios'!B34,0,C23*'1. Inputs &amp; Scenarios'!B33)</f>
        <v>1299999.9999999984</v>
      </c>
      <c r="F23" s="162">
        <f>IF(OR(A23&gt;'1. Inputs &amp; Scenarios'!$B$34,C23&lt;=0),0,MIN('1. Inputs &amp; Scenarios'!$B$21/'1. Inputs &amp; Scenarios'!$B$34,C23))</f>
        <v>6666666.666666667</v>
      </c>
      <c r="G23" s="162">
        <f t="shared" si="0"/>
        <v>7966666.6666666651</v>
      </c>
      <c r="H23" s="162">
        <f t="shared" si="1"/>
        <v>13333333.333333306</v>
      </c>
      <c r="I23" s="159">
        <f t="shared" si="2"/>
        <v>2.8752619065318092</v>
      </c>
      <c r="J23" s="159">
        <f>IF(C23=0,0,NPV('1. Inputs &amp; Scenarios'!B33,D23:D$25)*(1+'1. Inputs &amp; Scenarios'!B33)/C23)</f>
        <v>3.1762805317097897</v>
      </c>
    </row>
    <row r="24" spans="1:10" ht="18" customHeight="1" x14ac:dyDescent="0.25">
      <c r="A24" s="155">
        <v>17</v>
      </c>
      <c r="B24" s="155">
        <f>'2. Technical Engine'!B24</f>
        <v>2044</v>
      </c>
      <c r="C24" s="161">
        <f t="shared" si="3"/>
        <v>13333333.333333306</v>
      </c>
      <c r="D24" s="161">
        <f>'4. Revenue &amp; OpEx'!L24</f>
        <v>22505303.96150304</v>
      </c>
      <c r="E24" s="161">
        <f>IF(A24&gt;'1. Inputs &amp; Scenarios'!B34,0,C24*'1. Inputs &amp; Scenarios'!B33)</f>
        <v>866666.66666666488</v>
      </c>
      <c r="F24" s="161">
        <f>IF(OR(A24&gt;'1. Inputs &amp; Scenarios'!$B$34,C24&lt;=0),0,MIN('1. Inputs &amp; Scenarios'!$B$21/'1. Inputs &amp; Scenarios'!$B$34,C24))</f>
        <v>6666666.666666667</v>
      </c>
      <c r="G24" s="161">
        <f t="shared" si="0"/>
        <v>7533333.3333333321</v>
      </c>
      <c r="H24" s="161">
        <f t="shared" si="1"/>
        <v>6666666.666666639</v>
      </c>
      <c r="I24" s="156">
        <f t="shared" si="2"/>
        <v>2.987429729403059</v>
      </c>
      <c r="J24" s="156">
        <f>IF(C24=0,0,NPV('1. Inputs &amp; Scenarios'!B33,D24:D$25)*(1+'1. Inputs &amp; Scenarios'!B33)/C24)</f>
        <v>3.2444711759587039</v>
      </c>
    </row>
    <row r="25" spans="1:10" ht="18" customHeight="1" x14ac:dyDescent="0.25">
      <c r="A25" s="158">
        <v>18</v>
      </c>
      <c r="B25" s="158">
        <f>'2. Technical Engine'!B25</f>
        <v>2045</v>
      </c>
      <c r="C25" s="162">
        <f t="shared" si="3"/>
        <v>6666666.666666639</v>
      </c>
      <c r="D25" s="162">
        <f>'4. Revenue &amp; OpEx'!L25</f>
        <v>22103341.979612764</v>
      </c>
      <c r="E25" s="162">
        <f>IF(A25&gt;'1. Inputs &amp; Scenarios'!B34,0,C25*'1. Inputs &amp; Scenarios'!B33)</f>
        <v>433333.33333333157</v>
      </c>
      <c r="F25" s="162">
        <f>IF(OR(A25&gt;'1. Inputs &amp; Scenarios'!$B$34,C25&lt;=0),0,MIN('1. Inputs &amp; Scenarios'!$B$21/'1. Inputs &amp; Scenarios'!$B$34,C25))</f>
        <v>6666666.666666639</v>
      </c>
      <c r="G25" s="162">
        <f t="shared" si="0"/>
        <v>7099999.9999999702</v>
      </c>
      <c r="H25" s="162">
        <f t="shared" si="1"/>
        <v>0</v>
      </c>
      <c r="I25" s="159">
        <f t="shared" si="2"/>
        <v>3.1131467576919518</v>
      </c>
      <c r="J25" s="159">
        <f>IF(C25=0,0,NPV('1. Inputs &amp; Scenarios'!B33,D25:D$25)*(1+'1. Inputs &amp; Scenarios'!B33)/C25)</f>
        <v>3.3155012969419282</v>
      </c>
    </row>
    <row r="26" spans="1:10" ht="18" customHeight="1" x14ac:dyDescent="0.25">
      <c r="A26" s="155">
        <v>19</v>
      </c>
      <c r="B26" s="155">
        <f>'2. Technical Engine'!B26</f>
        <v>2046</v>
      </c>
      <c r="C26" s="161">
        <f t="shared" si="3"/>
        <v>0</v>
      </c>
      <c r="D26" s="161">
        <f>'4. Revenue &amp; OpEx'!L26</f>
        <v>21700248.900463477</v>
      </c>
      <c r="E26" s="161">
        <f>IF(A26&gt;'1. Inputs &amp; Scenarios'!B34,0,C26*'1. Inputs &amp; Scenarios'!B33)</f>
        <v>0</v>
      </c>
      <c r="F26" s="161">
        <f>IF(OR(A26&gt;'1. Inputs &amp; Scenarios'!$B$34,C26&lt;=0),0,MIN('1. Inputs &amp; Scenarios'!$B$21/'1. Inputs &amp; Scenarios'!$B$34,C26))</f>
        <v>0</v>
      </c>
      <c r="G26" s="161">
        <f t="shared" si="0"/>
        <v>0</v>
      </c>
      <c r="H26" s="161">
        <f t="shared" si="1"/>
        <v>0</v>
      </c>
      <c r="I26" s="156">
        <f t="shared" si="2"/>
        <v>99</v>
      </c>
      <c r="J26" s="156">
        <v>0</v>
      </c>
    </row>
    <row r="27" spans="1:10" ht="18" customHeight="1" x14ac:dyDescent="0.25">
      <c r="A27" s="158">
        <v>20</v>
      </c>
      <c r="B27" s="158">
        <f>'2. Technical Engine'!B27</f>
        <v>2047</v>
      </c>
      <c r="C27" s="162">
        <f t="shared" si="3"/>
        <v>0</v>
      </c>
      <c r="D27" s="162">
        <f>'4. Revenue &amp; OpEx'!L27</f>
        <v>21295904.708675921</v>
      </c>
      <c r="E27" s="162">
        <f>IF(A27&gt;'1. Inputs &amp; Scenarios'!B34,0,C27*'1. Inputs &amp; Scenarios'!B33)</f>
        <v>0</v>
      </c>
      <c r="F27" s="162">
        <f>IF(OR(A27&gt;'1. Inputs &amp; Scenarios'!$B$34,C27&lt;=0),0,MIN('1. Inputs &amp; Scenarios'!$B$21/'1. Inputs &amp; Scenarios'!$B$34,C27))</f>
        <v>0</v>
      </c>
      <c r="G27" s="162">
        <f t="shared" si="0"/>
        <v>0</v>
      </c>
      <c r="H27" s="162">
        <f t="shared" si="1"/>
        <v>0</v>
      </c>
      <c r="I27" s="159">
        <f t="shared" si="2"/>
        <v>99</v>
      </c>
      <c r="J27" s="159">
        <v>0</v>
      </c>
    </row>
    <row r="29" spans="1:10" ht="24" customHeight="1" x14ac:dyDescent="0.25">
      <c r="A29" s="187" t="s">
        <v>185</v>
      </c>
      <c r="B29" s="185"/>
      <c r="C29" s="185"/>
      <c r="D29" s="185"/>
      <c r="E29" s="185"/>
    </row>
    <row r="30" spans="1:10" ht="27.95" customHeight="1" x14ac:dyDescent="0.25">
      <c r="A30" s="163" t="s">
        <v>91</v>
      </c>
      <c r="B30" s="163" t="s">
        <v>186</v>
      </c>
      <c r="C30" s="163" t="s">
        <v>187</v>
      </c>
      <c r="D30" s="163" t="s">
        <v>188</v>
      </c>
      <c r="E30" s="163" t="s">
        <v>189</v>
      </c>
    </row>
    <row r="31" spans="1:10" ht="18" customHeight="1" x14ac:dyDescent="0.25">
      <c r="A31" s="155">
        <v>1</v>
      </c>
      <c r="B31" s="161">
        <f>'1. Inputs &amp; Scenarios'!B36</f>
        <v>8500000</v>
      </c>
      <c r="C31" s="161">
        <v>750000</v>
      </c>
      <c r="D31" s="161">
        <v>0</v>
      </c>
      <c r="E31" s="161">
        <f>C31+D31</f>
        <v>750000</v>
      </c>
    </row>
    <row r="32" spans="1:10" ht="18" customHeight="1" x14ac:dyDescent="0.25">
      <c r="A32" s="158">
        <v>2</v>
      </c>
      <c r="B32" s="162">
        <f>'1. Inputs &amp; Scenarios'!B36</f>
        <v>8500000</v>
      </c>
      <c r="C32" s="162">
        <v>750000</v>
      </c>
      <c r="D32" s="162">
        <v>0</v>
      </c>
      <c r="E32" s="162">
        <f t="shared" ref="E32:E50" si="4">E31+C32+D32</f>
        <v>1500000</v>
      </c>
    </row>
    <row r="33" spans="1:5" ht="18" customHeight="1" x14ac:dyDescent="0.25">
      <c r="A33" s="155">
        <v>3</v>
      </c>
      <c r="B33" s="161">
        <f>'1. Inputs &amp; Scenarios'!B36</f>
        <v>8500000</v>
      </c>
      <c r="C33" s="161">
        <v>750000</v>
      </c>
      <c r="D33" s="161">
        <v>0</v>
      </c>
      <c r="E33" s="161">
        <f t="shared" si="4"/>
        <v>2250000</v>
      </c>
    </row>
    <row r="34" spans="1:5" ht="18" customHeight="1" x14ac:dyDescent="0.25">
      <c r="A34" s="158">
        <v>4</v>
      </c>
      <c r="B34" s="162">
        <f>'1. Inputs &amp; Scenarios'!B36</f>
        <v>8500000</v>
      </c>
      <c r="C34" s="162">
        <v>750000</v>
      </c>
      <c r="D34" s="162">
        <v>0</v>
      </c>
      <c r="E34" s="162">
        <f t="shared" si="4"/>
        <v>3000000</v>
      </c>
    </row>
    <row r="35" spans="1:5" ht="18" customHeight="1" x14ac:dyDescent="0.25">
      <c r="A35" s="155">
        <v>5</v>
      </c>
      <c r="B35" s="161">
        <f>'1. Inputs &amp; Scenarios'!B36</f>
        <v>8500000</v>
      </c>
      <c r="C35" s="161">
        <v>750000</v>
      </c>
      <c r="D35" s="161">
        <v>0</v>
      </c>
      <c r="E35" s="161">
        <f t="shared" si="4"/>
        <v>3750000</v>
      </c>
    </row>
    <row r="36" spans="1:5" ht="18" customHeight="1" x14ac:dyDescent="0.25">
      <c r="A36" s="158">
        <v>6</v>
      </c>
      <c r="B36" s="162">
        <f>'1. Inputs &amp; Scenarios'!B36</f>
        <v>8500000</v>
      </c>
      <c r="C36" s="162">
        <v>1250000</v>
      </c>
      <c r="D36" s="162">
        <v>500000</v>
      </c>
      <c r="E36" s="162">
        <f t="shared" si="4"/>
        <v>5500000</v>
      </c>
    </row>
    <row r="37" spans="1:5" ht="18" customHeight="1" x14ac:dyDescent="0.25">
      <c r="A37" s="155">
        <v>7</v>
      </c>
      <c r="B37" s="161">
        <f>'1. Inputs &amp; Scenarios'!B36</f>
        <v>8500000</v>
      </c>
      <c r="C37" s="161">
        <v>1250000</v>
      </c>
      <c r="D37" s="161">
        <v>500000</v>
      </c>
      <c r="E37" s="161">
        <f t="shared" si="4"/>
        <v>7250000</v>
      </c>
    </row>
    <row r="38" spans="1:5" ht="18" customHeight="1" x14ac:dyDescent="0.25">
      <c r="A38" s="158">
        <v>8</v>
      </c>
      <c r="B38" s="162">
        <f>'1. Inputs &amp; Scenarios'!B36</f>
        <v>8500000</v>
      </c>
      <c r="C38" s="162">
        <v>1250000</v>
      </c>
      <c r="D38" s="162">
        <v>500000</v>
      </c>
      <c r="E38" s="162">
        <f t="shared" si="4"/>
        <v>9000000</v>
      </c>
    </row>
    <row r="39" spans="1:5" ht="18" customHeight="1" x14ac:dyDescent="0.25">
      <c r="A39" s="155">
        <v>9</v>
      </c>
      <c r="B39" s="161">
        <f>'1. Inputs &amp; Scenarios'!B36</f>
        <v>8500000</v>
      </c>
      <c r="C39" s="161">
        <v>1250000</v>
      </c>
      <c r="D39" s="161">
        <v>500000</v>
      </c>
      <c r="E39" s="161">
        <f t="shared" si="4"/>
        <v>10750000</v>
      </c>
    </row>
    <row r="40" spans="1:5" ht="18" customHeight="1" x14ac:dyDescent="0.25">
      <c r="A40" s="158">
        <v>10</v>
      </c>
      <c r="B40" s="162">
        <f>'1. Inputs &amp; Scenarios'!B36</f>
        <v>8500000</v>
      </c>
      <c r="C40" s="162">
        <v>1250000</v>
      </c>
      <c r="D40" s="162">
        <v>500000</v>
      </c>
      <c r="E40" s="162">
        <f t="shared" si="4"/>
        <v>12500000</v>
      </c>
    </row>
    <row r="41" spans="1:5" ht="18" customHeight="1" x14ac:dyDescent="0.25">
      <c r="A41" s="155">
        <v>11</v>
      </c>
      <c r="B41" s="161">
        <f>'1. Inputs &amp; Scenarios'!B36</f>
        <v>8500000</v>
      </c>
      <c r="C41" s="161">
        <v>1750000</v>
      </c>
      <c r="D41" s="161">
        <v>500000</v>
      </c>
      <c r="E41" s="161">
        <f t="shared" si="4"/>
        <v>14750000</v>
      </c>
    </row>
    <row r="42" spans="1:5" ht="18" customHeight="1" x14ac:dyDescent="0.25">
      <c r="A42" s="158">
        <v>12</v>
      </c>
      <c r="B42" s="162">
        <f>'1. Inputs &amp; Scenarios'!B36</f>
        <v>8500000</v>
      </c>
      <c r="C42" s="162">
        <v>1750000</v>
      </c>
      <c r="D42" s="162">
        <v>500000</v>
      </c>
      <c r="E42" s="162">
        <f t="shared" si="4"/>
        <v>17000000</v>
      </c>
    </row>
    <row r="43" spans="1:5" ht="18" customHeight="1" x14ac:dyDescent="0.25">
      <c r="A43" s="155">
        <v>13</v>
      </c>
      <c r="B43" s="161">
        <f>'1. Inputs &amp; Scenarios'!B36</f>
        <v>8500000</v>
      </c>
      <c r="C43" s="161">
        <v>1750000</v>
      </c>
      <c r="D43" s="161">
        <v>500000</v>
      </c>
      <c r="E43" s="161">
        <f t="shared" si="4"/>
        <v>19250000</v>
      </c>
    </row>
    <row r="44" spans="1:5" ht="18" customHeight="1" x14ac:dyDescent="0.25">
      <c r="A44" s="158">
        <v>14</v>
      </c>
      <c r="B44" s="162">
        <f>'1. Inputs &amp; Scenarios'!B36</f>
        <v>8500000</v>
      </c>
      <c r="C44" s="162">
        <v>1750000</v>
      </c>
      <c r="D44" s="162">
        <v>500000</v>
      </c>
      <c r="E44" s="162">
        <f t="shared" si="4"/>
        <v>21500000</v>
      </c>
    </row>
    <row r="45" spans="1:5" ht="18" customHeight="1" x14ac:dyDescent="0.25">
      <c r="A45" s="155">
        <v>15</v>
      </c>
      <c r="B45" s="161">
        <f>'1. Inputs &amp; Scenarios'!B36</f>
        <v>8500000</v>
      </c>
      <c r="C45" s="161">
        <v>1750000</v>
      </c>
      <c r="D45" s="161">
        <v>500000</v>
      </c>
      <c r="E45" s="161">
        <f t="shared" si="4"/>
        <v>23750000</v>
      </c>
    </row>
    <row r="46" spans="1:5" ht="18" customHeight="1" x14ac:dyDescent="0.25">
      <c r="A46" s="158">
        <v>16</v>
      </c>
      <c r="B46" s="162">
        <f>'1. Inputs &amp; Scenarios'!B36</f>
        <v>8500000</v>
      </c>
      <c r="C46" s="162">
        <v>2000000</v>
      </c>
      <c r="D46" s="162">
        <v>500000</v>
      </c>
      <c r="E46" s="162">
        <f t="shared" si="4"/>
        <v>26250000</v>
      </c>
    </row>
    <row r="47" spans="1:5" ht="18" customHeight="1" x14ac:dyDescent="0.25">
      <c r="A47" s="155">
        <v>17</v>
      </c>
      <c r="B47" s="161">
        <f>'1. Inputs &amp; Scenarios'!B36</f>
        <v>8500000</v>
      </c>
      <c r="C47" s="161">
        <v>2000000</v>
      </c>
      <c r="D47" s="161">
        <v>500000</v>
      </c>
      <c r="E47" s="161">
        <f t="shared" si="4"/>
        <v>28750000</v>
      </c>
    </row>
    <row r="48" spans="1:5" ht="18" customHeight="1" x14ac:dyDescent="0.25">
      <c r="A48" s="158">
        <v>18</v>
      </c>
      <c r="B48" s="162">
        <f>'1. Inputs &amp; Scenarios'!B36</f>
        <v>8500000</v>
      </c>
      <c r="C48" s="162">
        <v>2000000</v>
      </c>
      <c r="D48" s="162">
        <v>500000</v>
      </c>
      <c r="E48" s="162">
        <f t="shared" si="4"/>
        <v>31250000</v>
      </c>
    </row>
    <row r="49" spans="1:5" ht="18" customHeight="1" x14ac:dyDescent="0.25">
      <c r="A49" s="155">
        <v>19</v>
      </c>
      <c r="B49" s="161">
        <f>'1. Inputs &amp; Scenarios'!B36</f>
        <v>8500000</v>
      </c>
      <c r="C49" s="161">
        <v>0</v>
      </c>
      <c r="D49" s="161">
        <v>500000</v>
      </c>
      <c r="E49" s="161">
        <f t="shared" si="4"/>
        <v>31750000</v>
      </c>
    </row>
    <row r="50" spans="1:5" ht="18" customHeight="1" x14ac:dyDescent="0.25">
      <c r="A50" s="158">
        <v>20</v>
      </c>
      <c r="B50" s="162">
        <f>'1. Inputs &amp; Scenarios'!B36</f>
        <v>8500000</v>
      </c>
      <c r="C50" s="162">
        <v>0</v>
      </c>
      <c r="D50" s="162">
        <v>500000</v>
      </c>
      <c r="E50" s="162">
        <f t="shared" si="4"/>
        <v>32250000</v>
      </c>
    </row>
  </sheetData>
  <mergeCells count="5">
    <mergeCell ref="A29:E29"/>
    <mergeCell ref="A1:G1"/>
    <mergeCell ref="A2:G2"/>
    <mergeCell ref="A3:G3"/>
    <mergeCell ref="A4:G4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I42"/>
  <sheetViews>
    <sheetView showGridLines="0" topLeftCell="A26" workbookViewId="0">
      <selection activeCell="G17" sqref="G17"/>
    </sheetView>
  </sheetViews>
  <sheetFormatPr defaultRowHeight="15" x14ac:dyDescent="0.25"/>
  <cols>
    <col min="1" max="1" width="8" style="2" customWidth="1"/>
    <col min="2" max="2" width="10" style="2" customWidth="1"/>
    <col min="3" max="3" width="12" style="2" customWidth="1"/>
    <col min="4" max="8" width="16" style="2" customWidth="1"/>
    <col min="9" max="9" width="12" style="2" customWidth="1"/>
    <col min="10" max="10" width="3" style="2" customWidth="1"/>
    <col min="11" max="16384" width="9.140625" style="2"/>
  </cols>
  <sheetData>
    <row r="1" spans="1:9" ht="21" x14ac:dyDescent="0.25">
      <c r="A1" s="186" t="s">
        <v>21</v>
      </c>
      <c r="B1" s="185"/>
      <c r="C1" s="185"/>
      <c r="D1" s="185"/>
      <c r="E1" s="185"/>
      <c r="F1" s="185"/>
      <c r="G1" s="185"/>
    </row>
    <row r="2" spans="1:9" ht="15.75" x14ac:dyDescent="0.25">
      <c r="A2" s="192" t="s">
        <v>371</v>
      </c>
      <c r="B2" s="193"/>
      <c r="C2" s="193"/>
      <c r="D2" s="193"/>
      <c r="E2" s="193"/>
      <c r="F2" s="193"/>
      <c r="G2" s="193"/>
    </row>
    <row r="3" spans="1:9" x14ac:dyDescent="0.25">
      <c r="A3" s="188" t="s">
        <v>2</v>
      </c>
      <c r="B3" s="185"/>
      <c r="C3" s="185"/>
      <c r="D3" s="185"/>
      <c r="E3" s="185"/>
      <c r="F3" s="185"/>
      <c r="G3" s="185"/>
    </row>
    <row r="4" spans="1:9" x14ac:dyDescent="0.25">
      <c r="A4" s="184" t="s">
        <v>22</v>
      </c>
      <c r="B4" s="185"/>
      <c r="C4" s="185"/>
      <c r="D4" s="185"/>
      <c r="E4" s="185"/>
      <c r="F4" s="185"/>
      <c r="G4" s="185"/>
    </row>
    <row r="5" spans="1:9" x14ac:dyDescent="0.25">
      <c r="A5" s="188" t="s">
        <v>190</v>
      </c>
      <c r="B5" s="185"/>
      <c r="C5" s="185"/>
      <c r="D5" s="185"/>
      <c r="E5" s="185"/>
      <c r="F5" s="185"/>
      <c r="G5" s="185"/>
    </row>
    <row r="7" spans="1:9" ht="21.95" customHeight="1" x14ac:dyDescent="0.25">
      <c r="A7" s="163" t="s">
        <v>91</v>
      </c>
      <c r="B7" s="163" t="s">
        <v>149</v>
      </c>
      <c r="C7" s="163" t="s">
        <v>191</v>
      </c>
      <c r="D7" s="163" t="s">
        <v>192</v>
      </c>
      <c r="E7" s="163" t="s">
        <v>193</v>
      </c>
      <c r="F7" s="163" t="s">
        <v>194</v>
      </c>
      <c r="G7" s="163" t="s">
        <v>195</v>
      </c>
      <c r="H7" s="163" t="s">
        <v>172</v>
      </c>
      <c r="I7" s="163" t="s">
        <v>196</v>
      </c>
    </row>
    <row r="8" spans="1:9" ht="18" customHeight="1" x14ac:dyDescent="0.25">
      <c r="A8" s="155">
        <v>0</v>
      </c>
      <c r="B8" s="155">
        <f>'1. Inputs &amp; Scenarios'!B14</f>
        <v>2027</v>
      </c>
      <c r="C8" s="155" t="s">
        <v>197</v>
      </c>
      <c r="D8" s="164"/>
      <c r="E8" s="164"/>
      <c r="F8" s="164"/>
      <c r="G8" s="165">
        <f>-'1. Inputs &amp; Scenarios'!B22</f>
        <v>-145000000</v>
      </c>
      <c r="H8" s="165">
        <f>G8</f>
        <v>-145000000</v>
      </c>
      <c r="I8" s="164"/>
    </row>
    <row r="9" spans="1:9" ht="18" customHeight="1" x14ac:dyDescent="0.25">
      <c r="A9" s="158">
        <v>1</v>
      </c>
      <c r="B9" s="158">
        <f t="shared" ref="B9:B28" si="0">B8+1</f>
        <v>2028</v>
      </c>
      <c r="C9" s="160" t="str">
        <f t="shared" ref="C9:C28" si="1">IF(A9&lt;=6,"99%","5%")</f>
        <v>99%</v>
      </c>
      <c r="D9" s="162">
        <f>'5. Tax &amp; ITC'!B25</f>
        <v>70537500</v>
      </c>
      <c r="E9" s="162">
        <f>'5. Tax &amp; ITC'!E17*0.99*0.37</f>
        <v>50283832.5</v>
      </c>
      <c r="F9" s="162">
        <f>('6. Debt Engine'!D8-'6. Debt Engine'!G8-IF(A9&lt;=5,750000,IF(A9&lt;=10,1250000,0))-IF(AND(A9&gt;=6,A9&lt;=9),500000,0))*0.99</f>
        <v>10982399.999999998</v>
      </c>
      <c r="G9" s="162">
        <f t="shared" ref="G9:G28" si="2">D9+E9+F9</f>
        <v>131803732.5</v>
      </c>
      <c r="H9" s="162">
        <f t="shared" ref="H9:H28" si="3">H8+G9</f>
        <v>-13196267.5</v>
      </c>
      <c r="I9" s="160"/>
    </row>
    <row r="10" spans="1:9" ht="18" customHeight="1" x14ac:dyDescent="0.25">
      <c r="A10" s="155">
        <v>2</v>
      </c>
      <c r="B10" s="155">
        <f t="shared" si="0"/>
        <v>2029</v>
      </c>
      <c r="C10" s="157" t="str">
        <f t="shared" si="1"/>
        <v>99%</v>
      </c>
      <c r="D10" s="161">
        <v>0</v>
      </c>
      <c r="E10" s="161">
        <f>'5. Tax &amp; ITC'!E18*0.99*0.37</f>
        <v>9465192</v>
      </c>
      <c r="F10" s="161">
        <f>('6. Debt Engine'!D9-'6. Debt Engine'!G9-IF(A10&lt;=5,750000,IF(A10&lt;=10,1250000,0))-IF(AND(A10&gt;=6,A10&lt;=9),500000,0))*0.99</f>
        <v>11037551.25</v>
      </c>
      <c r="G10" s="161">
        <f t="shared" si="2"/>
        <v>20502743.25</v>
      </c>
      <c r="H10" s="161">
        <f t="shared" si="3"/>
        <v>7306475.75</v>
      </c>
      <c r="I10" s="157"/>
    </row>
    <row r="11" spans="1:9" ht="18" customHeight="1" x14ac:dyDescent="0.25">
      <c r="A11" s="158">
        <v>3</v>
      </c>
      <c r="B11" s="158">
        <f t="shared" si="0"/>
        <v>2030</v>
      </c>
      <c r="C11" s="160" t="str">
        <f t="shared" si="1"/>
        <v>99%</v>
      </c>
      <c r="D11" s="162">
        <v>0</v>
      </c>
      <c r="E11" s="162">
        <f>'5. Tax &amp; ITC'!E19*0.99*0.37</f>
        <v>5679115.2000000002</v>
      </c>
      <c r="F11" s="162">
        <f>('6. Debt Engine'!D10-'6. Debt Engine'!G10-IF(A11&lt;=5,750000,IF(A11&lt;=10,1250000,0))-IF(AND(A11&gt;=6,A11&lt;=9),500000,0))*0.99</f>
        <v>11093064.46875</v>
      </c>
      <c r="G11" s="162">
        <f t="shared" si="2"/>
        <v>16772179.668749999</v>
      </c>
      <c r="H11" s="162">
        <f t="shared" si="3"/>
        <v>24078655.418749999</v>
      </c>
      <c r="I11" s="160"/>
    </row>
    <row r="12" spans="1:9" ht="18" customHeight="1" x14ac:dyDescent="0.25">
      <c r="A12" s="155">
        <v>4</v>
      </c>
      <c r="B12" s="155">
        <f t="shared" si="0"/>
        <v>2031</v>
      </c>
      <c r="C12" s="157" t="str">
        <f t="shared" si="1"/>
        <v>99%</v>
      </c>
      <c r="D12" s="161">
        <v>0</v>
      </c>
      <c r="E12" s="161">
        <f>'5. Tax &amp; ITC'!E20*0.99*0.37</f>
        <v>3407469.12</v>
      </c>
      <c r="F12" s="161">
        <f>('6. Debt Engine'!D11-'6. Debt Engine'!G11-IF(A12&lt;=5,750000,IF(A12&lt;=10,1250000,0))-IF(AND(A12&gt;=6,A12&lt;=9),500000,0))*0.99</f>
        <v>11148843.734531254</v>
      </c>
      <c r="G12" s="161">
        <f t="shared" si="2"/>
        <v>14556312.854531255</v>
      </c>
      <c r="H12" s="161">
        <f t="shared" si="3"/>
        <v>38634968.273281254</v>
      </c>
      <c r="I12" s="157"/>
    </row>
    <row r="13" spans="1:9" ht="18" customHeight="1" x14ac:dyDescent="0.25">
      <c r="A13" s="158">
        <v>5</v>
      </c>
      <c r="B13" s="158">
        <f t="shared" si="0"/>
        <v>2032</v>
      </c>
      <c r="C13" s="160" t="str">
        <f t="shared" si="1"/>
        <v>99%</v>
      </c>
      <c r="D13" s="162">
        <v>0</v>
      </c>
      <c r="E13" s="162">
        <f>'5. Tax &amp; ITC'!E21*0.99*0.37</f>
        <v>3407469.12</v>
      </c>
      <c r="F13" s="162">
        <f>('6. Debt Engine'!D12-'6. Debt Engine'!G12-IF(A13&lt;=5,750000,IF(A13&lt;=10,1250000,0))-IF(AND(A13&gt;=6,A13&lt;=9),500000,0))*0.99</f>
        <v>11204792.221399222</v>
      </c>
      <c r="G13" s="162">
        <f t="shared" si="2"/>
        <v>14612261.341399223</v>
      </c>
      <c r="H13" s="162">
        <f t="shared" si="3"/>
        <v>53247229.614680476</v>
      </c>
      <c r="I13" s="160"/>
    </row>
    <row r="14" spans="1:9" ht="18" customHeight="1" x14ac:dyDescent="0.25">
      <c r="A14" s="155">
        <v>6</v>
      </c>
      <c r="B14" s="155">
        <f t="shared" si="0"/>
        <v>2033</v>
      </c>
      <c r="C14" s="157" t="str">
        <f t="shared" si="1"/>
        <v>99%</v>
      </c>
      <c r="D14" s="161">
        <v>0</v>
      </c>
      <c r="E14" s="161">
        <f>'5. Tax &amp; ITC'!E22*0.99*0.37</f>
        <v>1703734.56</v>
      </c>
      <c r="F14" s="161">
        <f>('6. Debt Engine'!D13-'6. Debt Engine'!G13-IF(A14&lt;=5,750000,IF(A14&lt;=10,1250000,0))-IF(AND(A14&gt;=6,A14&lt;=9),500000,0))*0.99</f>
        <v>11082759.161446454</v>
      </c>
      <c r="G14" s="161">
        <f t="shared" si="2"/>
        <v>12786493.721446455</v>
      </c>
      <c r="H14" s="161">
        <f t="shared" si="3"/>
        <v>66033723.336126931</v>
      </c>
      <c r="I14" s="157" t="s">
        <v>198</v>
      </c>
    </row>
    <row r="15" spans="1:9" ht="18" customHeight="1" x14ac:dyDescent="0.25">
      <c r="A15" s="158">
        <v>7</v>
      </c>
      <c r="B15" s="158">
        <f t="shared" si="0"/>
        <v>2034</v>
      </c>
      <c r="C15" s="160" t="str">
        <f t="shared" si="1"/>
        <v>5%</v>
      </c>
      <c r="D15" s="162">
        <v>0</v>
      </c>
      <c r="E15" s="162">
        <v>0</v>
      </c>
      <c r="F15" s="162">
        <f>('6. Debt Engine'!D14-'6. Debt Engine'!G14-IF(A15&lt;=5,750000,IF(A15&lt;=10,1250000,0))-IF(AND(A15&gt;=6,A15&lt;=9),500000,0))*0.05</f>
        <v>562226.05515817367</v>
      </c>
      <c r="G15" s="162">
        <f t="shared" si="2"/>
        <v>562226.05515817367</v>
      </c>
      <c r="H15" s="162">
        <f t="shared" si="3"/>
        <v>66595949.391285107</v>
      </c>
      <c r="I15" s="160"/>
    </row>
    <row r="16" spans="1:9" ht="18" customHeight="1" x14ac:dyDescent="0.25">
      <c r="A16" s="155">
        <v>8</v>
      </c>
      <c r="B16" s="155">
        <f t="shared" si="0"/>
        <v>2035</v>
      </c>
      <c r="C16" s="157" t="str">
        <f t="shared" si="1"/>
        <v>5%</v>
      </c>
      <c r="D16" s="161">
        <v>0</v>
      </c>
      <c r="E16" s="161">
        <v>0</v>
      </c>
      <c r="F16" s="161">
        <f>('6. Debt Engine'!D15-'6. Debt Engine'!G15-IF(A16&lt;=5,750000,IF(A16&lt;=10,1250000,0))-IF(AND(A16&gt;=6,A16&lt;=9),500000,0))*0.05</f>
        <v>564714.04571118043</v>
      </c>
      <c r="G16" s="161">
        <f t="shared" si="2"/>
        <v>564714.04571118043</v>
      </c>
      <c r="H16" s="161">
        <f t="shared" si="3"/>
        <v>67160663.436996281</v>
      </c>
      <c r="I16" s="157"/>
    </row>
    <row r="17" spans="1:9" ht="18" customHeight="1" x14ac:dyDescent="0.25">
      <c r="A17" s="158">
        <v>9</v>
      </c>
      <c r="B17" s="158">
        <f t="shared" si="0"/>
        <v>2036</v>
      </c>
      <c r="C17" s="160" t="str">
        <f t="shared" si="1"/>
        <v>5%</v>
      </c>
      <c r="D17" s="162">
        <v>0</v>
      </c>
      <c r="E17" s="162">
        <v>0</v>
      </c>
      <c r="F17" s="162">
        <f>('6. Debt Engine'!D16-'6. Debt Engine'!G16-IF(A17&lt;=5,750000,IF(A17&lt;=10,1250000,0))-IF(AND(A17&gt;=6,A17&lt;=9),500000,0))*0.05</f>
        <v>567194.13858623034</v>
      </c>
      <c r="G17" s="162">
        <f t="shared" si="2"/>
        <v>567194.13858623034</v>
      </c>
      <c r="H17" s="162">
        <f t="shared" si="3"/>
        <v>67727857.575582504</v>
      </c>
      <c r="I17" s="160"/>
    </row>
    <row r="18" spans="1:9" ht="18" customHeight="1" x14ac:dyDescent="0.25">
      <c r="A18" s="155">
        <v>10</v>
      </c>
      <c r="B18" s="155">
        <f t="shared" si="0"/>
        <v>2037</v>
      </c>
      <c r="C18" s="157" t="str">
        <f t="shared" si="1"/>
        <v>5%</v>
      </c>
      <c r="D18" s="161">
        <v>0</v>
      </c>
      <c r="E18" s="161">
        <v>0</v>
      </c>
      <c r="F18" s="161">
        <f>('6. Debt Engine'!D17-'6. Debt Engine'!G17-IF(A18&lt;=5,750000,IF(A18&lt;=10,1250000,0))-IF(AND(A18&gt;=6,A18&lt;=9),500000,0))*0.05</f>
        <v>594661.13264965417</v>
      </c>
      <c r="G18" s="161">
        <f t="shared" si="2"/>
        <v>594661.13264965417</v>
      </c>
      <c r="H18" s="161">
        <f t="shared" si="3"/>
        <v>68322518.708232164</v>
      </c>
      <c r="I18" s="157"/>
    </row>
    <row r="19" spans="1:9" ht="18" customHeight="1" x14ac:dyDescent="0.25">
      <c r="A19" s="158">
        <v>11</v>
      </c>
      <c r="B19" s="158">
        <f t="shared" si="0"/>
        <v>2038</v>
      </c>
      <c r="C19" s="160" t="str">
        <f t="shared" si="1"/>
        <v>5%</v>
      </c>
      <c r="D19" s="162">
        <v>0</v>
      </c>
      <c r="E19" s="162">
        <v>0</v>
      </c>
      <c r="F19" s="162">
        <f>('6. Debt Engine'!D18-'6. Debt Engine'!G18-IF(A19&lt;=5,750000,IF(A19&lt;=10,1250000,0))-IF(AND(A19&gt;=6,A19&lt;=9),500000,0))*0.05</f>
        <v>698967.56487535452</v>
      </c>
      <c r="G19" s="162">
        <f t="shared" si="2"/>
        <v>698967.56487535452</v>
      </c>
      <c r="H19" s="162">
        <f t="shared" si="3"/>
        <v>69021486.273107514</v>
      </c>
      <c r="I19" s="160"/>
    </row>
    <row r="20" spans="1:9" ht="18" customHeight="1" x14ac:dyDescent="0.25">
      <c r="A20" s="155">
        <v>12</v>
      </c>
      <c r="B20" s="155">
        <f t="shared" si="0"/>
        <v>2039</v>
      </c>
      <c r="C20" s="157" t="str">
        <f t="shared" si="1"/>
        <v>5%</v>
      </c>
      <c r="D20" s="161">
        <v>0</v>
      </c>
      <c r="E20" s="161">
        <v>0</v>
      </c>
      <c r="F20" s="161">
        <f>('6. Debt Engine'!D19-'6. Debt Engine'!G19-IF(A20&lt;=5,750000,IF(A20&lt;=10,1250000,0))-IF(AND(A20&gt;=6,A20&lt;=9),500000,0))*0.05</f>
        <v>701073.21709846589</v>
      </c>
      <c r="G20" s="161">
        <f t="shared" si="2"/>
        <v>701073.21709846589</v>
      </c>
      <c r="H20" s="161">
        <f t="shared" si="3"/>
        <v>69722559.490205973</v>
      </c>
      <c r="I20" s="157"/>
    </row>
    <row r="21" spans="1:9" ht="18" customHeight="1" x14ac:dyDescent="0.25">
      <c r="A21" s="158">
        <v>13</v>
      </c>
      <c r="B21" s="158">
        <f t="shared" si="0"/>
        <v>2040</v>
      </c>
      <c r="C21" s="160" t="str">
        <f t="shared" si="1"/>
        <v>5%</v>
      </c>
      <c r="D21" s="162">
        <v>0</v>
      </c>
      <c r="E21" s="162">
        <v>0</v>
      </c>
      <c r="F21" s="162">
        <f>('6. Debt Engine'!D20-'6. Debt Engine'!G20-IF(A21&lt;=5,750000,IF(A21&lt;=10,1250000,0))-IF(AND(A21&gt;=6,A21&lt;=9),500000,0))*0.05</f>
        <v>703153.23439851624</v>
      </c>
      <c r="G21" s="162">
        <f t="shared" si="2"/>
        <v>703153.23439851624</v>
      </c>
      <c r="H21" s="162">
        <f t="shared" si="3"/>
        <v>70425712.724604487</v>
      </c>
      <c r="I21" s="160"/>
    </row>
    <row r="22" spans="1:9" ht="18" customHeight="1" x14ac:dyDescent="0.25">
      <c r="A22" s="155">
        <v>14</v>
      </c>
      <c r="B22" s="155">
        <f t="shared" si="0"/>
        <v>2041</v>
      </c>
      <c r="C22" s="157" t="str">
        <f t="shared" si="1"/>
        <v>5%</v>
      </c>
      <c r="D22" s="161">
        <v>0</v>
      </c>
      <c r="E22" s="161">
        <v>0</v>
      </c>
      <c r="F22" s="161">
        <f>('6. Debt Engine'!D21-'6. Debt Engine'!G21-IF(A22&lt;=5,750000,IF(A22&lt;=10,1250000,0))-IF(AND(A22&gt;=6,A22&lt;=9),500000,0))*0.05</f>
        <v>705202.11750194267</v>
      </c>
      <c r="G22" s="161">
        <f t="shared" si="2"/>
        <v>705202.11750194267</v>
      </c>
      <c r="H22" s="161">
        <f t="shared" si="3"/>
        <v>71130914.842106432</v>
      </c>
      <c r="I22" s="157"/>
    </row>
    <row r="23" spans="1:9" ht="18" customHeight="1" x14ac:dyDescent="0.25">
      <c r="A23" s="158">
        <v>15</v>
      </c>
      <c r="B23" s="158">
        <f t="shared" si="0"/>
        <v>2042</v>
      </c>
      <c r="C23" s="160" t="str">
        <f t="shared" si="1"/>
        <v>5%</v>
      </c>
      <c r="D23" s="162">
        <v>0</v>
      </c>
      <c r="E23" s="162">
        <v>0</v>
      </c>
      <c r="F23" s="162">
        <f>('6. Debt Engine'!D22-'6. Debt Engine'!G22-IF(A23&lt;=5,750000,IF(A23&lt;=10,1250000,0))-IF(AND(A23&gt;=6,A23&lt;=9),500000,0))*0.05</f>
        <v>707214.29767074506</v>
      </c>
      <c r="G23" s="162">
        <f t="shared" si="2"/>
        <v>707214.29767074506</v>
      </c>
      <c r="H23" s="162">
        <f t="shared" si="3"/>
        <v>71838129.139777184</v>
      </c>
      <c r="I23" s="160"/>
    </row>
    <row r="24" spans="1:9" ht="18" customHeight="1" x14ac:dyDescent="0.25">
      <c r="A24" s="155">
        <v>16</v>
      </c>
      <c r="B24" s="155">
        <f t="shared" si="0"/>
        <v>2043</v>
      </c>
      <c r="C24" s="157" t="str">
        <f t="shared" si="1"/>
        <v>5%</v>
      </c>
      <c r="D24" s="161">
        <v>0</v>
      </c>
      <c r="E24" s="161">
        <v>0</v>
      </c>
      <c r="F24" s="161">
        <f>('6. Debt Engine'!D23-'6. Debt Engine'!G23-IF(A24&lt;=5,750000,IF(A24&lt;=10,1250000,0))-IF(AND(A24&gt;=6,A24&lt;=9),500000,0))*0.05</f>
        <v>746979.32610183733</v>
      </c>
      <c r="G24" s="161">
        <f t="shared" si="2"/>
        <v>746979.32610183733</v>
      </c>
      <c r="H24" s="161">
        <f t="shared" si="3"/>
        <v>72585108.465879023</v>
      </c>
      <c r="I24" s="157"/>
    </row>
    <row r="25" spans="1:9" ht="18" customHeight="1" x14ac:dyDescent="0.25">
      <c r="A25" s="158">
        <v>17</v>
      </c>
      <c r="B25" s="158">
        <f t="shared" si="0"/>
        <v>2044</v>
      </c>
      <c r="C25" s="160" t="str">
        <f t="shared" si="1"/>
        <v>5%</v>
      </c>
      <c r="D25" s="162">
        <v>0</v>
      </c>
      <c r="E25" s="162">
        <v>0</v>
      </c>
      <c r="F25" s="162">
        <f>('6. Debt Engine'!D24-'6. Debt Engine'!G24-IF(A25&lt;=5,750000,IF(A25&lt;=10,1250000,0))-IF(AND(A25&gt;=6,A25&lt;=9),500000,0))*0.05</f>
        <v>748598.53140848549</v>
      </c>
      <c r="G25" s="162">
        <f t="shared" si="2"/>
        <v>748598.53140848549</v>
      </c>
      <c r="H25" s="162">
        <f t="shared" si="3"/>
        <v>73333706.997287512</v>
      </c>
      <c r="I25" s="160"/>
    </row>
    <row r="26" spans="1:9" ht="18" customHeight="1" x14ac:dyDescent="0.25">
      <c r="A26" s="155">
        <v>18</v>
      </c>
      <c r="B26" s="155">
        <f t="shared" si="0"/>
        <v>2045</v>
      </c>
      <c r="C26" s="157" t="str">
        <f t="shared" si="1"/>
        <v>5%</v>
      </c>
      <c r="D26" s="161">
        <v>0</v>
      </c>
      <c r="E26" s="161">
        <v>0</v>
      </c>
      <c r="F26" s="161">
        <f>('6. Debt Engine'!D25-'6. Debt Engine'!G25-IF(A26&lt;=5,750000,IF(A26&lt;=10,1250000,0))-IF(AND(A26&gt;=6,A26&lt;=9),500000,0))*0.05</f>
        <v>750167.09898063971</v>
      </c>
      <c r="G26" s="161">
        <f t="shared" si="2"/>
        <v>750167.09898063971</v>
      </c>
      <c r="H26" s="161">
        <f t="shared" si="3"/>
        <v>74083874.096268147</v>
      </c>
      <c r="I26" s="157"/>
    </row>
    <row r="27" spans="1:9" ht="18" customHeight="1" x14ac:dyDescent="0.25">
      <c r="A27" s="158">
        <v>19</v>
      </c>
      <c r="B27" s="158">
        <f t="shared" si="0"/>
        <v>2046</v>
      </c>
      <c r="C27" s="160" t="str">
        <f t="shared" si="1"/>
        <v>5%</v>
      </c>
      <c r="D27" s="162">
        <v>0</v>
      </c>
      <c r="E27" s="162">
        <v>0</v>
      </c>
      <c r="F27" s="162">
        <f>'6. Debt Engine'!D26*0.05</f>
        <v>1085012.4450231739</v>
      </c>
      <c r="G27" s="162">
        <f t="shared" si="2"/>
        <v>1085012.4450231739</v>
      </c>
      <c r="H27" s="162">
        <f t="shared" si="3"/>
        <v>75168886.541291326</v>
      </c>
      <c r="I27" s="160"/>
    </row>
    <row r="28" spans="1:9" ht="18" customHeight="1" x14ac:dyDescent="0.25">
      <c r="A28" s="155">
        <v>20</v>
      </c>
      <c r="B28" s="155">
        <f t="shared" si="0"/>
        <v>2047</v>
      </c>
      <c r="C28" s="157" t="str">
        <f t="shared" si="1"/>
        <v>5%</v>
      </c>
      <c r="D28" s="161">
        <v>0</v>
      </c>
      <c r="E28" s="161">
        <v>0</v>
      </c>
      <c r="F28" s="161">
        <f>'6. Debt Engine'!D27*0.05</f>
        <v>1064795.2354337962</v>
      </c>
      <c r="G28" s="161">
        <f t="shared" si="2"/>
        <v>1064795.2354337962</v>
      </c>
      <c r="H28" s="161">
        <f t="shared" si="3"/>
        <v>76233681.776725128</v>
      </c>
      <c r="I28" s="157"/>
    </row>
    <row r="29" spans="1:9" ht="18" customHeight="1" x14ac:dyDescent="0.25">
      <c r="A29" s="28" t="s">
        <v>199</v>
      </c>
    </row>
    <row r="30" spans="1:9" ht="53.25" customHeight="1" x14ac:dyDescent="0.25">
      <c r="A30" s="199" t="s">
        <v>200</v>
      </c>
      <c r="B30" s="199"/>
      <c r="C30" s="199"/>
      <c r="D30" s="199"/>
      <c r="E30" s="199"/>
      <c r="F30" s="199"/>
      <c r="G30" s="199"/>
      <c r="H30" s="199"/>
      <c r="I30" s="199"/>
    </row>
    <row r="31" spans="1:9" ht="24" customHeight="1" x14ac:dyDescent="0.25">
      <c r="A31" s="187" t="s">
        <v>201</v>
      </c>
      <c r="B31" s="185"/>
      <c r="C31" s="185"/>
      <c r="D31" s="185"/>
      <c r="E31" s="185"/>
    </row>
    <row r="32" spans="1:9" ht="18" customHeight="1" x14ac:dyDescent="0.25">
      <c r="A32" s="197" t="s">
        <v>202</v>
      </c>
      <c r="B32" s="185"/>
      <c r="C32" s="185"/>
      <c r="D32" s="29">
        <f>'1. Inputs &amp; Scenarios'!B22</f>
        <v>145000000</v>
      </c>
    </row>
    <row r="33" spans="1:5" ht="18" customHeight="1" x14ac:dyDescent="0.25">
      <c r="A33" s="197" t="s">
        <v>203</v>
      </c>
      <c r="B33" s="185"/>
      <c r="C33" s="185"/>
      <c r="D33" s="29">
        <f>'5. Tax &amp; ITC'!B25</f>
        <v>70537500</v>
      </c>
    </row>
    <row r="34" spans="1:5" ht="18" customHeight="1" x14ac:dyDescent="0.25">
      <c r="A34" s="197" t="s">
        <v>204</v>
      </c>
      <c r="B34" s="185"/>
      <c r="C34" s="185"/>
      <c r="D34" s="29">
        <f>SUM(E9:E14)</f>
        <v>73946812.500000015</v>
      </c>
    </row>
    <row r="35" spans="1:5" ht="18" customHeight="1" x14ac:dyDescent="0.25">
      <c r="A35" s="197" t="s">
        <v>205</v>
      </c>
      <c r="B35" s="185"/>
      <c r="C35" s="185"/>
      <c r="D35" s="29">
        <f>SUM(F9:F14)</f>
        <v>66549410.836126924</v>
      </c>
    </row>
    <row r="36" spans="1:5" ht="18" customHeight="1" x14ac:dyDescent="0.25">
      <c r="A36" s="197" t="s">
        <v>206</v>
      </c>
      <c r="B36" s="185"/>
      <c r="C36" s="185"/>
      <c r="D36" s="29">
        <f>'1. Inputs &amp; Scenarios'!B25</f>
        <v>20000000</v>
      </c>
    </row>
    <row r="37" spans="1:5" ht="18" customHeight="1" x14ac:dyDescent="0.25">
      <c r="A37" s="197" t="s">
        <v>207</v>
      </c>
      <c r="B37" s="185"/>
      <c r="C37" s="185"/>
      <c r="D37" s="29">
        <f>'3. Construction &amp; S&amp;U'!B28</f>
        <v>5000000</v>
      </c>
    </row>
    <row r="38" spans="1:5" ht="6" customHeight="1" x14ac:dyDescent="0.25">
      <c r="D38" s="30"/>
    </row>
    <row r="39" spans="1:5" ht="24" customHeight="1" x14ac:dyDescent="0.25">
      <c r="A39" s="187" t="s">
        <v>208</v>
      </c>
      <c r="B39" s="185"/>
      <c r="C39" s="185"/>
      <c r="D39" s="185"/>
      <c r="E39" s="185"/>
    </row>
    <row r="40" spans="1:5" ht="18" customHeight="1" x14ac:dyDescent="0.25">
      <c r="A40" s="31" t="s">
        <v>209</v>
      </c>
      <c r="B40" s="31"/>
      <c r="C40" s="31"/>
      <c r="D40" s="32">
        <f>IRR(G8:G28)</f>
        <v>0.23367241265702954</v>
      </c>
    </row>
    <row r="41" spans="1:5" ht="18" customHeight="1" x14ac:dyDescent="0.25">
      <c r="A41" s="31" t="s">
        <v>210</v>
      </c>
      <c r="B41" s="31"/>
      <c r="C41" s="31"/>
      <c r="D41" s="32">
        <f>'1. Inputs &amp; Scenarios'!B39</f>
        <v>7.0000000000000007E-2</v>
      </c>
    </row>
    <row r="42" spans="1:5" ht="18" customHeight="1" x14ac:dyDescent="0.25">
      <c r="A42" s="31" t="s">
        <v>211</v>
      </c>
      <c r="D42" s="33">
        <f>D40-D41</f>
        <v>0.16367241265702953</v>
      </c>
    </row>
  </sheetData>
  <mergeCells count="14">
    <mergeCell ref="A1:G1"/>
    <mergeCell ref="A2:G2"/>
    <mergeCell ref="A39:E39"/>
    <mergeCell ref="A32:C32"/>
    <mergeCell ref="A37:C37"/>
    <mergeCell ref="A36:C36"/>
    <mergeCell ref="A35:C35"/>
    <mergeCell ref="A31:E31"/>
    <mergeCell ref="A34:C34"/>
    <mergeCell ref="A30:I30"/>
    <mergeCell ref="A33:C33"/>
    <mergeCell ref="A5:G5"/>
    <mergeCell ref="A3:G3"/>
    <mergeCell ref="A4:G4"/>
  </mergeCells>
  <pageMargins left="0.75" right="0.75" top="1" bottom="1" header="0.5" footer="0.5"/>
  <headerFooter>
    <oddFooter>&amp;C&amp;8 Illustrative model | Clean Power Whisperer | cleanpowerwhisperer.ai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Guide</vt:lpstr>
      <vt:lpstr>0. Dashboard</vt:lpstr>
      <vt:lpstr>1. Inputs &amp; Scenarios</vt:lpstr>
      <vt:lpstr>2. Technical Engine</vt:lpstr>
      <vt:lpstr>3. Construction &amp; S&amp;U</vt:lpstr>
      <vt:lpstr>4. Revenue &amp; OpEx</vt:lpstr>
      <vt:lpstr>5. Tax &amp; ITC</vt:lpstr>
      <vt:lpstr>6. Debt Engine</vt:lpstr>
      <vt:lpstr>7. TE Flip</vt:lpstr>
      <vt:lpstr>8. Cash Waterfall</vt:lpstr>
      <vt:lpstr>9. Covenants</vt:lpstr>
      <vt:lpstr>10. Insurance &amp; PML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 Ngo</cp:lastModifiedBy>
  <dcterms:created xsi:type="dcterms:W3CDTF">2026-02-11T20:18:20Z</dcterms:created>
  <dcterms:modified xsi:type="dcterms:W3CDTF">2026-02-14T20:36:10Z</dcterms:modified>
</cp:coreProperties>
</file>