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business\SBG\calculation_iron_addition\riic_web\"/>
    </mc:Choice>
  </mc:AlternateContent>
  <bookViews>
    <workbookView xWindow="0" yWindow="0" windowWidth="9600" windowHeight="3435"/>
  </bookViews>
  <sheets>
    <sheet name="RIIC Calculator Basic" sheetId="92" r:id="rId1"/>
    <sheet name="RIIC Calculator Light" sheetId="93" r:id="rId2"/>
    <sheet name="RIIC Calculator Standard" sheetId="4" r:id="rId3"/>
    <sheet name="Tools - Info" sheetId="5" r:id="rId4"/>
    <sheet name="text_translations" sheetId="20" state="hidden" r:id="rId5"/>
    <sheet name="basis" sheetId="1" state="hidden" r:id="rId6"/>
  </sheets>
  <definedNames>
    <definedName name="fact_kg2lb" localSheetId="0">'RIIC Calculator Basic'!$M$221</definedName>
    <definedName name="fact_kg2lb" localSheetId="1">'RIIC Calculator Light'!$M$221</definedName>
    <definedName name="fact_kg2lb">'RIIC Calculator Standard'!$M$221</definedName>
    <definedName name="fmt_dec_0" localSheetId="0">'RIIC Calculator Basic'!$X$17</definedName>
    <definedName name="fmt_dec_0" localSheetId="1">'RIIC Calculator Light'!$X$17</definedName>
    <definedName name="fmt_dec_0">'RIIC Calculator Standard'!$X$17</definedName>
    <definedName name="fmt_dec_1" localSheetId="0">'RIIC Calculator Basic'!$X$18</definedName>
    <definedName name="fmt_dec_1" localSheetId="1">'RIIC Calculator Light'!$X$18</definedName>
    <definedName name="fmt_dec_1">'RIIC Calculator Standard'!$X$18</definedName>
    <definedName name="fmt_dec_2" localSheetId="0">'RIIC Calculator Basic'!$X$19</definedName>
    <definedName name="fmt_dec_2" localSheetId="1">'RIIC Calculator Light'!$X$19</definedName>
    <definedName name="fmt_dec_2">'RIIC Calculator Standard'!$X$19</definedName>
    <definedName name="fmt_dec_3" localSheetId="0">'RIIC Calculator Basic'!$X$20</definedName>
    <definedName name="fmt_dec_3" localSheetId="1">'RIIC Calculator Light'!$X$20</definedName>
    <definedName name="fmt_dec_3">'RIIC Calculator Standard'!$X$20</definedName>
    <definedName name="fmt_dec_4" localSheetId="0">'RIIC Calculator Basic'!$X$21</definedName>
    <definedName name="fmt_dec_4" localSheetId="1">'RIIC Calculator Light'!$X$21</definedName>
    <definedName name="fmt_dec_4">'RIIC Calculator Standard'!$X$21</definedName>
    <definedName name="fmt_dec_5" localSheetId="0">'RIIC Calculator Basic'!$X$22</definedName>
    <definedName name="fmt_dec_5" localSheetId="1">'RIIC Calculator Light'!$X$22</definedName>
    <definedName name="fmt_dec_5">'RIIC Calculator Standard'!$X$22</definedName>
    <definedName name="fmt_pct_0" localSheetId="0">'RIIC Calculator Basic'!$X$23</definedName>
    <definedName name="fmt_pct_0" localSheetId="1">'RIIC Calculator Light'!$X$23</definedName>
    <definedName name="fmt_pct_0">'RIIC Calculator Standard'!$X$23</definedName>
    <definedName name="fmt_pct_1" localSheetId="0">'RIIC Calculator Basic'!$X$24</definedName>
    <definedName name="fmt_pct_1" localSheetId="1">'RIIC Calculator Light'!$X$24</definedName>
    <definedName name="fmt_pct_1">'RIIC Calculator Standard'!$X$24</definedName>
    <definedName name="fmt_pct_2" localSheetId="0">'RIIC Calculator Basic'!$X$25</definedName>
    <definedName name="fmt_pct_2" localSheetId="1">'RIIC Calculator Light'!$X$25</definedName>
    <definedName name="fmt_pct_2">'RIIC Calculator Standard'!$X$25</definedName>
    <definedName name="is_liquid" localSheetId="0">'RIIC Calculator Basic'!$AL$158</definedName>
    <definedName name="is_liquid" localSheetId="1">'RIIC Calculator Light'!$AL$158</definedName>
    <definedName name="is_liquid">'RIIC Calculator Standard'!$AL$158</definedName>
    <definedName name="_xlnm.Print_Area" localSheetId="0">'RIIC Calculator Basic'!$B$16:$M$74</definedName>
    <definedName name="_xlnm.Print_Area" localSheetId="1">'RIIC Calculator Light'!$B$16:$M$74</definedName>
    <definedName name="_xlnm.Print_Area" localSheetId="2">'RIIC Calculator Standard'!$B$16:$M$74</definedName>
    <definedName name="_xlnm.Print_Area" localSheetId="3">'Tools - Info'!$I$62:$R$96</definedName>
    <definedName name="SI_unit" localSheetId="0">'RIIC Calculator Basic'!$AK$140</definedName>
    <definedName name="SI_unit" localSheetId="1">'RIIC Calculator Light'!$AK$140</definedName>
    <definedName name="SI_unit">'RIIC Calculator Standard'!$AK$140</definedName>
    <definedName name="update_trigger" localSheetId="0">'RIIC Calculator Basic'!$X$13</definedName>
    <definedName name="update_trigger" localSheetId="1">'RIIC Calculator Light'!$X$13</definedName>
    <definedName name="update_trigger">'RIIC Calculator Standard'!$X$13</definedName>
  </definedNames>
  <calcPr calcId="152511"/>
</workbook>
</file>

<file path=xl/calcChain.xml><?xml version="1.0" encoding="utf-8"?>
<calcChain xmlns="http://schemas.openxmlformats.org/spreadsheetml/2006/main">
  <c r="M252" i="93" l="1"/>
  <c r="I240" i="93"/>
  <c r="I238" i="93"/>
  <c r="I234" i="93"/>
  <c r="F226" i="93"/>
  <c r="D223" i="93"/>
  <c r="M221" i="93"/>
  <c r="F219" i="93"/>
  <c r="I239" i="93" s="1"/>
  <c r="F216" i="93"/>
  <c r="I236" i="93" s="1"/>
  <c r="F213" i="93"/>
  <c r="M212" i="93"/>
  <c r="M211" i="93"/>
  <c r="F211" i="93"/>
  <c r="AG163" i="93"/>
  <c r="AI161" i="93"/>
  <c r="AJ161" i="93" s="1"/>
  <c r="AG161" i="93"/>
  <c r="AG158" i="93"/>
  <c r="AM157" i="93"/>
  <c r="AK157" i="93"/>
  <c r="AM153" i="93"/>
  <c r="AM152" i="93"/>
  <c r="AM150" i="93"/>
  <c r="AI150" i="93"/>
  <c r="AM149" i="93"/>
  <c r="AI146" i="93"/>
  <c r="AQ145" i="93"/>
  <c r="AP145" i="93"/>
  <c r="AK145" i="93"/>
  <c r="AG145" i="93"/>
  <c r="AJ144" i="93"/>
  <c r="AJ153" i="93" s="1"/>
  <c r="AI144" i="93"/>
  <c r="AH144" i="93"/>
  <c r="AI153" i="93" s="1"/>
  <c r="AH141" i="93"/>
  <c r="AK140" i="93"/>
  <c r="AH140" i="93"/>
  <c r="Y131" i="93"/>
  <c r="AC131" i="93" s="1"/>
  <c r="Z131" i="93" s="1"/>
  <c r="V131" i="93"/>
  <c r="Y130" i="93"/>
  <c r="AC130" i="93" s="1"/>
  <c r="Z130" i="93" s="1"/>
  <c r="V130" i="93"/>
  <c r="Y129" i="93"/>
  <c r="AB129" i="93" s="1"/>
  <c r="Z129" i="93" s="1"/>
  <c r="V129" i="93"/>
  <c r="Y128" i="93"/>
  <c r="AC128" i="93" s="1"/>
  <c r="Z128" i="93" s="1"/>
  <c r="I23" i="93" s="1"/>
  <c r="V128" i="93"/>
  <c r="AK127" i="93"/>
  <c r="Y127" i="93"/>
  <c r="AC127" i="93" s="1"/>
  <c r="Z127" i="93" s="1"/>
  <c r="V127" i="93"/>
  <c r="Y126" i="93"/>
  <c r="AB126" i="93" s="1"/>
  <c r="Z126" i="93" s="1"/>
  <c r="V126" i="93"/>
  <c r="AI125" i="93"/>
  <c r="Y125" i="93"/>
  <c r="AC125" i="93" s="1"/>
  <c r="V125" i="93"/>
  <c r="AI124" i="93"/>
  <c r="AE124" i="93"/>
  <c r="AE132" i="93" s="1"/>
  <c r="AL128" i="93" s="1"/>
  <c r="AL129" i="93" s="1"/>
  <c r="AL130" i="93" s="1"/>
  <c r="Y124" i="93"/>
  <c r="AC124" i="93" s="1"/>
  <c r="Z124" i="93" s="1"/>
  <c r="V124" i="93"/>
  <c r="AI123" i="93"/>
  <c r="M26" i="93" s="1"/>
  <c r="AD123" i="93"/>
  <c r="AD132" i="93" s="1"/>
  <c r="Y123" i="93"/>
  <c r="AB123" i="93" s="1"/>
  <c r="V123" i="93"/>
  <c r="AI122" i="93"/>
  <c r="AE121" i="93"/>
  <c r="AC121" i="93"/>
  <c r="AB118" i="93"/>
  <c r="G256" i="93" s="1"/>
  <c r="V110" i="93"/>
  <c r="AB109" i="93"/>
  <c r="AB110" i="93" s="1"/>
  <c r="V109" i="93"/>
  <c r="AB107" i="93"/>
  <c r="AC107" i="93" s="1"/>
  <c r="AB106" i="93"/>
  <c r="K68" i="93"/>
  <c r="K62" i="93"/>
  <c r="D61" i="93"/>
  <c r="D59" i="93"/>
  <c r="D58" i="93"/>
  <c r="L57" i="93"/>
  <c r="D56" i="93"/>
  <c r="D55" i="93"/>
  <c r="D50" i="93"/>
  <c r="D44" i="93"/>
  <c r="I43" i="93"/>
  <c r="U38" i="93"/>
  <c r="K38" i="93"/>
  <c r="D34" i="93"/>
  <c r="M28" i="93"/>
  <c r="M27" i="93"/>
  <c r="K25" i="93"/>
  <c r="I24" i="93"/>
  <c r="C24" i="93"/>
  <c r="M23" i="93"/>
  <c r="C23" i="93"/>
  <c r="K21" i="93"/>
  <c r="G21" i="93"/>
  <c r="D17" i="93"/>
  <c r="C17" i="93"/>
  <c r="C50" i="93" s="1"/>
  <c r="M16" i="93"/>
  <c r="B6" i="93" s="1"/>
  <c r="C16" i="93"/>
  <c r="X13" i="93"/>
  <c r="U12" i="93"/>
  <c r="B10" i="93"/>
  <c r="B8" i="93"/>
  <c r="B7" i="93"/>
  <c r="O3" i="93"/>
  <c r="N3" i="93"/>
  <c r="L3" i="93"/>
  <c r="J3" i="93"/>
  <c r="G3" i="93"/>
  <c r="E3" i="93"/>
  <c r="N2" i="93"/>
  <c r="M2" i="93"/>
  <c r="M3" i="93" s="1"/>
  <c r="L2" i="93"/>
  <c r="K2" i="93"/>
  <c r="K3" i="93" s="1"/>
  <c r="J2" i="93"/>
  <c r="I2" i="93"/>
  <c r="I3" i="93" s="1"/>
  <c r="G2" i="93"/>
  <c r="F2" i="93"/>
  <c r="F3" i="93" s="1"/>
  <c r="E2" i="93"/>
  <c r="D2" i="93"/>
  <c r="D3" i="93" s="1"/>
  <c r="Q3" i="93" s="1"/>
  <c r="C2" i="93"/>
  <c r="Q1" i="93"/>
  <c r="M252" i="92"/>
  <c r="I240" i="92"/>
  <c r="I238" i="92"/>
  <c r="I234" i="92"/>
  <c r="F226" i="92"/>
  <c r="D223" i="92"/>
  <c r="M221" i="92"/>
  <c r="F219" i="92"/>
  <c r="I239" i="92" s="1"/>
  <c r="F216" i="92"/>
  <c r="I236" i="92" s="1"/>
  <c r="F213" i="92"/>
  <c r="M212" i="92"/>
  <c r="M211" i="92"/>
  <c r="F211" i="92"/>
  <c r="AG163" i="92"/>
  <c r="AI161" i="92"/>
  <c r="AJ161" i="92" s="1"/>
  <c r="AG161" i="92"/>
  <c r="AG158" i="92"/>
  <c r="AM157" i="92"/>
  <c r="AK157" i="92"/>
  <c r="AM153" i="92"/>
  <c r="AM152" i="92"/>
  <c r="AM150" i="92"/>
  <c r="AM149" i="92"/>
  <c r="AI146" i="92"/>
  <c r="AQ145" i="92"/>
  <c r="AP145" i="92"/>
  <c r="AK145" i="92"/>
  <c r="AG145" i="92"/>
  <c r="AJ144" i="92"/>
  <c r="AJ153" i="92" s="1"/>
  <c r="AI144" i="92"/>
  <c r="AH144" i="92"/>
  <c r="AI150" i="92" s="1"/>
  <c r="AH141" i="92"/>
  <c r="AK140" i="92"/>
  <c r="AH140" i="92"/>
  <c r="Y131" i="92"/>
  <c r="AC131" i="92" s="1"/>
  <c r="Z131" i="92" s="1"/>
  <c r="V131" i="92"/>
  <c r="Y130" i="92"/>
  <c r="AC130" i="92" s="1"/>
  <c r="Z130" i="92" s="1"/>
  <c r="V130" i="92"/>
  <c r="Y129" i="92"/>
  <c r="AB129" i="92" s="1"/>
  <c r="Z129" i="92" s="1"/>
  <c r="V129" i="92"/>
  <c r="Y128" i="92"/>
  <c r="AC128" i="92" s="1"/>
  <c r="Z128" i="92" s="1"/>
  <c r="I23" i="92" s="1"/>
  <c r="V128" i="92"/>
  <c r="AK127" i="92"/>
  <c r="Y127" i="92"/>
  <c r="AC127" i="92" s="1"/>
  <c r="Z127" i="92" s="1"/>
  <c r="V127" i="92"/>
  <c r="Y126" i="92"/>
  <c r="AB126" i="92" s="1"/>
  <c r="Z126" i="92" s="1"/>
  <c r="V126" i="92"/>
  <c r="AI125" i="92"/>
  <c r="Y125" i="92"/>
  <c r="AC125" i="92" s="1"/>
  <c r="V125" i="92"/>
  <c r="AI124" i="92"/>
  <c r="AE124" i="92"/>
  <c r="AE132" i="92" s="1"/>
  <c r="AL128" i="92" s="1"/>
  <c r="AL129" i="92" s="1"/>
  <c r="AL130" i="92" s="1"/>
  <c r="Y124" i="92"/>
  <c r="AC124" i="92" s="1"/>
  <c r="Z124" i="92" s="1"/>
  <c r="V124" i="92"/>
  <c r="AI123" i="92"/>
  <c r="M26" i="92" s="1"/>
  <c r="AD123" i="92"/>
  <c r="AD132" i="92" s="1"/>
  <c r="Y123" i="92"/>
  <c r="AB123" i="92" s="1"/>
  <c r="V123" i="92"/>
  <c r="AI122" i="92"/>
  <c r="AE121" i="92"/>
  <c r="AC121" i="92"/>
  <c r="AB118" i="92"/>
  <c r="G256" i="92" s="1"/>
  <c r="V110" i="92"/>
  <c r="AB109" i="92"/>
  <c r="AB110" i="92" s="1"/>
  <c r="V109" i="92"/>
  <c r="AB107" i="92"/>
  <c r="AC107" i="92" s="1"/>
  <c r="AB106" i="92"/>
  <c r="K68" i="92"/>
  <c r="K62" i="92"/>
  <c r="D61" i="92"/>
  <c r="D59" i="92"/>
  <c r="D58" i="92"/>
  <c r="L57" i="92"/>
  <c r="D56" i="92"/>
  <c r="D55" i="92"/>
  <c r="D50" i="92"/>
  <c r="D44" i="92"/>
  <c r="U38" i="92"/>
  <c r="K38" i="92"/>
  <c r="D34" i="92"/>
  <c r="M28" i="92"/>
  <c r="M27" i="92"/>
  <c r="K25" i="92"/>
  <c r="M24" i="92"/>
  <c r="I24" i="92"/>
  <c r="C24" i="92"/>
  <c r="M23" i="92"/>
  <c r="C23" i="92"/>
  <c r="K21" i="92"/>
  <c r="G21" i="92"/>
  <c r="D17" i="92"/>
  <c r="C17" i="92"/>
  <c r="C50" i="92" s="1"/>
  <c r="M16" i="92"/>
  <c r="B6" i="92" s="1"/>
  <c r="C16" i="92"/>
  <c r="X13" i="92"/>
  <c r="U12" i="92"/>
  <c r="B10" i="92"/>
  <c r="B8" i="92"/>
  <c r="B7" i="92"/>
  <c r="O3" i="92"/>
  <c r="N3" i="92"/>
  <c r="L3" i="92"/>
  <c r="J3" i="92"/>
  <c r="G3" i="92"/>
  <c r="E3" i="92"/>
  <c r="N2" i="92"/>
  <c r="M2" i="92"/>
  <c r="M3" i="92" s="1"/>
  <c r="L2" i="92"/>
  <c r="K2" i="92"/>
  <c r="K3" i="92" s="1"/>
  <c r="J2" i="92"/>
  <c r="I2" i="92"/>
  <c r="I3" i="92" s="1"/>
  <c r="G2" i="92"/>
  <c r="F2" i="92"/>
  <c r="F3" i="92" s="1"/>
  <c r="E2" i="92"/>
  <c r="D2" i="92"/>
  <c r="D3" i="92" s="1"/>
  <c r="Q3" i="92" s="1"/>
  <c r="C2" i="92"/>
  <c r="Q1" i="92"/>
  <c r="AJ149" i="93" l="1"/>
  <c r="AJ151" i="93"/>
  <c r="AI160" i="93" s="1"/>
  <c r="AJ160" i="93" s="1"/>
  <c r="AJ156" i="93"/>
  <c r="AJ152" i="93"/>
  <c r="AI153" i="92"/>
  <c r="AI155" i="92"/>
  <c r="AJ149" i="92"/>
  <c r="AJ151" i="92"/>
  <c r="AI160" i="92" s="1"/>
  <c r="AJ160" i="92" s="1"/>
  <c r="G41" i="92" s="1"/>
  <c r="AJ152" i="92"/>
  <c r="M24" i="93"/>
  <c r="AD134" i="93"/>
  <c r="AE135" i="93" s="1"/>
  <c r="G255" i="93"/>
  <c r="D222" i="93"/>
  <c r="AG162" i="93"/>
  <c r="AH127" i="93"/>
  <c r="C33" i="93"/>
  <c r="Z123" i="93"/>
  <c r="AL131" i="93"/>
  <c r="AL132" i="93" s="1"/>
  <c r="AL133" i="93" s="1"/>
  <c r="AL134" i="93" s="1"/>
  <c r="AE133" i="93"/>
  <c r="M25" i="93" s="1"/>
  <c r="F221" i="93"/>
  <c r="AG144" i="93"/>
  <c r="AM156" i="93"/>
  <c r="AJ155" i="93"/>
  <c r="AM154" i="93"/>
  <c r="AJ154" i="93"/>
  <c r="AM155" i="93"/>
  <c r="AG157" i="93"/>
  <c r="Q2" i="93"/>
  <c r="M56" i="93"/>
  <c r="X14" i="93"/>
  <c r="C22" i="93"/>
  <c r="C34" i="93"/>
  <c r="G38" i="93"/>
  <c r="O38" i="93"/>
  <c r="G62" i="93"/>
  <c r="O70" i="93"/>
  <c r="AB125" i="93"/>
  <c r="Z125" i="93" s="1"/>
  <c r="AK128" i="93"/>
  <c r="AC132" i="93"/>
  <c r="AE134" i="93"/>
  <c r="AI156" i="93"/>
  <c r="AI155" i="93"/>
  <c r="AG160" i="93"/>
  <c r="I243" i="93"/>
  <c r="I241" i="93"/>
  <c r="AI149" i="93"/>
  <c r="AI157" i="93" s="1"/>
  <c r="AJ150" i="93"/>
  <c r="AI151" i="93"/>
  <c r="AI152" i="93"/>
  <c r="AI154" i="93"/>
  <c r="AL157" i="93"/>
  <c r="AL158" i="93" s="1"/>
  <c r="Q2" i="92"/>
  <c r="G255" i="92"/>
  <c r="D222" i="92"/>
  <c r="AG162" i="92"/>
  <c r="AH127" i="92"/>
  <c r="C33" i="92"/>
  <c r="Z123" i="92"/>
  <c r="AL131" i="92"/>
  <c r="AL132" i="92" s="1"/>
  <c r="AL133" i="92" s="1"/>
  <c r="AL134" i="92" s="1"/>
  <c r="AE133" i="92"/>
  <c r="M25" i="92" s="1"/>
  <c r="F221" i="92"/>
  <c r="AG144" i="92"/>
  <c r="AM156" i="92"/>
  <c r="AJ155" i="92"/>
  <c r="AM154" i="92"/>
  <c r="AJ154" i="92"/>
  <c r="AM155" i="92"/>
  <c r="AG157" i="92"/>
  <c r="M56" i="92"/>
  <c r="X14" i="92"/>
  <c r="C22" i="92"/>
  <c r="C34" i="92"/>
  <c r="G38" i="92"/>
  <c r="O38" i="92"/>
  <c r="I43" i="92"/>
  <c r="G62" i="92"/>
  <c r="O70" i="92"/>
  <c r="AD134" i="92"/>
  <c r="AE135" i="92" s="1"/>
  <c r="AB125" i="92"/>
  <c r="Z125" i="92" s="1"/>
  <c r="AK128" i="92"/>
  <c r="AC132" i="92"/>
  <c r="AE134" i="92"/>
  <c r="AI156" i="92"/>
  <c r="AJ156" i="92"/>
  <c r="AG160" i="92"/>
  <c r="I241" i="92"/>
  <c r="AI149" i="92"/>
  <c r="AI157" i="92" s="1"/>
  <c r="AJ150" i="92"/>
  <c r="AI151" i="92"/>
  <c r="AI152" i="92"/>
  <c r="AI154" i="92"/>
  <c r="AL157" i="92"/>
  <c r="AL158" i="92" s="1"/>
  <c r="AB132" i="92" l="1"/>
  <c r="AC135" i="92" s="1"/>
  <c r="I40" i="92"/>
  <c r="AJ162" i="93"/>
  <c r="G45" i="93" s="1"/>
  <c r="I247" i="93"/>
  <c r="I242" i="93"/>
  <c r="AK129" i="93"/>
  <c r="AM128" i="93"/>
  <c r="G41" i="93"/>
  <c r="G44" i="93"/>
  <c r="I40" i="93"/>
  <c r="C40" i="93"/>
  <c r="I39" i="93"/>
  <c r="AI128" i="93"/>
  <c r="AI129" i="93" s="1"/>
  <c r="AI130" i="93" s="1"/>
  <c r="AI131" i="93" s="1"/>
  <c r="AI132" i="93" s="1"/>
  <c r="AI133" i="93" s="1"/>
  <c r="AI134" i="93" s="1"/>
  <c r="X16" i="93"/>
  <c r="X15" i="93"/>
  <c r="X17" i="93" s="1"/>
  <c r="AB132" i="93"/>
  <c r="AJ162" i="92"/>
  <c r="G45" i="92" s="1"/>
  <c r="I247" i="92"/>
  <c r="I242" i="92"/>
  <c r="AK129" i="92"/>
  <c r="AM128" i="92"/>
  <c r="C40" i="92"/>
  <c r="I39" i="92"/>
  <c r="I243" i="92"/>
  <c r="AI128" i="92"/>
  <c r="AI129" i="92" s="1"/>
  <c r="AI130" i="92" s="1"/>
  <c r="AI131" i="92" s="1"/>
  <c r="AI132" i="92" s="1"/>
  <c r="AI133" i="92" s="1"/>
  <c r="AI134" i="92" s="1"/>
  <c r="X16" i="92"/>
  <c r="X15" i="92"/>
  <c r="X17" i="92" s="1"/>
  <c r="G44" i="92"/>
  <c r="AC134" i="92" l="1"/>
  <c r="AH128" i="92"/>
  <c r="AB134" i="92"/>
  <c r="AC133" i="92"/>
  <c r="I25" i="92" s="1"/>
  <c r="X23" i="93"/>
  <c r="X18" i="93"/>
  <c r="AC135" i="93"/>
  <c r="AB134" i="93"/>
  <c r="AC133" i="93"/>
  <c r="I25" i="93" s="1"/>
  <c r="AH128" i="93"/>
  <c r="AC134" i="93"/>
  <c r="AK130" i="93"/>
  <c r="AM129" i="93"/>
  <c r="I248" i="93"/>
  <c r="AH129" i="92"/>
  <c r="AJ128" i="92"/>
  <c r="X23" i="92"/>
  <c r="X18" i="92"/>
  <c r="AK130" i="92"/>
  <c r="AM129" i="92"/>
  <c r="I248" i="92"/>
  <c r="AK131" i="93" l="1"/>
  <c r="AM130" i="93"/>
  <c r="AH129" i="93"/>
  <c r="AJ128" i="93"/>
  <c r="X24" i="93"/>
  <c r="X19" i="93"/>
  <c r="F25" i="93" s="1"/>
  <c r="M57" i="93"/>
  <c r="C65" i="93"/>
  <c r="M61" i="93"/>
  <c r="D62" i="93"/>
  <c r="I252" i="93"/>
  <c r="I251" i="93"/>
  <c r="D63" i="93" s="1"/>
  <c r="AK131" i="92"/>
  <c r="AM130" i="92"/>
  <c r="X24" i="92"/>
  <c r="X19" i="92"/>
  <c r="F25" i="92" s="1"/>
  <c r="M57" i="92"/>
  <c r="C65" i="92"/>
  <c r="M61" i="92"/>
  <c r="D62" i="92"/>
  <c r="I252" i="92"/>
  <c r="D63" i="92"/>
  <c r="I251" i="92"/>
  <c r="AH130" i="92"/>
  <c r="AJ129" i="92"/>
  <c r="B25" i="93" l="1"/>
  <c r="X20" i="93"/>
  <c r="X25" i="93"/>
  <c r="K24" i="93"/>
  <c r="G70" i="93"/>
  <c r="K23" i="93"/>
  <c r="AH130" i="93"/>
  <c r="AJ129" i="93"/>
  <c r="AK132" i="93"/>
  <c r="AM131" i="93"/>
  <c r="AH131" i="92"/>
  <c r="AJ130" i="92"/>
  <c r="X20" i="92"/>
  <c r="X25" i="92"/>
  <c r="K23" i="92"/>
  <c r="G70" i="92"/>
  <c r="K24" i="92"/>
  <c r="B25" i="92"/>
  <c r="AK132" i="92"/>
  <c r="AM131" i="92"/>
  <c r="M16" i="4"/>
  <c r="X21" i="93" l="1"/>
  <c r="X22" i="93" s="1"/>
  <c r="L59" i="93"/>
  <c r="AM132" i="93"/>
  <c r="I256" i="93" s="1"/>
  <c r="F223" i="93" s="1"/>
  <c r="K64" i="93" s="1"/>
  <c r="AK133" i="93"/>
  <c r="AH131" i="93"/>
  <c r="AJ130" i="93"/>
  <c r="AM132" i="92"/>
  <c r="I256" i="92" s="1"/>
  <c r="F223" i="92" s="1"/>
  <c r="K64" i="92" s="1"/>
  <c r="AK133" i="92"/>
  <c r="X21" i="92"/>
  <c r="X22" i="92" s="1"/>
  <c r="L59" i="92"/>
  <c r="AH132" i="92"/>
  <c r="AJ131" i="92"/>
  <c r="AK134" i="93" l="1"/>
  <c r="AM134" i="93" s="1"/>
  <c r="K31" i="93" s="1"/>
  <c r="AM133" i="93"/>
  <c r="AH132" i="93"/>
  <c r="AJ131" i="93"/>
  <c r="AK134" i="92"/>
  <c r="AM134" i="92" s="1"/>
  <c r="K31" i="92" s="1"/>
  <c r="AM133" i="92"/>
  <c r="AH133" i="92"/>
  <c r="AJ132" i="92"/>
  <c r="I255" i="92" s="1"/>
  <c r="B6" i="4"/>
  <c r="AD107" i="93" l="1"/>
  <c r="M69" i="93" s="1"/>
  <c r="K42" i="93"/>
  <c r="K30" i="93"/>
  <c r="K70" i="93"/>
  <c r="AH133" i="93"/>
  <c r="AJ132" i="93"/>
  <c r="I255" i="93" s="1"/>
  <c r="I257" i="92"/>
  <c r="F222" i="92"/>
  <c r="AD107" i="92"/>
  <c r="M69" i="92" s="1"/>
  <c r="K42" i="92"/>
  <c r="K30" i="92"/>
  <c r="K70" i="92"/>
  <c r="AH134" i="92"/>
  <c r="AJ134" i="92" s="1"/>
  <c r="AJ133" i="92"/>
  <c r="D56" i="4"/>
  <c r="AH134" i="93" l="1"/>
  <c r="AJ134" i="93" s="1"/>
  <c r="AJ133" i="93"/>
  <c r="I257" i="93"/>
  <c r="F222" i="93"/>
  <c r="G64" i="92"/>
  <c r="C31" i="92"/>
  <c r="G30" i="92"/>
  <c r="AM135" i="92"/>
  <c r="AQ121" i="92"/>
  <c r="G42" i="92"/>
  <c r="G31" i="92"/>
  <c r="C30" i="92"/>
  <c r="D29" i="92"/>
  <c r="AH135" i="92"/>
  <c r="AI124" i="4"/>
  <c r="G64" i="93" l="1"/>
  <c r="C31" i="93"/>
  <c r="G30" i="93"/>
  <c r="AM135" i="93"/>
  <c r="AQ121" i="93"/>
  <c r="G31" i="93"/>
  <c r="C30" i="93"/>
  <c r="D29" i="93"/>
  <c r="G42" i="93"/>
  <c r="AH135" i="93"/>
  <c r="I42" i="92"/>
  <c r="I41" i="92" s="1"/>
  <c r="B42" i="92"/>
  <c r="AL160" i="92"/>
  <c r="AM160" i="92" s="1"/>
  <c r="U39" i="92" s="1"/>
  <c r="H39" i="92" s="1"/>
  <c r="AQ123" i="92"/>
  <c r="AR121" i="92"/>
  <c r="L29" i="92" s="1"/>
  <c r="AL161" i="92"/>
  <c r="L41" i="92" s="1"/>
  <c r="I64" i="92"/>
  <c r="I62" i="92" s="1"/>
  <c r="B64" i="92"/>
  <c r="V110" i="4"/>
  <c r="I42" i="93" l="1"/>
  <c r="I41" i="93" s="1"/>
  <c r="B42" i="93"/>
  <c r="AL160" i="93"/>
  <c r="AM160" i="93" s="1"/>
  <c r="U39" i="93" s="1"/>
  <c r="H39" i="93" s="1"/>
  <c r="AQ123" i="93"/>
  <c r="AR121" i="93"/>
  <c r="L29" i="93" s="1"/>
  <c r="AL161" i="93"/>
  <c r="L41" i="93" s="1"/>
  <c r="I64" i="93"/>
  <c r="I62" i="93" s="1"/>
  <c r="B64" i="93"/>
  <c r="AR123" i="92"/>
  <c r="M63" i="92" s="1"/>
  <c r="M43" i="92" s="1"/>
  <c r="C47" i="92"/>
  <c r="AQ125" i="92"/>
  <c r="AI158" i="92"/>
  <c r="C64" i="92"/>
  <c r="AB106" i="4"/>
  <c r="V109" i="4"/>
  <c r="AR123" i="93" l="1"/>
  <c r="M63" i="93" s="1"/>
  <c r="M43" i="93" s="1"/>
  <c r="C47" i="93"/>
  <c r="AQ125" i="93"/>
  <c r="AI158" i="93"/>
  <c r="C64" i="93"/>
  <c r="AJ163" i="92"/>
  <c r="K45" i="92" s="1"/>
  <c r="K44" i="92"/>
  <c r="D46" i="92"/>
  <c r="AR125" i="92"/>
  <c r="M40" i="92" s="1"/>
  <c r="AB109" i="4"/>
  <c r="AJ163" i="93" l="1"/>
  <c r="K45" i="93" s="1"/>
  <c r="K44" i="93"/>
  <c r="D46" i="93"/>
  <c r="AR125" i="93"/>
  <c r="M40" i="93" s="1"/>
  <c r="AB110" i="4"/>
  <c r="AM153" i="4" l="1"/>
  <c r="AM152" i="4"/>
  <c r="AM150" i="4"/>
  <c r="AM149" i="4"/>
  <c r="U38" i="4" l="1"/>
  <c r="C16" i="4" l="1"/>
  <c r="AK145" i="4" l="1"/>
  <c r="AI161" i="4" s="1"/>
  <c r="AJ161" i="4" s="1"/>
  <c r="B8" i="4" l="1"/>
  <c r="B10" i="4" l="1"/>
  <c r="D61" i="4" l="1"/>
  <c r="D59" i="4"/>
  <c r="U12" i="4" l="1"/>
  <c r="L57" i="4" l="1"/>
  <c r="D58" i="4" l="1"/>
  <c r="D55" i="4" l="1"/>
  <c r="X13" i="4" l="1"/>
  <c r="X14" i="4" l="1"/>
  <c r="X15" i="4" l="1"/>
  <c r="X16" i="4"/>
  <c r="P2" i="20" l="1"/>
  <c r="M4" i="20"/>
  <c r="N4" i="20"/>
  <c r="D3" i="20"/>
  <c r="D4" i="20" s="1"/>
  <c r="E3" i="20"/>
  <c r="E4" i="20" s="1"/>
  <c r="F3" i="20"/>
  <c r="F4" i="20" s="1"/>
  <c r="G3" i="20"/>
  <c r="G4" i="20" s="1"/>
  <c r="H3" i="20"/>
  <c r="H4" i="20" s="1"/>
  <c r="I3" i="20"/>
  <c r="I4" i="20" s="1"/>
  <c r="J3" i="20"/>
  <c r="J4" i="20" s="1"/>
  <c r="K3" i="20"/>
  <c r="K4" i="20" s="1"/>
  <c r="L3" i="20"/>
  <c r="C3" i="20"/>
  <c r="Q1" i="4"/>
  <c r="O3" i="4"/>
  <c r="D2" i="4"/>
  <c r="D3" i="4" s="1"/>
  <c r="E2" i="4"/>
  <c r="E3" i="4" s="1"/>
  <c r="F2" i="4"/>
  <c r="F3" i="4" s="1"/>
  <c r="G2" i="4"/>
  <c r="G3" i="4" s="1"/>
  <c r="I2" i="4"/>
  <c r="I3" i="4" s="1"/>
  <c r="J2" i="4"/>
  <c r="J3" i="4" s="1"/>
  <c r="K2" i="4"/>
  <c r="K3" i="4" s="1"/>
  <c r="L2" i="4"/>
  <c r="L3" i="4" s="1"/>
  <c r="M2" i="4"/>
  <c r="M3" i="4" s="1"/>
  <c r="N2" i="4"/>
  <c r="N3" i="4" s="1"/>
  <c r="C2" i="4"/>
  <c r="P3" i="20" l="1"/>
  <c r="Q3" i="4"/>
  <c r="Q2" i="4"/>
  <c r="Q3" i="20" s="1"/>
  <c r="Q2" i="20"/>
  <c r="L4" i="20"/>
  <c r="P4" i="20" s="1"/>
  <c r="Q4" i="20" l="1"/>
  <c r="M252" i="4"/>
  <c r="D17" i="4" l="1"/>
  <c r="D50" i="4"/>
  <c r="D34" i="4"/>
  <c r="C17" i="4"/>
  <c r="I234" i="4" l="1"/>
  <c r="AB107" i="4" s="1"/>
  <c r="AC107" i="4" l="1"/>
  <c r="F226" i="4"/>
  <c r="C50" i="4" l="1"/>
  <c r="C34" i="4"/>
  <c r="G21" i="4" l="1"/>
  <c r="C22" i="4" s="1"/>
  <c r="AI146" i="4" l="1"/>
  <c r="V123" i="4" l="1"/>
  <c r="V124" i="4"/>
  <c r="Y124" i="4" s="1"/>
  <c r="V125" i="4"/>
  <c r="Y125" i="4" s="1"/>
  <c r="AB125" i="4" s="1"/>
  <c r="V126" i="4"/>
  <c r="Y126" i="4" s="1"/>
  <c r="AB126" i="4" s="1"/>
  <c r="V127" i="4"/>
  <c r="Y127" i="4" s="1"/>
  <c r="V128" i="4"/>
  <c r="Y128" i="4" s="1"/>
  <c r="V129" i="4"/>
  <c r="Y129" i="4" s="1"/>
  <c r="AB129" i="4" s="1"/>
  <c r="V130" i="4"/>
  <c r="Y130" i="4" s="1"/>
  <c r="AC130" i="4" s="1"/>
  <c r="V131" i="4"/>
  <c r="Y131" i="4" s="1"/>
  <c r="C23" i="4" l="1"/>
  <c r="C24" i="4"/>
  <c r="Z130" i="4"/>
  <c r="Z126" i="4"/>
  <c r="Z129" i="4"/>
  <c r="Y123" i="4"/>
  <c r="AC125" i="4"/>
  <c r="Z125" i="4" s="1"/>
  <c r="AC131" i="4"/>
  <c r="AP145" i="4"/>
  <c r="AQ145" i="4"/>
  <c r="AG163" i="4"/>
  <c r="AG161" i="4"/>
  <c r="AG145" i="4"/>
  <c r="AH141" i="4"/>
  <c r="AH140" i="4"/>
  <c r="AL157" i="4" l="1"/>
  <c r="AK140" i="4"/>
  <c r="AK157" i="4"/>
  <c r="Z131" i="4"/>
  <c r="AJ144" i="4"/>
  <c r="AJ153" i="4" l="1"/>
  <c r="AJ151" i="4"/>
  <c r="AJ149" i="4"/>
  <c r="AJ152" i="4"/>
  <c r="AJ150" i="4"/>
  <c r="C40" i="4"/>
  <c r="AL158" i="4"/>
  <c r="F221" i="4"/>
  <c r="D44" i="4"/>
  <c r="AG158" i="4"/>
  <c r="AH144" i="4"/>
  <c r="AI151" i="4" s="1"/>
  <c r="AI144" i="4"/>
  <c r="AJ154" i="4" s="1"/>
  <c r="I40" i="4" l="1"/>
  <c r="I43" i="4"/>
  <c r="I39" i="4"/>
  <c r="AJ155" i="4"/>
  <c r="AI160" i="4" s="1"/>
  <c r="AJ160" i="4" s="1"/>
  <c r="AM156" i="4"/>
  <c r="AM155" i="4"/>
  <c r="AM154" i="4"/>
  <c r="AJ156" i="4"/>
  <c r="AI152" i="4"/>
  <c r="AI150" i="4"/>
  <c r="AI153" i="4"/>
  <c r="AI149" i="4"/>
  <c r="AI154" i="4"/>
  <c r="AI155" i="4"/>
  <c r="AI156" i="4"/>
  <c r="AM157" i="4" l="1"/>
  <c r="AI157" i="4"/>
  <c r="AI125" i="4" l="1"/>
  <c r="AI122" i="4"/>
  <c r="AK127" i="4"/>
  <c r="AI123" i="4" l="1"/>
  <c r="M26" i="4" l="1"/>
  <c r="C7" i="1" l="1"/>
  <c r="B7" i="4" l="1"/>
  <c r="A20" i="1"/>
  <c r="AB118" i="4"/>
  <c r="K21" i="4" s="1"/>
  <c r="K68" i="4" l="1"/>
  <c r="K62" i="4"/>
  <c r="C33" i="4"/>
  <c r="F216" i="4"/>
  <c r="D223" i="4" l="1"/>
  <c r="G256" i="4"/>
  <c r="M221" i="4"/>
  <c r="G44" i="4" s="1"/>
  <c r="M212" i="4" l="1"/>
  <c r="M211" i="4"/>
  <c r="F213" i="4" l="1"/>
  <c r="F211" i="4"/>
  <c r="I236" i="4" l="1"/>
  <c r="F219" i="4"/>
  <c r="I239" i="4" s="1"/>
  <c r="BM129" i="5" l="1"/>
  <c r="BM126" i="5"/>
  <c r="BM123" i="5"/>
  <c r="BM120" i="5"/>
  <c r="BL119" i="5" l="1"/>
  <c r="BL120" i="5" l="1"/>
  <c r="AG160" i="4" l="1"/>
  <c r="AG157" i="4"/>
  <c r="AG144" i="4"/>
  <c r="AG162" i="4"/>
  <c r="AH127" i="4"/>
  <c r="D222" i="4"/>
  <c r="G255" i="4"/>
  <c r="BI66" i="5"/>
  <c r="BI64" i="5"/>
  <c r="BI62" i="5"/>
  <c r="BM104" i="5" l="1"/>
  <c r="BS104" i="5" l="1"/>
  <c r="BR104" i="5" l="1"/>
  <c r="BS69" i="5" s="1"/>
  <c r="BL104" i="5"/>
  <c r="BM66" i="5" s="1"/>
  <c r="BM103" i="5" l="1"/>
  <c r="BO103" i="5" s="1"/>
  <c r="BM99" i="5"/>
  <c r="BO99" i="5" s="1"/>
  <c r="BM95" i="5"/>
  <c r="BO95" i="5" s="1"/>
  <c r="BM91" i="5"/>
  <c r="BO91" i="5" s="1"/>
  <c r="BM87" i="5"/>
  <c r="BO87" i="5" s="1"/>
  <c r="BM83" i="5"/>
  <c r="BO83" i="5" s="1"/>
  <c r="BM79" i="5"/>
  <c r="BO79" i="5" s="1"/>
  <c r="BM75" i="5"/>
  <c r="BO75" i="5" s="1"/>
  <c r="BM71" i="5"/>
  <c r="BO71" i="5" s="1"/>
  <c r="BM67" i="5"/>
  <c r="BO67" i="5" s="1"/>
  <c r="BM101" i="5"/>
  <c r="BM97" i="5"/>
  <c r="BO97" i="5" s="1"/>
  <c r="BM93" i="5"/>
  <c r="BO93" i="5" s="1"/>
  <c r="BM89" i="5"/>
  <c r="BO89" i="5" s="1"/>
  <c r="BM85" i="5"/>
  <c r="BO85" i="5" s="1"/>
  <c r="BM81" i="5"/>
  <c r="BO81" i="5" s="1"/>
  <c r="BM77" i="5"/>
  <c r="BM73" i="5"/>
  <c r="BM69" i="5"/>
  <c r="BO69" i="5" s="1"/>
  <c r="BM65" i="5"/>
  <c r="BO65" i="5" s="1"/>
  <c r="BM64" i="5"/>
  <c r="BO64" i="5" s="1"/>
  <c r="BP64" i="5" s="1"/>
  <c r="BM102" i="5"/>
  <c r="BO102" i="5" s="1"/>
  <c r="BM100" i="5"/>
  <c r="BO100" i="5" s="1"/>
  <c r="BM98" i="5"/>
  <c r="BO98" i="5" s="1"/>
  <c r="BM96" i="5"/>
  <c r="BO96" i="5" s="1"/>
  <c r="BM94" i="5"/>
  <c r="BO94" i="5" s="1"/>
  <c r="BM92" i="5"/>
  <c r="BO92" i="5" s="1"/>
  <c r="BM90" i="5"/>
  <c r="BO90" i="5" s="1"/>
  <c r="BM88" i="5"/>
  <c r="BO88" i="5" s="1"/>
  <c r="BM86" i="5"/>
  <c r="BO86" i="5" s="1"/>
  <c r="BM84" i="5"/>
  <c r="BO84" i="5" s="1"/>
  <c r="BM82" i="5"/>
  <c r="BO82" i="5" s="1"/>
  <c r="BM80" i="5"/>
  <c r="BO80" i="5" s="1"/>
  <c r="BM78" i="5"/>
  <c r="BO78" i="5" s="1"/>
  <c r="BM76" i="5"/>
  <c r="BO76" i="5" s="1"/>
  <c r="BM74" i="5"/>
  <c r="BO74" i="5" s="1"/>
  <c r="BM72" i="5"/>
  <c r="BM70" i="5"/>
  <c r="BO70" i="5" s="1"/>
  <c r="BM68" i="5"/>
  <c r="BO68" i="5" s="1"/>
  <c r="BS103" i="5"/>
  <c r="BU103" i="5" s="1"/>
  <c r="BS99" i="5"/>
  <c r="BS95" i="5"/>
  <c r="BS91" i="5"/>
  <c r="BS87" i="5"/>
  <c r="BS83" i="5"/>
  <c r="BS79" i="5"/>
  <c r="BS75" i="5"/>
  <c r="BS71" i="5"/>
  <c r="BS67" i="5"/>
  <c r="BS66" i="5"/>
  <c r="BS101" i="5"/>
  <c r="BS97" i="5"/>
  <c r="BS93" i="5"/>
  <c r="BS89" i="5"/>
  <c r="BS85" i="5"/>
  <c r="BS81" i="5"/>
  <c r="BS77" i="5"/>
  <c r="BU77" i="5" s="1"/>
  <c r="BS73" i="5"/>
  <c r="BS64" i="5"/>
  <c r="BS65" i="5"/>
  <c r="BS102" i="5"/>
  <c r="BS100" i="5"/>
  <c r="BS98" i="5"/>
  <c r="BS96" i="5"/>
  <c r="BS94" i="5"/>
  <c r="BS92" i="5"/>
  <c r="BS90" i="5"/>
  <c r="BS88" i="5"/>
  <c r="BS86" i="5"/>
  <c r="BS84" i="5"/>
  <c r="BS82" i="5"/>
  <c r="BS80" i="5"/>
  <c r="BS78" i="5"/>
  <c r="BS76" i="5"/>
  <c r="BU76" i="5" s="1"/>
  <c r="BS74" i="5"/>
  <c r="BS72" i="5"/>
  <c r="BS70" i="5"/>
  <c r="BS68" i="5"/>
  <c r="BU75" i="5"/>
  <c r="BU79" i="5"/>
  <c r="BU69" i="5"/>
  <c r="BO73" i="5"/>
  <c r="BO77" i="5"/>
  <c r="BO101" i="5"/>
  <c r="BO66" i="5"/>
  <c r="CH72" i="5" l="1"/>
  <c r="BN64" i="5"/>
  <c r="BN65" i="5" s="1"/>
  <c r="BN66" i="5" s="1"/>
  <c r="BN67" i="5" s="1"/>
  <c r="BN68" i="5" s="1"/>
  <c r="BN69" i="5" s="1"/>
  <c r="BO72" i="5"/>
  <c r="BP65" i="5"/>
  <c r="BU68" i="5"/>
  <c r="BU72" i="5"/>
  <c r="BU80" i="5"/>
  <c r="BU84" i="5"/>
  <c r="BU88" i="5"/>
  <c r="BU92" i="5"/>
  <c r="BU96" i="5"/>
  <c r="BU100" i="5"/>
  <c r="BU65" i="5"/>
  <c r="BU73" i="5"/>
  <c r="BU81" i="5"/>
  <c r="BU89" i="5"/>
  <c r="BU97" i="5"/>
  <c r="BU66" i="5"/>
  <c r="BU71" i="5"/>
  <c r="BU87" i="5"/>
  <c r="BU95" i="5"/>
  <c r="BU70" i="5"/>
  <c r="BU74" i="5"/>
  <c r="BI74" i="5" s="1"/>
  <c r="CI75" i="5"/>
  <c r="BU78" i="5"/>
  <c r="BU82" i="5"/>
  <c r="BU86" i="5"/>
  <c r="BU90" i="5"/>
  <c r="BU94" i="5"/>
  <c r="BU98" i="5"/>
  <c r="BU102" i="5"/>
  <c r="BU64" i="5"/>
  <c r="BV64" i="5" s="1"/>
  <c r="BU85" i="5"/>
  <c r="BU93" i="5"/>
  <c r="BU101" i="5"/>
  <c r="BU67" i="5"/>
  <c r="BU83" i="5"/>
  <c r="BU91" i="5"/>
  <c r="BU99" i="5"/>
  <c r="BN70" i="5"/>
  <c r="BN71" i="5" s="1"/>
  <c r="BN72" i="5" s="1"/>
  <c r="BN73" i="5" s="1"/>
  <c r="BN74" i="5" s="1"/>
  <c r="BN75" i="5" s="1"/>
  <c r="BN76" i="5" s="1"/>
  <c r="BN77" i="5" s="1"/>
  <c r="BN78" i="5" s="1"/>
  <c r="BN79" i="5" s="1"/>
  <c r="BN80" i="5" s="1"/>
  <c r="BN81" i="5" s="1"/>
  <c r="BN82" i="5" s="1"/>
  <c r="BN83" i="5" s="1"/>
  <c r="BT64" i="5"/>
  <c r="BT65" i="5" s="1"/>
  <c r="BP66" i="5"/>
  <c r="BP67" i="5" s="1"/>
  <c r="BP68" i="5" s="1"/>
  <c r="BP69" i="5" s="1"/>
  <c r="BP70" i="5" s="1"/>
  <c r="BP71" i="5" s="1"/>
  <c r="BH74" i="5"/>
  <c r="BP72" i="5" l="1"/>
  <c r="BP73" i="5" s="1"/>
  <c r="BP74" i="5" s="1"/>
  <c r="BP75" i="5" s="1"/>
  <c r="BP76" i="5" s="1"/>
  <c r="BP77" i="5" s="1"/>
  <c r="BP78" i="5" s="1"/>
  <c r="BP79" i="5" s="1"/>
  <c r="BP80" i="5" s="1"/>
  <c r="BP81" i="5" s="1"/>
  <c r="BP82" i="5" s="1"/>
  <c r="BP83" i="5" s="1"/>
  <c r="BP84" i="5" s="1"/>
  <c r="BP85" i="5" s="1"/>
  <c r="BP86" i="5" s="1"/>
  <c r="BP87" i="5" s="1"/>
  <c r="BP88" i="5" s="1"/>
  <c r="BP89" i="5" s="1"/>
  <c r="BP90" i="5" s="1"/>
  <c r="BP91" i="5" s="1"/>
  <c r="BP92" i="5" s="1"/>
  <c r="BP93" i="5" s="1"/>
  <c r="BP94" i="5" s="1"/>
  <c r="BP95" i="5" s="1"/>
  <c r="BP96" i="5" s="1"/>
  <c r="BP97" i="5" s="1"/>
  <c r="BP98" i="5" s="1"/>
  <c r="BP99" i="5" s="1"/>
  <c r="BP100" i="5" s="1"/>
  <c r="BP101" i="5" s="1"/>
  <c r="BP102" i="5" s="1"/>
  <c r="BP103" i="5" s="1"/>
  <c r="BV65" i="5"/>
  <c r="BV66" i="5" s="1"/>
  <c r="BV67" i="5" s="1"/>
  <c r="BV68" i="5" s="1"/>
  <c r="BV69" i="5" s="1"/>
  <c r="BV70" i="5" s="1"/>
  <c r="BV71" i="5" s="1"/>
  <c r="BV72" i="5" s="1"/>
  <c r="BV73" i="5" s="1"/>
  <c r="BV74" i="5" s="1"/>
  <c r="BV75" i="5" s="1"/>
  <c r="BV76" i="5" s="1"/>
  <c r="BV77" i="5" s="1"/>
  <c r="BV78" i="5" s="1"/>
  <c r="BV79" i="5" s="1"/>
  <c r="BV80" i="5" s="1"/>
  <c r="BV81" i="5" s="1"/>
  <c r="BV82" i="5" s="1"/>
  <c r="BV83" i="5" s="1"/>
  <c r="BV84" i="5" s="1"/>
  <c r="BV85" i="5" s="1"/>
  <c r="BV86" i="5" s="1"/>
  <c r="BV87" i="5" s="1"/>
  <c r="BV88" i="5" s="1"/>
  <c r="BV89" i="5" s="1"/>
  <c r="BV90" i="5" s="1"/>
  <c r="BV91" i="5" s="1"/>
  <c r="BV92" i="5" s="1"/>
  <c r="BV93" i="5" s="1"/>
  <c r="BV94" i="5" s="1"/>
  <c r="BV95" i="5" s="1"/>
  <c r="BV96" i="5" s="1"/>
  <c r="BV97" i="5" s="1"/>
  <c r="BV98" i="5" s="1"/>
  <c r="BV99" i="5" s="1"/>
  <c r="BV100" i="5" s="1"/>
  <c r="BV101" i="5" s="1"/>
  <c r="BV102" i="5" s="1"/>
  <c r="BV103" i="5" s="1"/>
  <c r="BN84" i="5"/>
  <c r="BN85" i="5" s="1"/>
  <c r="BN86" i="5" s="1"/>
  <c r="BN87" i="5" s="1"/>
  <c r="BN88" i="5" s="1"/>
  <c r="BN89" i="5" s="1"/>
  <c r="BN90" i="5" s="1"/>
  <c r="BN91" i="5" s="1"/>
  <c r="BN92" i="5" s="1"/>
  <c r="BN93" i="5" s="1"/>
  <c r="BN94" i="5" s="1"/>
  <c r="BN95" i="5" s="1"/>
  <c r="BN96" i="5" s="1"/>
  <c r="BN97" i="5" s="1"/>
  <c r="BN98" i="5" s="1"/>
  <c r="BN99" i="5" s="1"/>
  <c r="BN100" i="5" s="1"/>
  <c r="BN101" i="5" s="1"/>
  <c r="BN102" i="5" s="1"/>
  <c r="BN103" i="5" s="1"/>
  <c r="BI68" i="5"/>
  <c r="BX64" i="5"/>
  <c r="BY64" i="5" s="1"/>
  <c r="BX65" i="5"/>
  <c r="BY65" i="5" s="1"/>
  <c r="BT66" i="5"/>
  <c r="BH75" i="5"/>
  <c r="BH76" i="5" s="1"/>
  <c r="BH77" i="5" s="1"/>
  <c r="BH78" i="5" s="1"/>
  <c r="BH79" i="5" s="1"/>
  <c r="BI75" i="5"/>
  <c r="BI76" i="5" s="1"/>
  <c r="CJ102" i="5" l="1"/>
  <c r="CJ100" i="5"/>
  <c r="CJ98" i="5"/>
  <c r="CJ96" i="5"/>
  <c r="CJ94" i="5"/>
  <c r="CJ92" i="5"/>
  <c r="CJ90" i="5"/>
  <c r="CJ88" i="5"/>
  <c r="CJ86" i="5"/>
  <c r="CJ84" i="5"/>
  <c r="CJ82" i="5"/>
  <c r="CJ80" i="5"/>
  <c r="CJ76" i="5"/>
  <c r="CJ73" i="5"/>
  <c r="CJ71" i="5"/>
  <c r="CJ69" i="5"/>
  <c r="CJ67" i="5"/>
  <c r="CJ65" i="5"/>
  <c r="CJ101" i="5"/>
  <c r="CJ99" i="5"/>
  <c r="CJ97" i="5"/>
  <c r="CJ95" i="5"/>
  <c r="CJ93" i="5"/>
  <c r="CJ91" i="5"/>
  <c r="CJ89" i="5"/>
  <c r="CJ87" i="5"/>
  <c r="CJ85" i="5"/>
  <c r="CJ83" i="5"/>
  <c r="CJ81" i="5"/>
  <c r="CJ79" i="5"/>
  <c r="CJ77" i="5"/>
  <c r="CJ74" i="5"/>
  <c r="CJ72" i="5"/>
  <c r="CJ70" i="5"/>
  <c r="CJ68" i="5"/>
  <c r="CJ66" i="5"/>
  <c r="CJ64" i="5"/>
  <c r="CJ103" i="5"/>
  <c r="CK80" i="5"/>
  <c r="CK82" i="5"/>
  <c r="CK84" i="5"/>
  <c r="CK86" i="5"/>
  <c r="CK88" i="5"/>
  <c r="CK90" i="5"/>
  <c r="CK92" i="5"/>
  <c r="CK94" i="5"/>
  <c r="CK96" i="5"/>
  <c r="CK98" i="5"/>
  <c r="CK100" i="5"/>
  <c r="CK102" i="5"/>
  <c r="CK65" i="5"/>
  <c r="CK67" i="5"/>
  <c r="CK69" i="5"/>
  <c r="CK71" i="5"/>
  <c r="CK73" i="5"/>
  <c r="CK75" i="5"/>
  <c r="CK77" i="5"/>
  <c r="CK79" i="5"/>
  <c r="CK81" i="5"/>
  <c r="CK83" i="5"/>
  <c r="CK85" i="5"/>
  <c r="CK87" i="5"/>
  <c r="CK89" i="5"/>
  <c r="CK91" i="5"/>
  <c r="CK93" i="5"/>
  <c r="CK95" i="5"/>
  <c r="CK97" i="5"/>
  <c r="CK99" i="5"/>
  <c r="CK101" i="5"/>
  <c r="CK103" i="5"/>
  <c r="CK66" i="5"/>
  <c r="CK68" i="5"/>
  <c r="CK70" i="5"/>
  <c r="CK72" i="5"/>
  <c r="CK74" i="5"/>
  <c r="CK76" i="5"/>
  <c r="CK78" i="5"/>
  <c r="CK64" i="5"/>
  <c r="B85" i="5"/>
  <c r="BT67" i="5"/>
  <c r="BX66" i="5"/>
  <c r="BY66" i="5" s="1"/>
  <c r="BI77" i="5"/>
  <c r="BI78" i="5" s="1"/>
  <c r="BH80" i="5"/>
  <c r="BT68" i="5" l="1"/>
  <c r="BX67" i="5"/>
  <c r="BY67" i="5" s="1"/>
  <c r="BI79" i="5"/>
  <c r="BI80" i="5" s="1"/>
  <c r="BH81" i="5"/>
  <c r="F91" i="5"/>
  <c r="D91" i="5"/>
  <c r="CD84" i="5" l="1"/>
  <c r="CD86" i="5"/>
  <c r="CD88" i="5"/>
  <c r="CD90" i="5"/>
  <c r="CD92" i="5"/>
  <c r="CD94" i="5"/>
  <c r="CD96" i="5"/>
  <c r="CD98" i="5"/>
  <c r="CD100" i="5"/>
  <c r="CD102" i="5"/>
  <c r="CD65" i="5"/>
  <c r="CD67" i="5"/>
  <c r="CD69" i="5"/>
  <c r="CD71" i="5"/>
  <c r="CD73" i="5"/>
  <c r="CD75" i="5"/>
  <c r="CD77" i="5"/>
  <c r="CD79" i="5"/>
  <c r="CD81" i="5"/>
  <c r="CD83" i="5"/>
  <c r="CD85" i="5"/>
  <c r="CD87" i="5"/>
  <c r="CD89" i="5"/>
  <c r="CD91" i="5"/>
  <c r="CD93" i="5"/>
  <c r="CD95" i="5"/>
  <c r="CD97" i="5"/>
  <c r="CD99" i="5"/>
  <c r="CD101" i="5"/>
  <c r="CD103" i="5"/>
  <c r="CD66" i="5"/>
  <c r="CD68" i="5"/>
  <c r="CD70" i="5"/>
  <c r="CD72" i="5"/>
  <c r="CD74" i="5"/>
  <c r="CD76" i="5"/>
  <c r="CD78" i="5"/>
  <c r="CD80" i="5"/>
  <c r="CD82" i="5"/>
  <c r="CD64" i="5"/>
  <c r="CF65" i="5"/>
  <c r="CF67" i="5"/>
  <c r="CF69" i="5"/>
  <c r="CF71" i="5"/>
  <c r="CF73" i="5"/>
  <c r="CF75" i="5"/>
  <c r="CF77" i="5"/>
  <c r="CF79" i="5"/>
  <c r="CF81" i="5"/>
  <c r="CF83" i="5"/>
  <c r="CF89" i="5"/>
  <c r="CF91" i="5"/>
  <c r="CF93" i="5"/>
  <c r="CF95" i="5"/>
  <c r="CF97" i="5"/>
  <c r="CF99" i="5"/>
  <c r="CF101" i="5"/>
  <c r="CF103" i="5"/>
  <c r="CF66" i="5"/>
  <c r="CF68" i="5"/>
  <c r="CF70" i="5"/>
  <c r="CF72" i="5"/>
  <c r="CF74" i="5"/>
  <c r="CF76" i="5"/>
  <c r="CF78" i="5"/>
  <c r="CF80" i="5"/>
  <c r="CF82" i="5"/>
  <c r="CF84" i="5"/>
  <c r="CF86" i="5"/>
  <c r="CF90" i="5"/>
  <c r="CF92" i="5"/>
  <c r="CF94" i="5"/>
  <c r="CF96" i="5"/>
  <c r="CF98" i="5"/>
  <c r="CF100" i="5"/>
  <c r="CF102" i="5"/>
  <c r="CF64" i="5"/>
  <c r="CE84" i="5"/>
  <c r="CE88" i="5"/>
  <c r="CE90" i="5"/>
  <c r="CE92" i="5"/>
  <c r="CE94" i="5"/>
  <c r="CE96" i="5"/>
  <c r="CE98" i="5"/>
  <c r="CE100" i="5"/>
  <c r="CE102" i="5"/>
  <c r="CE65" i="5"/>
  <c r="CE67" i="5"/>
  <c r="CE69" i="5"/>
  <c r="CE71" i="5"/>
  <c r="CE73" i="5"/>
  <c r="CE75" i="5"/>
  <c r="CE77" i="5"/>
  <c r="CE64" i="5"/>
  <c r="CE85" i="5"/>
  <c r="CE87" i="5"/>
  <c r="CE89" i="5"/>
  <c r="CE91" i="5"/>
  <c r="CE93" i="5"/>
  <c r="CE95" i="5"/>
  <c r="CE97" i="5"/>
  <c r="CE99" i="5"/>
  <c r="CE101" i="5"/>
  <c r="CE103" i="5"/>
  <c r="CE83" i="5"/>
  <c r="CE66" i="5"/>
  <c r="CE68" i="5"/>
  <c r="CE70" i="5"/>
  <c r="CE72" i="5"/>
  <c r="CE74" i="5"/>
  <c r="CE76" i="5"/>
  <c r="CE78" i="5"/>
  <c r="CE80" i="5"/>
  <c r="CG66" i="5"/>
  <c r="CG68" i="5"/>
  <c r="CG70" i="5"/>
  <c r="CG72" i="5"/>
  <c r="CG74" i="5"/>
  <c r="CG76" i="5"/>
  <c r="CG78" i="5"/>
  <c r="CG80" i="5"/>
  <c r="CG82" i="5"/>
  <c r="CG84" i="5"/>
  <c r="CG86" i="5"/>
  <c r="CG88" i="5"/>
  <c r="CG90" i="5"/>
  <c r="CG92" i="5"/>
  <c r="CG94" i="5"/>
  <c r="CG96" i="5"/>
  <c r="CG98" i="5"/>
  <c r="CG100" i="5"/>
  <c r="CG102" i="5"/>
  <c r="CG64" i="5"/>
  <c r="CG65" i="5"/>
  <c r="CG67" i="5"/>
  <c r="CG69" i="5"/>
  <c r="CG71" i="5"/>
  <c r="CG73" i="5"/>
  <c r="CG75" i="5"/>
  <c r="CG77" i="5"/>
  <c r="CG79" i="5"/>
  <c r="CG81" i="5"/>
  <c r="CG83" i="5"/>
  <c r="CG85" i="5"/>
  <c r="CG87" i="5"/>
  <c r="CG89" i="5"/>
  <c r="CG91" i="5"/>
  <c r="CG93" i="5"/>
  <c r="CG95" i="5"/>
  <c r="CG97" i="5"/>
  <c r="CG99" i="5"/>
  <c r="CG101" i="5"/>
  <c r="CG103" i="5"/>
  <c r="BT69" i="5"/>
  <c r="BX68" i="5"/>
  <c r="BY68" i="5" s="1"/>
  <c r="BI81" i="5"/>
  <c r="BI82" i="5" s="1"/>
  <c r="BI83" i="5" s="1"/>
  <c r="BH82" i="5"/>
  <c r="CB65" i="5"/>
  <c r="CB67" i="5"/>
  <c r="CB69" i="5"/>
  <c r="CB71" i="5"/>
  <c r="CB73" i="5"/>
  <c r="CB75" i="5"/>
  <c r="CB77" i="5"/>
  <c r="CB79" i="5"/>
  <c r="CB81" i="5"/>
  <c r="CB83" i="5"/>
  <c r="CB85" i="5"/>
  <c r="CB87" i="5"/>
  <c r="CB89" i="5"/>
  <c r="CB91" i="5"/>
  <c r="CB93" i="5"/>
  <c r="CB95" i="5"/>
  <c r="CB97" i="5"/>
  <c r="CB99" i="5"/>
  <c r="CB101" i="5"/>
  <c r="CB103" i="5"/>
  <c r="CB66" i="5"/>
  <c r="CB68" i="5"/>
  <c r="CB70" i="5"/>
  <c r="CB72" i="5"/>
  <c r="CB74" i="5"/>
  <c r="CB76" i="5"/>
  <c r="CB78" i="5"/>
  <c r="CB80" i="5"/>
  <c r="CB82" i="5"/>
  <c r="CB84" i="5"/>
  <c r="CB86" i="5"/>
  <c r="CB88" i="5"/>
  <c r="CB90" i="5"/>
  <c r="CB92" i="5"/>
  <c r="CB94" i="5"/>
  <c r="CB96" i="5"/>
  <c r="CB98" i="5"/>
  <c r="CB100" i="5"/>
  <c r="CB102" i="5"/>
  <c r="CB64" i="5"/>
  <c r="CC65" i="5"/>
  <c r="CC67" i="5"/>
  <c r="CC69" i="5"/>
  <c r="CC71" i="5"/>
  <c r="CC73" i="5"/>
  <c r="CC75" i="5"/>
  <c r="CC77" i="5"/>
  <c r="CC79" i="5"/>
  <c r="CC81" i="5"/>
  <c r="CC83" i="5"/>
  <c r="CC85" i="5"/>
  <c r="CC87" i="5"/>
  <c r="CC89" i="5"/>
  <c r="CC91" i="5"/>
  <c r="CC93" i="5"/>
  <c r="CC95" i="5"/>
  <c r="CC97" i="5"/>
  <c r="CC99" i="5"/>
  <c r="CC101" i="5"/>
  <c r="CC103" i="5"/>
  <c r="CC66" i="5"/>
  <c r="CC68" i="5"/>
  <c r="CC70" i="5"/>
  <c r="CC72" i="5"/>
  <c r="CC74" i="5"/>
  <c r="CC76" i="5"/>
  <c r="CC78" i="5"/>
  <c r="CC80" i="5"/>
  <c r="CC82" i="5"/>
  <c r="CC84" i="5"/>
  <c r="CC86" i="5"/>
  <c r="CC88" i="5"/>
  <c r="CC90" i="5"/>
  <c r="CC92" i="5"/>
  <c r="CC94" i="5"/>
  <c r="CC96" i="5"/>
  <c r="CC98" i="5"/>
  <c r="CC100" i="5"/>
  <c r="CC102" i="5"/>
  <c r="CC64" i="5"/>
  <c r="CH102" i="5" l="1"/>
  <c r="CI102" i="5"/>
  <c r="CH98" i="5"/>
  <c r="CI98" i="5"/>
  <c r="CH94" i="5"/>
  <c r="CI94" i="5"/>
  <c r="CH90" i="5"/>
  <c r="CI90" i="5"/>
  <c r="CH86" i="5"/>
  <c r="CI86" i="5"/>
  <c r="CH82" i="5"/>
  <c r="CI82" i="5"/>
  <c r="CH78" i="5"/>
  <c r="CI78" i="5"/>
  <c r="CH74" i="5"/>
  <c r="CI74" i="5"/>
  <c r="CH70" i="5"/>
  <c r="CI70" i="5"/>
  <c r="CH66" i="5"/>
  <c r="CI66" i="5"/>
  <c r="CH101" i="5"/>
  <c r="CI101" i="5"/>
  <c r="CH97" i="5"/>
  <c r="CI97" i="5"/>
  <c r="CH93" i="5"/>
  <c r="CI93" i="5"/>
  <c r="CH89" i="5"/>
  <c r="CI89" i="5"/>
  <c r="CH85" i="5"/>
  <c r="CI85" i="5"/>
  <c r="CH81" i="5"/>
  <c r="CI81" i="5"/>
  <c r="CH77" i="5"/>
  <c r="CI77" i="5"/>
  <c r="CH73" i="5"/>
  <c r="CI73" i="5"/>
  <c r="CH69" i="5"/>
  <c r="CI69" i="5"/>
  <c r="CH65" i="5"/>
  <c r="CI65" i="5"/>
  <c r="CH64" i="5"/>
  <c r="CI64" i="5"/>
  <c r="CH100" i="5"/>
  <c r="CI100" i="5"/>
  <c r="CH96" i="5"/>
  <c r="CI96" i="5"/>
  <c r="CH92" i="5"/>
  <c r="CI92" i="5"/>
  <c r="CH88" i="5"/>
  <c r="CI88" i="5"/>
  <c r="CH84" i="5"/>
  <c r="CI84" i="5"/>
  <c r="CH80" i="5"/>
  <c r="CI80" i="5"/>
  <c r="CH76" i="5"/>
  <c r="CI76" i="5"/>
  <c r="CI72" i="5"/>
  <c r="CH68" i="5"/>
  <c r="CI68" i="5"/>
  <c r="CH103" i="5"/>
  <c r="CI103" i="5"/>
  <c r="CH99" i="5"/>
  <c r="CI99" i="5"/>
  <c r="CH95" i="5"/>
  <c r="CI95" i="5"/>
  <c r="CH91" i="5"/>
  <c r="CI91" i="5"/>
  <c r="CH87" i="5"/>
  <c r="CI87" i="5"/>
  <c r="CH83" i="5"/>
  <c r="CI83" i="5"/>
  <c r="CH79" i="5"/>
  <c r="CI79" i="5"/>
  <c r="CH75" i="5"/>
  <c r="CH71" i="5"/>
  <c r="CI71" i="5"/>
  <c r="CH67" i="5"/>
  <c r="CI67" i="5"/>
  <c r="BI84" i="5"/>
  <c r="BI85" i="5" s="1"/>
  <c r="BT70" i="5"/>
  <c r="BX69" i="5"/>
  <c r="BY69" i="5" s="1"/>
  <c r="BH83" i="5"/>
  <c r="BH84" i="5" s="1"/>
  <c r="BH85" i="5" s="1"/>
  <c r="BH125" i="5"/>
  <c r="BH122" i="5"/>
  <c r="BM122" i="5" s="1"/>
  <c r="C6" i="5"/>
  <c r="B124" i="5" l="1"/>
  <c r="BL125" i="5"/>
  <c r="BM125" i="5"/>
  <c r="BL122" i="5"/>
  <c r="BL123" i="5" s="1"/>
  <c r="L125" i="5" s="1"/>
  <c r="BH128" i="5"/>
  <c r="BT71" i="5"/>
  <c r="BX70" i="5"/>
  <c r="BY70" i="5" s="1"/>
  <c r="BH86" i="5"/>
  <c r="BH87" i="5" s="1"/>
  <c r="BH88" i="5" s="1"/>
  <c r="BH89" i="5" s="1"/>
  <c r="BI86" i="5"/>
  <c r="BI87" i="5" s="1"/>
  <c r="BI88" i="5" s="1"/>
  <c r="BI89" i="5" s="1"/>
  <c r="BI90" i="5" s="1"/>
  <c r="BI91" i="5" s="1"/>
  <c r="BI92" i="5" s="1"/>
  <c r="BI93" i="5" s="1"/>
  <c r="BI94" i="5" s="1"/>
  <c r="BI95" i="5" s="1"/>
  <c r="BI96" i="5" s="1"/>
  <c r="BI97" i="5" s="1"/>
  <c r="BI98" i="5" s="1"/>
  <c r="BI99" i="5" s="1"/>
  <c r="BI100" i="5" s="1"/>
  <c r="BI101" i="5" s="1"/>
  <c r="BI102" i="5" s="1"/>
  <c r="BI103" i="5" s="1"/>
  <c r="BL126" i="5" l="1"/>
  <c r="L126" i="5" s="1"/>
  <c r="BL128" i="5"/>
  <c r="BM128" i="5"/>
  <c r="BT72" i="5"/>
  <c r="BX71" i="5"/>
  <c r="BY71" i="5" s="1"/>
  <c r="BH90" i="5"/>
  <c r="BH91" i="5" s="1"/>
  <c r="BH92" i="5" s="1"/>
  <c r="BH93" i="5" s="1"/>
  <c r="BH94" i="5" s="1"/>
  <c r="BH95" i="5" s="1"/>
  <c r="BH96" i="5" s="1"/>
  <c r="BH97" i="5" s="1"/>
  <c r="BH98" i="5" s="1"/>
  <c r="BH99" i="5" s="1"/>
  <c r="BH100" i="5" s="1"/>
  <c r="BL129" i="5" l="1"/>
  <c r="L127" i="5" s="1"/>
  <c r="BT73" i="5"/>
  <c r="BX72" i="5"/>
  <c r="BY72" i="5" s="1"/>
  <c r="BH101" i="5"/>
  <c r="BH102" i="5" s="1"/>
  <c r="BH103" i="5" s="1"/>
  <c r="BX73" i="5" l="1"/>
  <c r="BY73" i="5" s="1"/>
  <c r="BT74" i="5"/>
  <c r="BX74" i="5" l="1"/>
  <c r="BY74" i="5" s="1"/>
  <c r="BT75" i="5"/>
  <c r="BT76" i="5" l="1"/>
  <c r="BX75" i="5"/>
  <c r="BY75" i="5" s="1"/>
  <c r="BT77" i="5" l="1"/>
  <c r="BX76" i="5"/>
  <c r="BY76" i="5" s="1"/>
  <c r="BT78" i="5" l="1"/>
  <c r="BX77" i="5"/>
  <c r="BY77" i="5" s="1"/>
  <c r="BT79" i="5" l="1"/>
  <c r="CE79" i="5" s="1"/>
  <c r="BX78" i="5"/>
  <c r="BY78" i="5" s="1"/>
  <c r="BT80" i="5" l="1"/>
  <c r="BX79" i="5"/>
  <c r="BY79" i="5" s="1"/>
  <c r="BT81" i="5" l="1"/>
  <c r="CE81" i="5" s="1"/>
  <c r="BX80" i="5"/>
  <c r="BY80" i="5" s="1"/>
  <c r="BT82" i="5" l="1"/>
  <c r="CE82" i="5" s="1"/>
  <c r="BX81" i="5"/>
  <c r="BY81" i="5" s="1"/>
  <c r="BT83" i="5" l="1"/>
  <c r="BX82" i="5"/>
  <c r="BY82" i="5" s="1"/>
  <c r="BX83" i="5" l="1"/>
  <c r="BY83" i="5" s="1"/>
  <c r="BT84" i="5"/>
  <c r="BT85" i="5" l="1"/>
  <c r="CF85" i="5" s="1"/>
  <c r="BX84" i="5"/>
  <c r="BY84" i="5" s="1"/>
  <c r="BT86" i="5" l="1"/>
  <c r="CE86" i="5" s="1"/>
  <c r="BX85" i="5"/>
  <c r="BY85" i="5" s="1"/>
  <c r="C27" i="5"/>
  <c r="E27" i="5" s="1"/>
  <c r="I24" i="5"/>
  <c r="BT87" i="5" l="1"/>
  <c r="CF87" i="5" s="1"/>
  <c r="BX86" i="5"/>
  <c r="BY86" i="5" s="1"/>
  <c r="G27" i="5"/>
  <c r="BT88" i="5" l="1"/>
  <c r="CF88" i="5" s="1"/>
  <c r="BX87" i="5"/>
  <c r="BY87" i="5" s="1"/>
  <c r="BT89" i="5" l="1"/>
  <c r="BX88" i="5"/>
  <c r="BY88" i="5" s="1"/>
  <c r="BT90" i="5" l="1"/>
  <c r="BX89" i="5"/>
  <c r="BY89" i="5" s="1"/>
  <c r="C26" i="5"/>
  <c r="C25" i="5"/>
  <c r="G24" i="5"/>
  <c r="E24" i="5"/>
  <c r="G19" i="5"/>
  <c r="C19" i="5" s="1"/>
  <c r="E19" i="5" s="1"/>
  <c r="G20" i="5"/>
  <c r="I20" i="5" s="1"/>
  <c r="K18" i="5"/>
  <c r="I18" i="5"/>
  <c r="C18" i="5"/>
  <c r="E18" i="5" s="1"/>
  <c r="G16" i="5"/>
  <c r="I16" i="5" s="1"/>
  <c r="C17" i="5"/>
  <c r="G17" i="5" s="1"/>
  <c r="E16" i="5"/>
  <c r="K16" i="5" l="1"/>
  <c r="BT91" i="5"/>
  <c r="BX90" i="5"/>
  <c r="BY90" i="5" s="1"/>
  <c r="G25" i="5"/>
  <c r="I25" i="5"/>
  <c r="E26" i="5"/>
  <c r="I26" i="5"/>
  <c r="C20" i="5"/>
  <c r="E20" i="5" s="1"/>
  <c r="K19" i="5"/>
  <c r="K17" i="5"/>
  <c r="I17" i="5"/>
  <c r="E10" i="5"/>
  <c r="C12" i="5"/>
  <c r="E12" i="5" s="1"/>
  <c r="G10" i="5"/>
  <c r="C11" i="5"/>
  <c r="G11" i="5" s="1"/>
  <c r="BT92" i="5" l="1"/>
  <c r="BX91" i="5"/>
  <c r="BY91" i="5" s="1"/>
  <c r="BT93" i="5" l="1"/>
  <c r="BX92" i="5"/>
  <c r="BY92" i="5" s="1"/>
  <c r="BT94" i="5" l="1"/>
  <c r="BX93" i="5"/>
  <c r="BY93" i="5" s="1"/>
  <c r="BT95" i="5" l="1"/>
  <c r="BX94" i="5"/>
  <c r="BY94" i="5" s="1"/>
  <c r="BT96" i="5" l="1"/>
  <c r="BX95" i="5"/>
  <c r="BY95" i="5" s="1"/>
  <c r="E5" i="5"/>
  <c r="BT97" i="5" l="1"/>
  <c r="BX96" i="5"/>
  <c r="BY96" i="5" s="1"/>
  <c r="BT98" i="5" l="1"/>
  <c r="BX97" i="5"/>
  <c r="BY97" i="5" s="1"/>
  <c r="BT99" i="5" l="1"/>
  <c r="BX98" i="5"/>
  <c r="BY98" i="5" s="1"/>
  <c r="I238" i="4"/>
  <c r="BT100" i="5" l="1"/>
  <c r="BX99" i="5"/>
  <c r="BY99" i="5" s="1"/>
  <c r="BT101" i="5" l="1"/>
  <c r="BX100" i="5"/>
  <c r="BY100" i="5" s="1"/>
  <c r="AE121" i="4"/>
  <c r="AC121" i="4"/>
  <c r="BT102" i="5" l="1"/>
  <c r="BX101" i="5"/>
  <c r="BY101" i="5" s="1"/>
  <c r="BT103" i="5" l="1"/>
  <c r="BX102" i="5"/>
  <c r="BY102" i="5" s="1"/>
  <c r="BX103" i="5" l="1"/>
  <c r="BY103" i="5" s="1"/>
  <c r="K38" i="4" l="1"/>
  <c r="G62" i="4" l="1"/>
  <c r="G38" i="4"/>
  <c r="I240" i="4" l="1"/>
  <c r="I241" i="4" s="1"/>
  <c r="I242" i="4" l="1"/>
  <c r="D16" i="1"/>
  <c r="G16" i="1" s="1"/>
  <c r="I247" i="4"/>
  <c r="I248" i="4" l="1"/>
  <c r="C65" i="4" s="1"/>
  <c r="I243" i="4"/>
  <c r="I252" i="4" l="1"/>
  <c r="I251" i="4"/>
  <c r="K25" i="4"/>
  <c r="A2" i="1" l="1"/>
  <c r="D14" i="1" l="1"/>
  <c r="G14" i="1" s="1"/>
  <c r="D15" i="1"/>
  <c r="G15" i="1" s="1"/>
  <c r="D13" i="1" l="1"/>
  <c r="G13" i="1" s="1"/>
  <c r="AC128" i="4" s="1"/>
  <c r="D12" i="1"/>
  <c r="D11" i="1"/>
  <c r="G11" i="1" s="1"/>
  <c r="Z128" i="4" l="1"/>
  <c r="G12" i="1"/>
  <c r="AC127" i="4" l="1"/>
  <c r="Z127" i="4" s="1"/>
  <c r="D10" i="1" l="1"/>
  <c r="G10" i="1" s="1"/>
  <c r="D9" i="1"/>
  <c r="G9" i="1" s="1"/>
  <c r="D8" i="1"/>
  <c r="G8" i="1" s="1"/>
  <c r="AE124" i="4" l="1"/>
  <c r="AE132" i="4" s="1"/>
  <c r="AL128" i="4" s="1"/>
  <c r="AL129" i="4" s="1"/>
  <c r="AL130" i="4" s="1"/>
  <c r="AD123" i="4"/>
  <c r="AB123" i="4"/>
  <c r="Z123" i="4" s="1"/>
  <c r="AC124" i="4"/>
  <c r="Z124" i="4" s="1"/>
  <c r="I23" i="4" l="1"/>
  <c r="I24" i="4"/>
  <c r="AL131" i="4"/>
  <c r="AC132" i="4"/>
  <c r="AI128" i="4" s="1"/>
  <c r="AI129" i="4" s="1"/>
  <c r="AI130" i="4" s="1"/>
  <c r="AD132" i="4"/>
  <c r="AK128" i="4" s="1"/>
  <c r="AB132" i="4"/>
  <c r="AH128" i="4" s="1"/>
  <c r="M24" i="4"/>
  <c r="M23" i="4"/>
  <c r="X17" i="4" l="1"/>
  <c r="AL132" i="4"/>
  <c r="AL133" i="4" s="1"/>
  <c r="AL134" i="4" s="1"/>
  <c r="AI131" i="4"/>
  <c r="AI132" i="4" s="1"/>
  <c r="AI133" i="4" s="1"/>
  <c r="AI134" i="4" s="1"/>
  <c r="AK129" i="4"/>
  <c r="AM128" i="4"/>
  <c r="AH129" i="4"/>
  <c r="AJ128" i="4"/>
  <c r="AE133" i="4"/>
  <c r="AC133" i="4"/>
  <c r="AB134" i="4"/>
  <c r="AC135" i="4" s="1"/>
  <c r="AC134" i="4"/>
  <c r="AD134" i="4"/>
  <c r="AE135" i="4" s="1"/>
  <c r="AE134" i="4"/>
  <c r="I25" i="4" l="1"/>
  <c r="G126" i="5"/>
  <c r="B94" i="5"/>
  <c r="B80" i="5"/>
  <c r="CG62" i="5"/>
  <c r="M124" i="5"/>
  <c r="B81" i="5"/>
  <c r="CE62" i="5"/>
  <c r="X18" i="4"/>
  <c r="X23" i="4"/>
  <c r="M25" i="4"/>
  <c r="AH130" i="4"/>
  <c r="AJ129" i="4"/>
  <c r="AK130" i="4"/>
  <c r="AM129" i="4"/>
  <c r="D62" i="4" l="1"/>
  <c r="M28" i="4"/>
  <c r="B84" i="5"/>
  <c r="D63" i="4"/>
  <c r="X19" i="4"/>
  <c r="F25" i="4" s="1"/>
  <c r="CJ78" i="5"/>
  <c r="CJ75" i="5"/>
  <c r="C129" i="5"/>
  <c r="B66" i="5"/>
  <c r="C127" i="5"/>
  <c r="B101" i="5"/>
  <c r="D92" i="5"/>
  <c r="CK62" i="5"/>
  <c r="CD62" i="5"/>
  <c r="G125" i="5"/>
  <c r="F92" i="5"/>
  <c r="B87" i="5"/>
  <c r="CF62" i="5"/>
  <c r="X24" i="4"/>
  <c r="AK131" i="4"/>
  <c r="AK132" i="4" s="1"/>
  <c r="AH131" i="4"/>
  <c r="AJ131" i="4" s="1"/>
  <c r="AM130" i="4"/>
  <c r="AJ130" i="4"/>
  <c r="B25" i="4" l="1"/>
  <c r="G41" i="4"/>
  <c r="G70" i="4"/>
  <c r="K23" i="4"/>
  <c r="K24" i="4"/>
  <c r="AH132" i="4"/>
  <c r="AH133" i="4" s="1"/>
  <c r="X20" i="4"/>
  <c r="E129" i="5"/>
  <c r="C125" i="5"/>
  <c r="B102" i="5"/>
  <c r="D93" i="5"/>
  <c r="M127" i="5"/>
  <c r="G122" i="5"/>
  <c r="F93" i="5"/>
  <c r="BI70" i="5"/>
  <c r="F99" i="5"/>
  <c r="D99" i="5"/>
  <c r="X25" i="4"/>
  <c r="AM131" i="4"/>
  <c r="AJ132" i="4"/>
  <c r="I255" i="4" s="1"/>
  <c r="F222" i="4" s="1"/>
  <c r="AK133" i="4"/>
  <c r="AM132" i="4"/>
  <c r="I256" i="4" s="1"/>
  <c r="F223" i="4" s="1"/>
  <c r="M27" i="4" l="1"/>
  <c r="O70" i="4"/>
  <c r="O38" i="4"/>
  <c r="X21" i="4"/>
  <c r="M56" i="4"/>
  <c r="M61" i="4"/>
  <c r="L59" i="4"/>
  <c r="K64" i="4"/>
  <c r="I257" i="4"/>
  <c r="AJ133" i="4"/>
  <c r="G42" i="4" s="1"/>
  <c r="AH134" i="4"/>
  <c r="AJ134" i="4" s="1"/>
  <c r="AM133" i="4"/>
  <c r="K42" i="4" s="1"/>
  <c r="AK134" i="4"/>
  <c r="AM134" i="4" s="1"/>
  <c r="K31" i="4" s="1"/>
  <c r="B42" i="4" l="1"/>
  <c r="X22" i="4"/>
  <c r="AD107" i="4"/>
  <c r="M69" i="4" s="1"/>
  <c r="C30" i="4"/>
  <c r="G30" i="4"/>
  <c r="M57" i="4"/>
  <c r="K70" i="4"/>
  <c r="K30" i="4"/>
  <c r="E31" i="5"/>
  <c r="D29" i="4"/>
  <c r="G31" i="4"/>
  <c r="C31" i="4"/>
  <c r="G64" i="4"/>
  <c r="AQ121" i="4"/>
  <c r="AL160" i="4" s="1"/>
  <c r="AM135" i="4"/>
  <c r="AH135" i="4"/>
  <c r="B64" i="4" l="1"/>
  <c r="I64" i="4"/>
  <c r="I62" i="4" s="1"/>
  <c r="I42" i="4"/>
  <c r="I41" i="4" s="1"/>
  <c r="AM160" i="4"/>
  <c r="U39" i="4" s="1"/>
  <c r="H39" i="4" s="1"/>
  <c r="AL161" i="4"/>
  <c r="L41" i="4" s="1"/>
  <c r="AR121" i="4"/>
  <c r="L29" i="4" s="1"/>
  <c r="AQ123" i="4"/>
  <c r="C47" i="4" l="1"/>
  <c r="C64" i="4"/>
  <c r="AR123" i="4"/>
  <c r="AI158" i="4"/>
  <c r="M63" i="4" l="1"/>
  <c r="M43" i="4" s="1"/>
  <c r="K44" i="4"/>
  <c r="AJ162" i="4"/>
  <c r="G45" i="4" s="1"/>
  <c r="AQ125" i="4" l="1"/>
  <c r="AJ163" i="4"/>
  <c r="K45" i="4" s="1"/>
  <c r="D46" i="4" l="1"/>
  <c r="AR125" i="4"/>
  <c r="M40" i="4" s="1"/>
</calcChain>
</file>

<file path=xl/comments1.xml><?xml version="1.0" encoding="utf-8"?>
<comments xmlns="http://schemas.openxmlformats.org/spreadsheetml/2006/main">
  <authors>
    <author>andreas</author>
  </authors>
  <commentList>
    <comment ref="I12" authorId="0" shapeId="0">
      <text>
        <r>
          <rPr>
            <sz val="11"/>
            <color indexed="81"/>
            <rFont val="Calibri"/>
            <family val="2"/>
            <scheme val="minor"/>
          </rPr>
          <t>Displaying precipitation/dose/cost ratios next to the results gives a frequent user additional information at a glance, whereas for a casual user this additional data could be rather distracting.
Default = No.</t>
        </r>
      </text>
    </comment>
    <comment ref="I14" authorId="0" shapeId="0">
      <text>
        <r>
          <rPr>
            <sz val="11"/>
            <color indexed="81"/>
            <rFont val="Calibri"/>
            <family val="2"/>
            <scheme val="minor"/>
          </rPr>
          <t>• English (Default)
• Deutsch
• Français
• Italiano
• Español
Translations from English performed by DeepL (https://www.deepl.com/translator)</t>
        </r>
      </text>
    </comment>
    <comment ref="C23" authorId="0" shapeId="0">
      <text>
        <r>
          <rPr>
            <sz val="11"/>
            <color indexed="81"/>
            <rFont val="Calibri"/>
            <family val="2"/>
            <scheme val="minor"/>
          </rPr>
          <t>Supported precipitants / iron compounds:
• FeO   -   Iron(II) oxide
• Fe₂O₃   -   Iron(III) oxide
• Fe₃O₄   -   Iron(II,III) oxide
• FeCl₂   -   Iron(II) chloride
• FeCl₃   -   Iron(III) chloride
• FeO(OH)   -   Iron(III) oxide-hydroxide
• Fe(OH)₂   -   Iron(II) hydroxide
• Fe(OH)₃   -   Iron(III) hydroxide
• Fe₂O₃·3H₂O   -   Iron(III) oxide trihydrate</t>
        </r>
      </text>
    </comment>
    <comment ref="C26" authorId="0" shapeId="0">
      <text>
        <r>
          <rPr>
            <sz val="11"/>
            <color indexed="81"/>
            <rFont val="Calibri"/>
            <family val="2"/>
            <scheme val="minor"/>
          </rPr>
          <t>Equation (1): Ferrous: Fe²⁺ + HS⁻ → FeS↓ +  H⁺
Equation (2): Ferric:    2Fe³⁺ + HS⁻ → 2Fe²⁺ + S⁰↓ +  H⁺
Ferrous iron precipitates directly with bisulfide (HS⁻) as ferrous sulfide (FeS) (Equation (1)). Ferric iron is, on the other hand, proposed to have an additional reaction step, as it needs to be reduced to ferrous iron before it precipitates sulfide, as in Equation (1). This reduction can either take place chemically during the oxidation of bisulfide to elemental sulfur (S⁰) (Equation (2)), or biochemically, where the oxidation power is utilized by a specific group of chemoautotrophic bacteria for respiration.
Source: Kinetics of sulfide precipitation with ferrous and ferric iron in wastewater
https://iwaponline.com/wst/article/78/5/1071/63765/Kinetics-of-sulfide-precipitation-with-ferrous-and</t>
        </r>
      </text>
    </comment>
    <comment ref="C27" authorId="0" shapeId="0">
      <text>
        <r>
          <rPr>
            <sz val="11"/>
            <color indexed="81"/>
            <rFont val="Calibri"/>
            <family val="2"/>
            <scheme val="minor"/>
          </rPr>
          <t xml:space="preserve">α for SBGx: Extra (additional) dosage factor for biological needs (biology booster)
Explanation:
</t>
        </r>
        <r>
          <rPr>
            <i/>
            <sz val="11"/>
            <color indexed="81"/>
            <rFont val="Calibri"/>
            <family val="2"/>
            <scheme val="minor"/>
          </rPr>
          <t>Why is it important to take a close look into Biochemistry in Anaerobic Digestion AD?
Methane production is a BIOLOGICAL PROCESS.
Very often we forget this!
The better we understand the biology of our most important bacteria and Archea the better will be the efficiency of the process to convert organic material into methane. 
Small improvements can have a huge influence on the output.
Biological stability and process efficiency is not a question of luck! We can decide where to go.
We can make sure that microorganism have the best conditions to growth and to give as the maximum or optimised performance.
We must believe in biochemistry! We must take the researches into practical application.
Using Iron Oxide as a Ferredoxin booster (to strengthen biology – bacteria) is an excellent example.</t>
        </r>
        <r>
          <rPr>
            <sz val="11"/>
            <color indexed="81"/>
            <rFont val="Calibri"/>
            <family val="2"/>
            <scheme val="minor"/>
          </rPr>
          <t xml:space="preserve">
Dr. G. Stocker, Eta GaS (https://www.etagas.eu/)
Source: https://www.linkedin.com/feed/update/urn:li:activity:6979021745252913154/</t>
        </r>
      </text>
    </comment>
    <comment ref="O31" authorId="0" shapeId="0">
      <text>
        <r>
          <rPr>
            <sz val="11"/>
            <color indexed="81"/>
            <rFont val="Calibri"/>
            <family val="2"/>
            <scheme val="minor"/>
          </rPr>
          <t xml:space="preserve">The derivation of the formula for calculating the </t>
        </r>
        <r>
          <rPr>
            <i/>
            <sz val="11"/>
            <color indexed="81"/>
            <rFont val="Calibri"/>
            <family val="2"/>
            <scheme val="minor"/>
          </rPr>
          <t>hydrogen sulphide reduction rate</t>
        </r>
        <r>
          <rPr>
            <sz val="11"/>
            <color indexed="81"/>
            <rFont val="Calibri"/>
            <family val="2"/>
            <scheme val="minor"/>
          </rPr>
          <t xml:space="preserve"> is based on the RIIC and the biological utilisation of the oxidation power released during the Fe³⁺ → Fe²⁺ reduction.
RIIC_IC = RIIC_IC(Iron compound) = Reactive Iron Ion Content of the iron compound (In general)
RIIC2 = RIIC2(Iron compound) = Reactive Iron(II) Ion Content of the iron compound (Compound ferrous)
RIIC3 = RIIC3(Iron compound) = Reactive Iron(III) Ion Content of the iron compound (Compound ferric)
C2 = C2(Additive) = Content of the Iron(II) compound in the additive
C3 = C3(Additive) = Content of the Iron(III) compound in the additive
RIIC = RIIC(Additive) = RIIC of the additive = C2 x RIIC2 + C3 x RIIC3
SBP2 = Sulphur Binding Potential of an iron(II) ion = 1
SBP3 = Sulphur Binding Potential of an iron(III) ion = Y; 1 ≤ Y ≤ 1.5, depending on the biological utilisation
Biological utilisation: See info ⓘ at </t>
        </r>
        <r>
          <rPr>
            <i/>
            <sz val="11"/>
            <color indexed="81"/>
            <rFont val="Calibri"/>
            <family val="2"/>
            <scheme val="minor"/>
          </rPr>
          <t>Ratio [%] of oxidation power utilised biologically</t>
        </r>
        <r>
          <rPr>
            <sz val="11"/>
            <color indexed="81"/>
            <rFont val="Calibri"/>
            <family val="2"/>
            <scheme val="minor"/>
          </rPr>
          <t xml:space="preserve">
M(H₂S) = Molecular mass of hydrogen sulphide
A(Fe) = Atomic mass of iron
A(S) = Atomic mass of sulphur
RR = RR(Additive) = Reduction rate of the iron-based additive
= (C2 x RIIC2 x SBP2 + C3 x RIIC3 x SBP3) / A(Fe)</t>
        </r>
        <r>
          <rPr>
            <b/>
            <sz val="11"/>
            <color indexed="81"/>
            <rFont val="Calibri"/>
            <family val="2"/>
            <scheme val="minor"/>
          </rPr>
          <t xml:space="preserve">
</t>
        </r>
        <r>
          <rPr>
            <sz val="11"/>
            <color indexed="81"/>
            <rFont val="Calibri"/>
            <family val="2"/>
            <scheme val="minor"/>
          </rPr>
          <t xml:space="preserve">
</t>
        </r>
        <r>
          <rPr>
            <b/>
            <sz val="11"/>
            <color indexed="81"/>
            <rFont val="Calibri"/>
            <family val="2"/>
            <scheme val="minor"/>
          </rPr>
          <t xml:space="preserve">H₂S-RR(Additive) = Hydrogen sulphide reduction rate of the additive
= RR x </t>
        </r>
        <r>
          <rPr>
            <b/>
            <i/>
            <sz val="11"/>
            <color indexed="81"/>
            <rFont val="Calibri"/>
            <family val="2"/>
            <scheme val="minor"/>
          </rPr>
          <t>M(H₂S)</t>
        </r>
        <r>
          <rPr>
            <sz val="11"/>
            <color indexed="81"/>
            <rFont val="Calibri"/>
            <family val="2"/>
            <scheme val="minor"/>
          </rPr>
          <t xml:space="preserve">
</t>
        </r>
        <r>
          <rPr>
            <b/>
            <sz val="11"/>
            <color indexed="81"/>
            <rFont val="Calibri"/>
            <family val="2"/>
            <scheme val="minor"/>
          </rPr>
          <t xml:space="preserve">S-PR(Additive) = Sulphur precipitation rate of the additive
= RR x </t>
        </r>
        <r>
          <rPr>
            <b/>
            <i/>
            <sz val="11"/>
            <color indexed="81"/>
            <rFont val="Calibri"/>
            <family val="2"/>
            <scheme val="minor"/>
          </rPr>
          <t>A(S)</t>
        </r>
        <r>
          <rPr>
            <sz val="11"/>
            <color indexed="81"/>
            <rFont val="Calibri"/>
            <family val="2"/>
            <scheme val="minor"/>
          </rPr>
          <t xml:space="preserve">
Example: H₂S-RR(Additive_XY) = 0.4338 and S-PR(Additive_XY) = 0.4081
→ With 100 kg of the Additive_XY 43.38 kg of H₂S can be reduced by precipitating 40.81 kg of sulphur</t>
        </r>
      </text>
    </comment>
    <comment ref="C39" authorId="0" shapeId="0">
      <text>
        <r>
          <rPr>
            <sz val="11"/>
            <color indexed="81"/>
            <rFont val="Calibri"/>
            <family val="2"/>
            <scheme val="minor"/>
          </rPr>
          <t>Supported units for pricing:
• Kilogram [/kg]
• Pound [/lb]
• Metric ton (Tonne) [/t]
• Imperial ton [/t]
• US short ton [/t]
• Litre [/l]
• Imperial gallon [/gal]
• US gallon [/gal]</t>
        </r>
      </text>
    </comment>
    <comment ref="O41" authorId="0" shapeId="0">
      <text>
        <r>
          <rPr>
            <sz val="11"/>
            <color indexed="81"/>
            <rFont val="Calibri"/>
            <family val="2"/>
            <scheme val="minor"/>
          </rPr>
          <t xml:space="preserve">This function is only available in the Standard version with the option "Show ratios" set to "Yes".
The calculation of the value for the </t>
        </r>
        <r>
          <rPr>
            <i/>
            <sz val="11"/>
            <color indexed="81"/>
            <rFont val="Calibri"/>
            <family val="2"/>
            <scheme val="minor"/>
          </rPr>
          <t>equivalent pricing</t>
        </r>
        <r>
          <rPr>
            <sz val="11"/>
            <color indexed="81"/>
            <rFont val="Calibri"/>
            <family val="2"/>
            <scheme val="minor"/>
          </rPr>
          <t xml:space="preserve"> for SBGx is based on the difference between the H₂S reduction rate of your additive and that of SBGx. If SBGx were sold at the equivalent price displayed, this would mean that the desulphurisation costs with SBGx would be the same as with your additive.
Any price for SBGx below the equivalent price leads to additive cost savings for the customer.
Required entries to calculate the equivalent price:
• Content of the iron compound(s) of your additive
• Price of your additive
For the value to be displayed, the cell for the price of SBGx must be empty/blank. (Select the cell and press the &lt;Delete&gt; button)
The function also works in the opposite direction.
If the cell with the value for the price for your additive is empty and the price for SBGx is set, then the equivalent price for your additive is displayed in the empty cell.</t>
        </r>
      </text>
    </comment>
    <comment ref="O42" authorId="0" shapeId="0">
      <text>
        <r>
          <rPr>
            <sz val="11"/>
            <color indexed="81"/>
            <rFont val="Calibri"/>
            <family val="2"/>
            <scheme val="minor"/>
          </rPr>
          <t xml:space="preserve">This is a very reliable, general method for a </t>
        </r>
        <r>
          <rPr>
            <i/>
            <sz val="11"/>
            <color indexed="81"/>
            <rFont val="Calibri"/>
            <family val="2"/>
            <scheme val="minor"/>
          </rPr>
          <t>relative</t>
        </r>
        <r>
          <rPr>
            <sz val="11"/>
            <color indexed="81"/>
            <rFont val="Calibri"/>
            <family val="2"/>
            <scheme val="minor"/>
          </rPr>
          <t xml:space="preserve"> comparison of the costs of different additives.
The value of the </t>
        </r>
        <r>
          <rPr>
            <i/>
            <sz val="11"/>
            <color indexed="81"/>
            <rFont val="Calibri"/>
            <family val="2"/>
            <scheme val="minor"/>
          </rPr>
          <t>RIIC cost index</t>
        </r>
        <r>
          <rPr>
            <sz val="11"/>
            <color indexed="81"/>
            <rFont val="Calibri"/>
            <family val="2"/>
            <scheme val="minor"/>
          </rPr>
          <t xml:space="preserve"> reflects the </t>
        </r>
        <r>
          <rPr>
            <b/>
            <sz val="11"/>
            <color indexed="81"/>
            <rFont val="Calibri"/>
            <family val="2"/>
            <scheme val="minor"/>
          </rPr>
          <t>costs incurred with the additive to reduce around 610 kg of hydrogen sulphide (H₂S) in the substrate.</t>
        </r>
        <r>
          <rPr>
            <sz val="11"/>
            <color indexed="81"/>
            <rFont val="Calibri"/>
            <family val="2"/>
            <scheme val="minor"/>
          </rPr>
          <t xml:space="preserve"> (See below for explanation and calculation)
The relative ratios (in per cent) of the various </t>
        </r>
        <r>
          <rPr>
            <i/>
            <sz val="11"/>
            <color indexed="81"/>
            <rFont val="Calibri"/>
            <family val="2"/>
            <scheme val="minor"/>
          </rPr>
          <t>RIIC cost indices</t>
        </r>
        <r>
          <rPr>
            <sz val="11"/>
            <color indexed="81"/>
            <rFont val="Calibri"/>
            <family val="2"/>
            <scheme val="minor"/>
          </rPr>
          <t xml:space="preserve"> allow </t>
        </r>
        <r>
          <rPr>
            <i/>
            <sz val="11"/>
            <color indexed="81"/>
            <rFont val="Calibri"/>
            <family val="2"/>
            <scheme val="minor"/>
          </rPr>
          <t>percentage comparisons</t>
        </r>
        <r>
          <rPr>
            <sz val="11"/>
            <color indexed="81"/>
            <rFont val="Calibri"/>
            <family val="2"/>
            <scheme val="minor"/>
          </rPr>
          <t xml:space="preserve"> of desulphurisation costs with the corresponding additives.
Example:
- Additive A: RIIC cost index = 2'000
- Additive B: RIIC cost index = 1'500
→ Costs for A are 33.3% higher than costs for B, respectively
→ Costs for B are 25% lower than costs for A
The required parameters for the index calculations are:
• Precipitant(s) in your additive (e.g. FeCl₃ or Fe(OH)₂ or ...)
• Content(s) of the precipitant(s) in your additive (e.g. 37.76%)
• Price of your additive
• Quoted price of SBGx
Formula: RIIC_cost_index = Price_per_metric_ton / H₂S_reduction_rate
By dividing the </t>
        </r>
        <r>
          <rPr>
            <i/>
            <sz val="11"/>
            <color indexed="81"/>
            <rFont val="Calibri"/>
            <family val="2"/>
            <scheme val="minor"/>
          </rPr>
          <t>price per metric ton</t>
        </r>
        <r>
          <rPr>
            <sz val="11"/>
            <color indexed="81"/>
            <rFont val="Calibri"/>
            <family val="2"/>
            <scheme val="minor"/>
          </rPr>
          <t xml:space="preserve"> of any additive by its </t>
        </r>
        <r>
          <rPr>
            <i/>
            <sz val="11"/>
            <color indexed="81"/>
            <rFont val="Calibri"/>
            <family val="2"/>
            <scheme val="minor"/>
          </rPr>
          <t>H₂S reduction rate (H₂S-RR)</t>
        </r>
        <r>
          <rPr>
            <sz val="11"/>
            <color indexed="81"/>
            <rFont val="Calibri"/>
            <family val="2"/>
            <scheme val="minor"/>
          </rPr>
          <t xml:space="preserve">, the costs for all additives can be brought to a common denominator ("Index") and can now be compared very easily:
</t>
        </r>
        <r>
          <rPr>
            <i/>
            <sz val="11"/>
            <color indexed="81"/>
            <rFont val="Calibri"/>
            <family val="2"/>
            <scheme val="minor"/>
          </rPr>
          <t>The lower the cost index, the better.</t>
        </r>
        <r>
          <rPr>
            <sz val="11"/>
            <color indexed="81"/>
            <rFont val="Calibri"/>
            <family val="2"/>
            <scheme val="minor"/>
          </rPr>
          <t xml:space="preserve">
What does the value of the </t>
        </r>
        <r>
          <rPr>
            <i/>
            <sz val="11"/>
            <color indexed="81"/>
            <rFont val="Calibri"/>
            <family val="2"/>
            <scheme val="minor"/>
          </rPr>
          <t>RIIC cost index</t>
        </r>
        <r>
          <rPr>
            <sz val="11"/>
            <color indexed="81"/>
            <rFont val="Calibri"/>
            <family val="2"/>
            <scheme val="minor"/>
          </rPr>
          <t xml:space="preserve"> exactly mean?
It indicates how much an additive costs to achieve the </t>
        </r>
        <r>
          <rPr>
            <i/>
            <sz val="11"/>
            <color indexed="81"/>
            <rFont val="Calibri"/>
            <family val="2"/>
            <scheme val="minor"/>
          </rPr>
          <t>same H₂S reduction effect</t>
        </r>
        <r>
          <rPr>
            <sz val="11"/>
            <color indexed="81"/>
            <rFont val="Calibri"/>
            <family val="2"/>
            <scheme val="minor"/>
          </rPr>
          <t xml:space="preserve"> as one metric ton of a </t>
        </r>
        <r>
          <rPr>
            <i/>
            <sz val="11"/>
            <color indexed="81"/>
            <rFont val="Calibri"/>
            <family val="2"/>
            <scheme val="minor"/>
          </rPr>
          <t>ferrous</t>
        </r>
        <r>
          <rPr>
            <sz val="11"/>
            <color indexed="81"/>
            <rFont val="Calibri"/>
            <family val="2"/>
            <scheme val="minor"/>
          </rPr>
          <t xml:space="preserve"> reference additive with a </t>
        </r>
        <r>
          <rPr>
            <i/>
            <sz val="11"/>
            <color indexed="81"/>
            <rFont val="Calibri"/>
            <family val="2"/>
            <scheme val="minor"/>
          </rPr>
          <t>theoretical</t>
        </r>
        <r>
          <rPr>
            <sz val="11"/>
            <color indexed="81"/>
            <rFont val="Calibri"/>
            <family val="2"/>
            <scheme val="minor"/>
          </rPr>
          <t xml:space="preserve"> (Fe²⁺-) H₂S-RR of 100%.
1'000 kg </t>
        </r>
        <r>
          <rPr>
            <b/>
            <sz val="11"/>
            <color indexed="81"/>
            <rFont val="Calibri"/>
            <family val="2"/>
            <scheme val="minor"/>
          </rPr>
          <t>Fe²⁺</t>
        </r>
        <r>
          <rPr>
            <sz val="11"/>
            <color indexed="81"/>
            <rFont val="Calibri"/>
            <family val="2"/>
            <scheme val="minor"/>
          </rPr>
          <t xml:space="preserve"> → 1'000 kg H₂S x M(H₂S) [34.08] / M(Fe) [55.845] = </t>
        </r>
        <r>
          <rPr>
            <b/>
            <i/>
            <sz val="11"/>
            <color indexed="81"/>
            <rFont val="Calibri"/>
            <family val="2"/>
            <scheme val="minor"/>
          </rPr>
          <t>610.26 kg H₂S</t>
        </r>
        <r>
          <rPr>
            <sz val="11"/>
            <color indexed="81"/>
            <rFont val="Calibri"/>
            <family val="2"/>
            <scheme val="minor"/>
          </rPr>
          <t xml:space="preserve">
Note: 
The H₂S-RR, which we use for this calculation, is derived from the RIIC.
Since the calculation of the H₂S-RR of an additive, in contrast to calculating its RIIC, also takes into account whether the iron ions are ferrous (Fe²⁺) or ferric (Fe³⁺), the </t>
        </r>
        <r>
          <rPr>
            <i/>
            <sz val="11"/>
            <color indexed="81"/>
            <rFont val="Calibri"/>
            <family val="2"/>
            <scheme val="minor"/>
          </rPr>
          <t>H₂S-RR is even more accurate than the RIIC itself.</t>
        </r>
      </text>
    </comment>
    <comment ref="C43" authorId="0" shapeId="0">
      <text>
        <r>
          <rPr>
            <sz val="11"/>
            <color indexed="81"/>
            <rFont val="Calibri"/>
            <family val="2"/>
            <scheme val="minor"/>
          </rPr>
          <t>Supported units of measurement:
• Kilogram [kg/day]
• Pound [lb/day]
• Metric ton (Tonne) [t/day]
• Imperial ton [t/day]
• US short ton [t/day]
• Litre [l/day]
• Imperial gallon [gal/day]
• US gallon [gal/day]</t>
        </r>
      </text>
    </comment>
    <comment ref="O45" authorId="0" shapeId="0">
      <text>
        <r>
          <rPr>
            <sz val="9"/>
            <color indexed="81"/>
            <rFont val="Courier New"/>
            <family val="3"/>
          </rPr>
          <t>Comparison: Conversion factors
Imperial/US          Metric
Mass                 Kilogram [kg]
1 Pound [lb] =          0.45359237
1 Imp ton [t] =      1016.0469     = 2240 lb
1 US ton [t] =        907.18474    = 2000 lb
Volume               Litre [l]
1 Imp gallon [gal] = 4.54609
1 US gallon [gal] =  3.785411784
Unit converters: See sheet "Tools - Info"</t>
        </r>
      </text>
    </comment>
    <comment ref="O47" authorId="0" shapeId="0">
      <text>
        <r>
          <rPr>
            <sz val="11"/>
            <color indexed="81"/>
            <rFont val="Calibri"/>
            <family val="2"/>
            <scheme val="minor"/>
          </rPr>
          <t>Calculations of the ratio between the storage space required for two additives:
• Solid / powder
Additives that are solid, like SBGx, have a similar density around 5 kg/l, ignoring the general rule, that the higher the RIIC, the higher the density.
The storage space required is reciprocal to the H₂S reduction rate (≈ RIIC) ratio of the two additives.
Example: Additive A has twice the H₂S reduction rate of additive B. This means that additive A requires half the storage space that additive B requires to reduce the same mass of sulphide (as FeS).
• Liquid
Liquid additives that we know of have a density of about 1.4 kg/l, which is less than a third of SBGx.
If a tank for a liquid additive is to be replaced by storage racks for the storage of SBGx, then a part of the freed space would be needed for new racks to be set up.
Therefore, the volume of the previous storage capacity will not be fully available for the storage of SBGx, only a fraction. Our assumption: One third.
In short: Our calculation regarding the increased storage space utilisation by SBGx assumes that only one third of the previous storage space will be available - and needed - when replacing a liquid additive by SBGx.</t>
        </r>
      </text>
    </comment>
    <comment ref="D57" authorId="0" shapeId="0">
      <text>
        <r>
          <rPr>
            <sz val="11"/>
            <color indexed="81"/>
            <rFont val="Calibri"/>
            <family val="2"/>
            <scheme val="minor"/>
          </rPr>
          <t>Overdose factor β: Value between 1.7 and 5 recommended, as a high iron ion content leads to additional iron ions being used up for precipitation of phosphates and carbonates.
• Ries: β between 1.7 and 2.3 (1.7 ≤ β ≤ 2.3)
Reference: Ries, T. (1993): Reduzierung der Schwefelwasserstoffbildung im Faulraum durch Zugabe von Eisenchlorid. Schriftenreihe der Siedlungswasserwirtschaft Bochum, Nr. 25.
• Oechsner: β between 3 and 5 (3 ≤ β ≤ 5)
Reference: Oechsner, H. (2000): Biogas in Blockheizkraftwerken. Landesanstalt für Landwirtschaftliches Maschinen- und Bauwesen der Universität Hohenheim, Stuttgart-Hohenheim.</t>
        </r>
      </text>
    </comment>
    <comment ref="D59" authorId="0" shapeId="0">
      <text>
        <r>
          <rPr>
            <sz val="11"/>
            <color indexed="81"/>
            <rFont val="Calibri"/>
            <family val="2"/>
            <scheme val="minor"/>
          </rPr>
          <t>If the total sulphide (S²⁻ + HS⁻ + H₂S) content in the reactor liquid is not measured, it can be approximated from the H₂S content in the biogas and the following factors
• Acidity of the reactor liquid and
• Temperature of the reactor liquid.</t>
        </r>
      </text>
    </comment>
    <comment ref="O64" authorId="0" shapeId="0">
      <text>
        <r>
          <rPr>
            <sz val="11"/>
            <color indexed="81"/>
            <rFont val="Calibri"/>
            <family val="2"/>
            <scheme val="minor"/>
          </rPr>
          <t>See sheet "Tools - Info" for further information.
Primary source:
● Polster, A. und Brummack, J. (2006): Verbesserung von Entschwefelungsverfahren in landwirtschaftlichen Biogasanlagen.</t>
        </r>
      </text>
    </comment>
  </commentList>
</comments>
</file>

<file path=xl/comments2.xml><?xml version="1.0" encoding="utf-8"?>
<comments xmlns="http://schemas.openxmlformats.org/spreadsheetml/2006/main">
  <authors>
    <author>andreas</author>
  </authors>
  <commentList>
    <comment ref="I12" authorId="0" shapeId="0">
      <text>
        <r>
          <rPr>
            <sz val="11"/>
            <color indexed="81"/>
            <rFont val="Calibri"/>
            <family val="2"/>
            <scheme val="minor"/>
          </rPr>
          <t>Displaying precipitation/dose/cost ratios next to the results gives a frequent user additional information at a glance, whereas for a casual user this additional data could be rather distracting.
Default = No.</t>
        </r>
      </text>
    </comment>
    <comment ref="I14" authorId="0" shapeId="0">
      <text>
        <r>
          <rPr>
            <sz val="11"/>
            <color indexed="81"/>
            <rFont val="Calibri"/>
            <family val="2"/>
            <scheme val="minor"/>
          </rPr>
          <t>• English (Default)
• Deutsch
• Français
• Italiano
• Español
Translations from English performed by DeepL (https://www.deepl.com/translator)</t>
        </r>
      </text>
    </comment>
    <comment ref="C23" authorId="0" shapeId="0">
      <text>
        <r>
          <rPr>
            <sz val="11"/>
            <color indexed="81"/>
            <rFont val="Calibri"/>
            <family val="2"/>
            <scheme val="minor"/>
          </rPr>
          <t>Supported precipitants / iron compounds:
• FeO   -   Iron(II) oxide
• Fe₂O₃   -   Iron(III) oxide
• Fe₃O₄   -   Iron(II,III) oxide
• FeCl₂   -   Iron(II) chloride
• FeCl₃   -   Iron(III) chloride
• FeO(OH)   -   Iron(III) oxide-hydroxide
• Fe(OH)₂   -   Iron(II) hydroxide
• Fe(OH)₃   -   Iron(III) hydroxide
• Fe₂O₃·3H₂O   -   Iron(III) oxide trihydrate</t>
        </r>
      </text>
    </comment>
    <comment ref="C26" authorId="0" shapeId="0">
      <text>
        <r>
          <rPr>
            <sz val="11"/>
            <color indexed="81"/>
            <rFont val="Calibri"/>
            <family val="2"/>
            <scheme val="minor"/>
          </rPr>
          <t>Equation (1): Ferrous: Fe²⁺ + HS⁻ → FeS↓ +  H⁺
Equation (2): Ferric:    2Fe³⁺ + HS⁻ → 2Fe²⁺ + S⁰↓ +  H⁺
Ferrous iron precipitates directly with bisulfide (HS⁻) as ferrous sulfide (FeS) (Equation (1)). Ferric iron is, on the other hand, proposed to have an additional reaction step, as it needs to be reduced to ferrous iron before it precipitates sulfide, as in Equation (1). This reduction can either take place chemically during the oxidation of bisulfide to elemental sulfur (S⁰) (Equation (2)), or biochemically, where the oxidation power is utilized by a specific group of chemoautotrophic bacteria for respiration.
Source: Kinetics of sulfide precipitation with ferrous and ferric iron in wastewater
https://iwaponline.com/wst/article/78/5/1071/63765/Kinetics-of-sulfide-precipitation-with-ferrous-and</t>
        </r>
      </text>
    </comment>
    <comment ref="C27" authorId="0" shapeId="0">
      <text>
        <r>
          <rPr>
            <sz val="11"/>
            <color indexed="81"/>
            <rFont val="Calibri"/>
            <family val="2"/>
            <scheme val="minor"/>
          </rPr>
          <t xml:space="preserve">α for SBGx: Extra (additional) dosage factor for biological needs (biology booster)
Explanation:
</t>
        </r>
        <r>
          <rPr>
            <i/>
            <sz val="11"/>
            <color indexed="81"/>
            <rFont val="Calibri"/>
            <family val="2"/>
            <scheme val="minor"/>
          </rPr>
          <t>Why is it important to take a close look into Biochemistry in Anaerobic Digestion AD?
Methane production is a BIOLOGICAL PROCESS.
Very often we forget this!
The better we understand the biology of our most important bacteria and Archea the better will be the efficiency of the process to convert organic material into methane. 
Small improvements can have a huge influence on the output.
Biological stability and process efficiency is not a question of luck! We can decide where to go.
We can make sure that microorganism have the best conditions to growth and to give as the maximum or optimised performance.
We must believe in biochemistry! We must take the researches into practical application.
Using Iron Oxide as a Ferredoxin booster (to strengthen biology – bacteria) is an excellent example.</t>
        </r>
        <r>
          <rPr>
            <sz val="11"/>
            <color indexed="81"/>
            <rFont val="Calibri"/>
            <family val="2"/>
            <scheme val="minor"/>
          </rPr>
          <t xml:space="preserve">
Dr. G. Stocker, Eta GaS (https://www.etagas.eu/)
Source: https://www.linkedin.com/feed/update/urn:li:activity:6979021745252913154/</t>
        </r>
      </text>
    </comment>
    <comment ref="O31" authorId="0" shapeId="0">
      <text>
        <r>
          <rPr>
            <sz val="11"/>
            <color indexed="81"/>
            <rFont val="Calibri"/>
            <family val="2"/>
            <scheme val="minor"/>
          </rPr>
          <t xml:space="preserve">The derivation of the formula for calculating the </t>
        </r>
        <r>
          <rPr>
            <i/>
            <sz val="11"/>
            <color indexed="81"/>
            <rFont val="Calibri"/>
            <family val="2"/>
            <scheme val="minor"/>
          </rPr>
          <t>hydrogen sulphide reduction rate</t>
        </r>
        <r>
          <rPr>
            <sz val="11"/>
            <color indexed="81"/>
            <rFont val="Calibri"/>
            <family val="2"/>
            <scheme val="minor"/>
          </rPr>
          <t xml:space="preserve"> is based on the RIIC and the biological utilisation of the oxidation power released during the Fe³⁺ → Fe²⁺ reduction.
RIIC_IC = RIIC_IC(Iron compound) = Reactive Iron Ion Content of the iron compound (In general)
RIIC2 = RIIC2(Iron compound) = Reactive Iron(II) Ion Content of the iron compound (Compound ferrous)
RIIC3 = RIIC3(Iron compound) = Reactive Iron(III) Ion Content of the iron compound (Compound ferric)
C2 = C2(Additive) = Content of the Iron(II) compound in the additive
C3 = C3(Additive) = Content of the Iron(III) compound in the additive
RIIC = RIIC(Additive) = RIIC of the additive = C2 x RIIC2 + C3 x RIIC3
SBP2 = Sulphur Binding Potential of an iron(II) ion = 1
SBP3 = Sulphur Binding Potential of an iron(III) ion = Y; 1 ≤ Y ≤ 1.5, depending on the biological utilisation
Biological utilisation: See info ⓘ at </t>
        </r>
        <r>
          <rPr>
            <i/>
            <sz val="11"/>
            <color indexed="81"/>
            <rFont val="Calibri"/>
            <family val="2"/>
            <scheme val="minor"/>
          </rPr>
          <t>Ratio [%] of oxidation power utilised biologically</t>
        </r>
        <r>
          <rPr>
            <sz val="11"/>
            <color indexed="81"/>
            <rFont val="Calibri"/>
            <family val="2"/>
            <scheme val="minor"/>
          </rPr>
          <t xml:space="preserve">
M(H₂S) = Molecular mass of hydrogen sulphide
A(Fe) = Atomic mass of iron
A(S) = Atomic mass of sulphur
RR = RR(Additive) = Reduction rate of the iron-based additive
= (C2 x RIIC2 x SBP2 + C3 x RIIC3 x SBP3) / A(Fe)</t>
        </r>
        <r>
          <rPr>
            <b/>
            <sz val="11"/>
            <color indexed="81"/>
            <rFont val="Calibri"/>
            <family val="2"/>
            <scheme val="minor"/>
          </rPr>
          <t xml:space="preserve">
</t>
        </r>
        <r>
          <rPr>
            <sz val="11"/>
            <color indexed="81"/>
            <rFont val="Calibri"/>
            <family val="2"/>
            <scheme val="minor"/>
          </rPr>
          <t xml:space="preserve">
</t>
        </r>
        <r>
          <rPr>
            <b/>
            <sz val="11"/>
            <color indexed="81"/>
            <rFont val="Calibri"/>
            <family val="2"/>
            <scheme val="minor"/>
          </rPr>
          <t xml:space="preserve">H₂S-RR(Additive) = Hydrogen sulphide reduction rate of the additive
= RR x </t>
        </r>
        <r>
          <rPr>
            <b/>
            <i/>
            <sz val="11"/>
            <color indexed="81"/>
            <rFont val="Calibri"/>
            <family val="2"/>
            <scheme val="minor"/>
          </rPr>
          <t>M(H₂S)</t>
        </r>
        <r>
          <rPr>
            <sz val="11"/>
            <color indexed="81"/>
            <rFont val="Calibri"/>
            <family val="2"/>
            <scheme val="minor"/>
          </rPr>
          <t xml:space="preserve">
</t>
        </r>
        <r>
          <rPr>
            <b/>
            <sz val="11"/>
            <color indexed="81"/>
            <rFont val="Calibri"/>
            <family val="2"/>
            <scheme val="minor"/>
          </rPr>
          <t xml:space="preserve">S-PR(Additive) = Sulphur precipitation rate of the additive
= RR x </t>
        </r>
        <r>
          <rPr>
            <b/>
            <i/>
            <sz val="11"/>
            <color indexed="81"/>
            <rFont val="Calibri"/>
            <family val="2"/>
            <scheme val="minor"/>
          </rPr>
          <t>A(S)</t>
        </r>
        <r>
          <rPr>
            <sz val="11"/>
            <color indexed="81"/>
            <rFont val="Calibri"/>
            <family val="2"/>
            <scheme val="minor"/>
          </rPr>
          <t xml:space="preserve">
Example: H₂S-RR(Additive_XY) = 0.4338 and S-PR(Additive_XY) = 0.4081
→ With 100 kg of the Additive_XY 43.38 kg of H₂S can be reduced by precipitating 40.81 kg of sulphur</t>
        </r>
      </text>
    </comment>
    <comment ref="C39" authorId="0" shapeId="0">
      <text>
        <r>
          <rPr>
            <sz val="11"/>
            <color indexed="81"/>
            <rFont val="Calibri"/>
            <family val="2"/>
            <scheme val="minor"/>
          </rPr>
          <t>Supported units for pricing:
• Kilogram [/kg]
• Pound [/lb]
• Metric ton (Tonne) [/t]
• Imperial ton [/t]
• US short ton [/t]
• Litre [/l]
• Imperial gallon [/gal]
• US gallon [/gal]</t>
        </r>
      </text>
    </comment>
    <comment ref="O41" authorId="0" shapeId="0">
      <text>
        <r>
          <rPr>
            <sz val="11"/>
            <color indexed="81"/>
            <rFont val="Calibri"/>
            <family val="2"/>
            <scheme val="minor"/>
          </rPr>
          <t xml:space="preserve">This function is only available in the Standard version with the option "Show ratios" set to "Yes".
The calculation of the value for the </t>
        </r>
        <r>
          <rPr>
            <i/>
            <sz val="11"/>
            <color indexed="81"/>
            <rFont val="Calibri"/>
            <family val="2"/>
            <scheme val="minor"/>
          </rPr>
          <t>equivalent pricing</t>
        </r>
        <r>
          <rPr>
            <sz val="11"/>
            <color indexed="81"/>
            <rFont val="Calibri"/>
            <family val="2"/>
            <scheme val="minor"/>
          </rPr>
          <t xml:space="preserve"> for SBGx is based on the difference between the H₂S reduction rate of your additive and that of SBGx. If SBGx were sold at the equivalent price displayed, this would mean that the desulphurisation costs with SBGx would be the same as with your additive.
Any price for SBGx below the equivalent price leads to additive cost savings for the customer.
Required entries to calculate the equivalent price:
• Content of the iron compound(s) of your additive
• Price of your additive
For the value to be displayed, the cell for the price of SBGx must be empty/blank. (Select the cell and press the &lt;Delete&gt; button)
The function also works in the opposite direction.
If the cell with the value for the price for your additive is empty and the price for SBGx is set, then the equivalent price for your additive is displayed in the empty cell.</t>
        </r>
      </text>
    </comment>
    <comment ref="O42" authorId="0" shapeId="0">
      <text>
        <r>
          <rPr>
            <sz val="11"/>
            <color indexed="81"/>
            <rFont val="Calibri"/>
            <family val="2"/>
            <scheme val="minor"/>
          </rPr>
          <t xml:space="preserve">This is a very reliable, general method for a </t>
        </r>
        <r>
          <rPr>
            <i/>
            <sz val="11"/>
            <color indexed="81"/>
            <rFont val="Calibri"/>
            <family val="2"/>
            <scheme val="minor"/>
          </rPr>
          <t>relative</t>
        </r>
        <r>
          <rPr>
            <sz val="11"/>
            <color indexed="81"/>
            <rFont val="Calibri"/>
            <family val="2"/>
            <scheme val="minor"/>
          </rPr>
          <t xml:space="preserve"> comparison of the costs of different additives.
The value of the </t>
        </r>
        <r>
          <rPr>
            <i/>
            <sz val="11"/>
            <color indexed="81"/>
            <rFont val="Calibri"/>
            <family val="2"/>
            <scheme val="minor"/>
          </rPr>
          <t>RIIC cost index</t>
        </r>
        <r>
          <rPr>
            <sz val="11"/>
            <color indexed="81"/>
            <rFont val="Calibri"/>
            <family val="2"/>
            <scheme val="minor"/>
          </rPr>
          <t xml:space="preserve"> reflects the </t>
        </r>
        <r>
          <rPr>
            <b/>
            <sz val="11"/>
            <color indexed="81"/>
            <rFont val="Calibri"/>
            <family val="2"/>
            <scheme val="minor"/>
          </rPr>
          <t>costs incurred with the additive to reduce around 610 kg of hydrogen sulphide (H₂S) in the substrate.</t>
        </r>
        <r>
          <rPr>
            <sz val="11"/>
            <color indexed="81"/>
            <rFont val="Calibri"/>
            <family val="2"/>
            <scheme val="minor"/>
          </rPr>
          <t xml:space="preserve"> (See below for explanation and calculation)
The relative ratios (in per cent) of the various </t>
        </r>
        <r>
          <rPr>
            <i/>
            <sz val="11"/>
            <color indexed="81"/>
            <rFont val="Calibri"/>
            <family val="2"/>
            <scheme val="minor"/>
          </rPr>
          <t>RIIC cost indices</t>
        </r>
        <r>
          <rPr>
            <sz val="11"/>
            <color indexed="81"/>
            <rFont val="Calibri"/>
            <family val="2"/>
            <scheme val="minor"/>
          </rPr>
          <t xml:space="preserve"> allow </t>
        </r>
        <r>
          <rPr>
            <i/>
            <sz val="11"/>
            <color indexed="81"/>
            <rFont val="Calibri"/>
            <family val="2"/>
            <scheme val="minor"/>
          </rPr>
          <t>percentage comparisons</t>
        </r>
        <r>
          <rPr>
            <sz val="11"/>
            <color indexed="81"/>
            <rFont val="Calibri"/>
            <family val="2"/>
            <scheme val="minor"/>
          </rPr>
          <t xml:space="preserve"> of desulphurisation costs with the corresponding additives.
Example:
- Additive A: RIIC cost index = 2'000
- Additive B: RIIC cost index = 1'500
→ Costs for A are 33.3% higher than costs for B, respectively
→ Costs for B are 25% lower than costs for A
The required parameters for the index calculations are:
• Precipitant(s) in your additive (e.g. FeCl₃ or Fe(OH)₂ or ...)
• Content(s) of the precipitant(s) in your additive (e.g. 37.76%)
• Price of your additive
• Quoted price of SBGx
Formula: RIIC_cost_index = Price_per_metric_ton / H₂S_reduction_rate
By dividing the </t>
        </r>
        <r>
          <rPr>
            <i/>
            <sz val="11"/>
            <color indexed="81"/>
            <rFont val="Calibri"/>
            <family val="2"/>
            <scheme val="minor"/>
          </rPr>
          <t>price per metric ton</t>
        </r>
        <r>
          <rPr>
            <sz val="11"/>
            <color indexed="81"/>
            <rFont val="Calibri"/>
            <family val="2"/>
            <scheme val="minor"/>
          </rPr>
          <t xml:space="preserve"> of any additive by its </t>
        </r>
        <r>
          <rPr>
            <i/>
            <sz val="11"/>
            <color indexed="81"/>
            <rFont val="Calibri"/>
            <family val="2"/>
            <scheme val="minor"/>
          </rPr>
          <t>H₂S reduction rate (H₂S-RR)</t>
        </r>
        <r>
          <rPr>
            <sz val="11"/>
            <color indexed="81"/>
            <rFont val="Calibri"/>
            <family val="2"/>
            <scheme val="minor"/>
          </rPr>
          <t xml:space="preserve">, the costs for all additives can be brought to a common denominator ("Index") and can now be compared very easily:
</t>
        </r>
        <r>
          <rPr>
            <i/>
            <sz val="11"/>
            <color indexed="81"/>
            <rFont val="Calibri"/>
            <family val="2"/>
            <scheme val="minor"/>
          </rPr>
          <t>The lower the cost index, the better.</t>
        </r>
        <r>
          <rPr>
            <sz val="11"/>
            <color indexed="81"/>
            <rFont val="Calibri"/>
            <family val="2"/>
            <scheme val="minor"/>
          </rPr>
          <t xml:space="preserve">
What does the value of the </t>
        </r>
        <r>
          <rPr>
            <i/>
            <sz val="11"/>
            <color indexed="81"/>
            <rFont val="Calibri"/>
            <family val="2"/>
            <scheme val="minor"/>
          </rPr>
          <t>RIIC cost index</t>
        </r>
        <r>
          <rPr>
            <sz val="11"/>
            <color indexed="81"/>
            <rFont val="Calibri"/>
            <family val="2"/>
            <scheme val="minor"/>
          </rPr>
          <t xml:space="preserve"> exactly mean?
It indicates how much an additive costs to achieve the </t>
        </r>
        <r>
          <rPr>
            <i/>
            <sz val="11"/>
            <color indexed="81"/>
            <rFont val="Calibri"/>
            <family val="2"/>
            <scheme val="minor"/>
          </rPr>
          <t>same H₂S reduction effect</t>
        </r>
        <r>
          <rPr>
            <sz val="11"/>
            <color indexed="81"/>
            <rFont val="Calibri"/>
            <family val="2"/>
            <scheme val="minor"/>
          </rPr>
          <t xml:space="preserve"> as one metric ton of a </t>
        </r>
        <r>
          <rPr>
            <i/>
            <sz val="11"/>
            <color indexed="81"/>
            <rFont val="Calibri"/>
            <family val="2"/>
            <scheme val="minor"/>
          </rPr>
          <t>ferrous</t>
        </r>
        <r>
          <rPr>
            <sz val="11"/>
            <color indexed="81"/>
            <rFont val="Calibri"/>
            <family val="2"/>
            <scheme val="minor"/>
          </rPr>
          <t xml:space="preserve"> reference additive with a </t>
        </r>
        <r>
          <rPr>
            <i/>
            <sz val="11"/>
            <color indexed="81"/>
            <rFont val="Calibri"/>
            <family val="2"/>
            <scheme val="minor"/>
          </rPr>
          <t>theoretical</t>
        </r>
        <r>
          <rPr>
            <sz val="11"/>
            <color indexed="81"/>
            <rFont val="Calibri"/>
            <family val="2"/>
            <scheme val="minor"/>
          </rPr>
          <t xml:space="preserve"> (Fe²⁺-) H₂S-RR of 100%.
1'000 kg </t>
        </r>
        <r>
          <rPr>
            <b/>
            <sz val="11"/>
            <color indexed="81"/>
            <rFont val="Calibri"/>
            <family val="2"/>
            <scheme val="minor"/>
          </rPr>
          <t>Fe²⁺</t>
        </r>
        <r>
          <rPr>
            <sz val="11"/>
            <color indexed="81"/>
            <rFont val="Calibri"/>
            <family val="2"/>
            <scheme val="minor"/>
          </rPr>
          <t xml:space="preserve"> → 1'000 kg H₂S x M(H₂S) [34.08] / M(Fe) [55.845] = </t>
        </r>
        <r>
          <rPr>
            <b/>
            <i/>
            <sz val="11"/>
            <color indexed="81"/>
            <rFont val="Calibri"/>
            <family val="2"/>
            <scheme val="minor"/>
          </rPr>
          <t>610.26 kg H₂S</t>
        </r>
        <r>
          <rPr>
            <sz val="11"/>
            <color indexed="81"/>
            <rFont val="Calibri"/>
            <family val="2"/>
            <scheme val="minor"/>
          </rPr>
          <t xml:space="preserve">
Note: 
The H₂S-RR, which we use for this calculation, is derived from the RIIC.
Since the calculation of the H₂S-RR of an additive, in contrast to calculating its RIIC, also takes into account whether the iron ions are ferrous (Fe²⁺) or ferric (Fe³⁺), the </t>
        </r>
        <r>
          <rPr>
            <i/>
            <sz val="11"/>
            <color indexed="81"/>
            <rFont val="Calibri"/>
            <family val="2"/>
            <scheme val="minor"/>
          </rPr>
          <t>H₂S-RR is even more accurate than the RIIC itself.</t>
        </r>
      </text>
    </comment>
    <comment ref="C43" authorId="0" shapeId="0">
      <text>
        <r>
          <rPr>
            <sz val="11"/>
            <color indexed="81"/>
            <rFont val="Calibri"/>
            <family val="2"/>
            <scheme val="minor"/>
          </rPr>
          <t>Supported units of measurement:
• Kilogram [kg/day]
• Pound [lb/day]
• Metric ton (Tonne) [t/day]
• Imperial ton [t/day]
• US short ton [t/day]
• Litre [l/day]
• Imperial gallon [gal/day]
• US gallon [gal/day]</t>
        </r>
      </text>
    </comment>
    <comment ref="O45" authorId="0" shapeId="0">
      <text>
        <r>
          <rPr>
            <sz val="9"/>
            <color indexed="81"/>
            <rFont val="Courier New"/>
            <family val="3"/>
          </rPr>
          <t>Comparison: Conversion factors
Imperial/US          Metric
Mass                 Kilogram [kg]
1 Pound [lb] =          0.45359237
1 Imp ton [t] =      1016.0469     = 2240 lb
1 US ton [t] =        907.18474    = 2000 lb
Volume               Litre [l]
1 Imp gallon [gal] = 4.54609
1 US gallon [gal] =  3.785411784
Unit converters: See sheet "Tools - Info"</t>
        </r>
      </text>
    </comment>
    <comment ref="O47" authorId="0" shapeId="0">
      <text>
        <r>
          <rPr>
            <sz val="11"/>
            <color indexed="81"/>
            <rFont val="Calibri"/>
            <family val="2"/>
            <scheme val="minor"/>
          </rPr>
          <t>Calculations of the ratio between the storage space required for two additives:
• Solid / powder
Additives that are solid, like SBGx, have a similar density around 5 kg/l, ignoring the general rule, that the higher the RIIC, the higher the density.
The storage space required is reciprocal to the H₂S reduction rate (≈ RIIC) ratio of the two additives.
Example: Additive A has twice the H₂S reduction rate of additive B. This means that additive A requires half the storage space that additive B requires to reduce the same mass of sulphide (as FeS).
• Liquid
Liquid additives that we know of have a density of about 1.4 kg/l, which is less than a third of SBGx.
If a tank for a liquid additive is to be replaced by storage racks for the storage of SBGx, then a part of the freed space would be needed for new racks to be set up.
Therefore, the volume of the previous storage capacity will not be fully available for the storage of SBGx, only a fraction. Our assumption: One third.
In short: Our calculation regarding the increased storage space utilisation by SBGx assumes that only one third of the previous storage space will be available - and needed - when replacing a liquid additive by SBGx.</t>
        </r>
      </text>
    </comment>
    <comment ref="D57" authorId="0" shapeId="0">
      <text>
        <r>
          <rPr>
            <sz val="11"/>
            <color indexed="81"/>
            <rFont val="Calibri"/>
            <family val="2"/>
            <scheme val="minor"/>
          </rPr>
          <t>Overdose factor β: Value between 1.7 and 5 recommended, as a high iron ion content leads to additional iron ions being used up for precipitation of phosphates and carbonates.
• Ries: β between 1.7 and 2.3 (1.7 ≤ β ≤ 2.3)
Reference: Ries, T. (1993): Reduzierung der Schwefelwasserstoffbildung im Faulraum durch Zugabe von Eisenchlorid. Schriftenreihe der Siedlungswasserwirtschaft Bochum, Nr. 25.
• Oechsner: β between 3 and 5 (3 ≤ β ≤ 5)
Reference: Oechsner, H. (2000): Biogas in Blockheizkraftwerken. Landesanstalt für Landwirtschaftliches Maschinen- und Bauwesen der Universität Hohenheim, Stuttgart-Hohenheim.</t>
        </r>
      </text>
    </comment>
    <comment ref="D59" authorId="0" shapeId="0">
      <text>
        <r>
          <rPr>
            <sz val="11"/>
            <color indexed="81"/>
            <rFont val="Calibri"/>
            <family val="2"/>
            <scheme val="minor"/>
          </rPr>
          <t>If the total sulphide (S²⁻ + HS⁻ + H₂S) content in the reactor liquid is not measured, it can be approximated from the H₂S content in the biogas and the following factors
• Acidity of the reactor liquid and
• Temperature of the reactor liquid.</t>
        </r>
      </text>
    </comment>
    <comment ref="O64" authorId="0" shapeId="0">
      <text>
        <r>
          <rPr>
            <sz val="11"/>
            <color indexed="81"/>
            <rFont val="Calibri"/>
            <family val="2"/>
            <scheme val="minor"/>
          </rPr>
          <t>See sheet "Tools - Info" for further information.
Primary source:
● Polster, A. und Brummack, J. (2006): Verbesserung von Entschwefelungsverfahren in landwirtschaftlichen Biogasanlagen.</t>
        </r>
      </text>
    </comment>
  </commentList>
</comments>
</file>

<file path=xl/comments3.xml><?xml version="1.0" encoding="utf-8"?>
<comments xmlns="http://schemas.openxmlformats.org/spreadsheetml/2006/main">
  <authors>
    <author>andreas</author>
  </authors>
  <commentList>
    <comment ref="I12" authorId="0" shapeId="0">
      <text>
        <r>
          <rPr>
            <sz val="11"/>
            <color indexed="81"/>
            <rFont val="Calibri"/>
            <family val="2"/>
            <scheme val="minor"/>
          </rPr>
          <t>Displaying precipitation/dose/cost ratios next to the results gives a frequent user additional information at a glance, whereas for a casual user this additional data could be rather distracting.
Default = No.</t>
        </r>
      </text>
    </comment>
    <comment ref="I14" authorId="0" shapeId="0">
      <text>
        <r>
          <rPr>
            <sz val="11"/>
            <color indexed="81"/>
            <rFont val="Calibri"/>
            <family val="2"/>
            <scheme val="minor"/>
          </rPr>
          <t>• English (Default)
• Deutsch
• Français
• Italiano
• Español
Translations from English performed by DeepL (https://www.deepl.com/translator)</t>
        </r>
      </text>
    </comment>
    <comment ref="C23" authorId="0" shapeId="0">
      <text>
        <r>
          <rPr>
            <sz val="11"/>
            <color indexed="81"/>
            <rFont val="Calibri"/>
            <family val="2"/>
            <scheme val="minor"/>
          </rPr>
          <t>Supported precipitants / iron compounds:
• FeO   -   Iron(II) oxide
• Fe₂O₃   -   Iron(III) oxide
• Fe₃O₄   -   Iron(II,III) oxide
• FeCl₂   -   Iron(II) chloride
• FeCl₃   -   Iron(III) chloride
• FeO(OH)   -   Iron(III) oxide-hydroxide
• Fe(OH)₂   -   Iron(II) hydroxide
• Fe(OH)₃   -   Iron(III) hydroxide
• Fe₂O₃·3H₂O   -   Iron(III) oxide trihydrate</t>
        </r>
      </text>
    </comment>
    <comment ref="C26" authorId="0" shapeId="0">
      <text>
        <r>
          <rPr>
            <sz val="11"/>
            <color indexed="81"/>
            <rFont val="Calibri"/>
            <family val="2"/>
            <scheme val="minor"/>
          </rPr>
          <t>Equation (1): Ferrous: Fe²⁺ + HS⁻ → FeS↓ +  H⁺
Equation (2): Ferric:    2Fe³⁺ + HS⁻ → 2Fe²⁺ + S⁰↓ +  H⁺
Ferrous iron precipitates directly with bisulfide (HS⁻) as ferrous sulfide (FeS) (Equation (1)). Ferric iron is, on the other hand, proposed to have an additional reaction step, as it needs to be reduced to ferrous iron before it precipitates sulfide, as in Equation (1). This reduction can either take place chemically during the oxidation of bisulfide to elemental sulfur (S⁰) (Equation (2)), or biochemically, where the oxidation power is utilized by a specific group of chemoautotrophic bacteria for respiration.
Source: Kinetics of sulfide precipitation with ferrous and ferric iron in wastewater
https://iwaponline.com/wst/article/78/5/1071/63765/Kinetics-of-sulfide-precipitation-with-ferrous-and</t>
        </r>
      </text>
    </comment>
    <comment ref="C27" authorId="0" shapeId="0">
      <text>
        <r>
          <rPr>
            <sz val="11"/>
            <color indexed="81"/>
            <rFont val="Calibri"/>
            <family val="2"/>
            <scheme val="minor"/>
          </rPr>
          <t xml:space="preserve">α for SBGx: Extra (additional) dosage factor for biological needs (biology booster)
Explanation:
</t>
        </r>
        <r>
          <rPr>
            <i/>
            <sz val="11"/>
            <color indexed="81"/>
            <rFont val="Calibri"/>
            <family val="2"/>
            <scheme val="minor"/>
          </rPr>
          <t>Why is it important to take a close look into Biochemistry in Anaerobic Digestion AD?
Methane production is a BIOLOGICAL PROCESS.
Very often we forget this!
The better we understand the biology of our most important bacteria and Archea the better will be the efficiency of the process to convert organic material into methane. 
Small improvements can have a huge influence on the output.
Biological stability and process efficiency is not a question of luck! We can decide where to go.
We can make sure that microorganism have the best conditions to growth and to give as the maximum or optimised performance.
We must believe in biochemistry! We must take the researches into practical application.
Using Iron Oxide as a Ferredoxin booster (to strengthen biology – bacteria) is an excellent example.</t>
        </r>
        <r>
          <rPr>
            <sz val="11"/>
            <color indexed="81"/>
            <rFont val="Calibri"/>
            <family val="2"/>
            <scheme val="minor"/>
          </rPr>
          <t xml:space="preserve">
Dr. G. Stocker, Eta GaS (https://www.etagas.eu/)
Source: https://www.linkedin.com/feed/update/urn:li:activity:6979021745252913154/</t>
        </r>
      </text>
    </comment>
    <comment ref="O31" authorId="0" shapeId="0">
      <text>
        <r>
          <rPr>
            <sz val="11"/>
            <color indexed="81"/>
            <rFont val="Calibri"/>
            <family val="2"/>
            <scheme val="minor"/>
          </rPr>
          <t xml:space="preserve">The derivation of the formula for calculating the </t>
        </r>
        <r>
          <rPr>
            <i/>
            <sz val="11"/>
            <color indexed="81"/>
            <rFont val="Calibri"/>
            <family val="2"/>
            <scheme val="minor"/>
          </rPr>
          <t>hydrogen sulphide reduction rate</t>
        </r>
        <r>
          <rPr>
            <sz val="11"/>
            <color indexed="81"/>
            <rFont val="Calibri"/>
            <family val="2"/>
            <scheme val="minor"/>
          </rPr>
          <t xml:space="preserve"> is based on the RIIC and the biological utilisation of the oxidation power released during the Fe³⁺ → Fe²⁺ reduction.
RIIC_IC = RIIC_IC(Iron compound) = Reactive Iron Ion Content of the iron compound (In general)
RIIC2 = RIIC2(Iron compound) = Reactive Iron(II) Ion Content of the iron compound (Compound ferrous)
RIIC3 = RIIC3(Iron compound) = Reactive Iron(III) Ion Content of the iron compound (Compound ferric)
C2 = C2(Additive) = Content of the Iron(II) compound in the additive
C3 = C3(Additive) = Content of the Iron(III) compound in the additive
RIIC = RIIC(Additive) = RIIC of the additive = C2 x RIIC2 + C3 x RIIC3
SBP2 = Sulphur Binding Potential of an iron(II) ion = 1
SBP3 = Sulphur Binding Potential of an iron(III) ion = Y; 1 ≤ Y ≤ 1.5, depending on the biological utilisation
Biological utilisation: See info ⓘ at </t>
        </r>
        <r>
          <rPr>
            <i/>
            <sz val="11"/>
            <color indexed="81"/>
            <rFont val="Calibri"/>
            <family val="2"/>
            <scheme val="minor"/>
          </rPr>
          <t>Ratio [%] of oxidation power utilised biologically</t>
        </r>
        <r>
          <rPr>
            <sz val="11"/>
            <color indexed="81"/>
            <rFont val="Calibri"/>
            <family val="2"/>
            <scheme val="minor"/>
          </rPr>
          <t xml:space="preserve">
M(H₂S) = Molecular mass of hydrogen sulphide
A(Fe) = Atomic mass of iron
A(S) = Atomic mass of sulphur
RR = RR(Additive) = Reduction rate of the iron-based additive
= (C2 x RIIC2 x SBP2 + C3 x RIIC3 x SBP3) / A(Fe)</t>
        </r>
        <r>
          <rPr>
            <b/>
            <sz val="11"/>
            <color indexed="81"/>
            <rFont val="Calibri"/>
            <family val="2"/>
            <scheme val="minor"/>
          </rPr>
          <t xml:space="preserve">
</t>
        </r>
        <r>
          <rPr>
            <sz val="11"/>
            <color indexed="81"/>
            <rFont val="Calibri"/>
            <family val="2"/>
            <scheme val="minor"/>
          </rPr>
          <t xml:space="preserve">
</t>
        </r>
        <r>
          <rPr>
            <b/>
            <sz val="11"/>
            <color indexed="81"/>
            <rFont val="Calibri"/>
            <family val="2"/>
            <scheme val="minor"/>
          </rPr>
          <t xml:space="preserve">H₂S-RR(Additive) = Hydrogen sulphide reduction rate of the additive
= RR x </t>
        </r>
        <r>
          <rPr>
            <b/>
            <i/>
            <sz val="11"/>
            <color indexed="81"/>
            <rFont val="Calibri"/>
            <family val="2"/>
            <scheme val="minor"/>
          </rPr>
          <t>M(H₂S)</t>
        </r>
        <r>
          <rPr>
            <sz val="11"/>
            <color indexed="81"/>
            <rFont val="Calibri"/>
            <family val="2"/>
            <scheme val="minor"/>
          </rPr>
          <t xml:space="preserve">
</t>
        </r>
        <r>
          <rPr>
            <b/>
            <sz val="11"/>
            <color indexed="81"/>
            <rFont val="Calibri"/>
            <family val="2"/>
            <scheme val="minor"/>
          </rPr>
          <t xml:space="preserve">S-PR(Additive) = Sulphur precipitation rate of the additive
= RR x </t>
        </r>
        <r>
          <rPr>
            <b/>
            <i/>
            <sz val="11"/>
            <color indexed="81"/>
            <rFont val="Calibri"/>
            <family val="2"/>
            <scheme val="minor"/>
          </rPr>
          <t>A(S)</t>
        </r>
        <r>
          <rPr>
            <sz val="11"/>
            <color indexed="81"/>
            <rFont val="Calibri"/>
            <family val="2"/>
            <scheme val="minor"/>
          </rPr>
          <t xml:space="preserve">
Example: H₂S-RR(Additive_XY) = 0.4338 and S-PR(Additive_XY) = 0.4081
→ With 100 kg of the Additive_XY 43.38 kg of H₂S can be reduced by precipitating 40.81 kg of sulphur</t>
        </r>
      </text>
    </comment>
    <comment ref="C39" authorId="0" shapeId="0">
      <text>
        <r>
          <rPr>
            <sz val="11"/>
            <color indexed="81"/>
            <rFont val="Calibri"/>
            <family val="2"/>
            <scheme val="minor"/>
          </rPr>
          <t>Supported units for pricing:
• Kilogram [/kg]
• Pound [/lb]
• Metric ton (Tonne) [/t]
• Imperial ton [/t]
• US short ton [/t]
• Litre [/l]
• Imperial gallon [/gal]
• US gallon [/gal]</t>
        </r>
      </text>
    </comment>
    <comment ref="O41" authorId="0" shapeId="0">
      <text>
        <r>
          <rPr>
            <sz val="11"/>
            <color indexed="81"/>
            <rFont val="Calibri"/>
            <family val="2"/>
            <scheme val="minor"/>
          </rPr>
          <t xml:space="preserve">This function is only available in the Standard version with the option "Show ratios" set to "Yes".
The calculation of the value for the </t>
        </r>
        <r>
          <rPr>
            <i/>
            <sz val="11"/>
            <color indexed="81"/>
            <rFont val="Calibri"/>
            <family val="2"/>
            <scheme val="minor"/>
          </rPr>
          <t>equivalent pricing</t>
        </r>
        <r>
          <rPr>
            <sz val="11"/>
            <color indexed="81"/>
            <rFont val="Calibri"/>
            <family val="2"/>
            <scheme val="minor"/>
          </rPr>
          <t xml:space="preserve"> for SBGx is based on the difference between the H₂S reduction rate of your additive and that of SBGx. If SBGx were sold at the equivalent price displayed, this would mean that the desulphurisation costs with SBGx would be the same as with your additive.
Any price for SBGx below the equivalent price leads to additive cost savings for the customer.
Required entries to calculate the equivalent price:
• Content of the iron compound(s) of your additive
• Price of your additive
For the value to be displayed, the cell for the price of SBGx must be empty/blank. (Select the cell and press the &lt;Delete&gt; button)
The function also works in the opposite direction.
If the cell with the value for the price for your additive is empty and the price for SBGx is set, then the equivalent price for your additive is displayed in the empty cell.</t>
        </r>
      </text>
    </comment>
    <comment ref="O42" authorId="0" shapeId="0">
      <text>
        <r>
          <rPr>
            <sz val="11"/>
            <color indexed="81"/>
            <rFont val="Calibri"/>
            <family val="2"/>
            <scheme val="minor"/>
          </rPr>
          <t xml:space="preserve">This is a very reliable, general method for a </t>
        </r>
        <r>
          <rPr>
            <i/>
            <sz val="11"/>
            <color indexed="81"/>
            <rFont val="Calibri"/>
            <family val="2"/>
            <scheme val="minor"/>
          </rPr>
          <t>relative</t>
        </r>
        <r>
          <rPr>
            <sz val="11"/>
            <color indexed="81"/>
            <rFont val="Calibri"/>
            <family val="2"/>
            <scheme val="minor"/>
          </rPr>
          <t xml:space="preserve"> comparison of the costs of different additives.
The value of the </t>
        </r>
        <r>
          <rPr>
            <i/>
            <sz val="11"/>
            <color indexed="81"/>
            <rFont val="Calibri"/>
            <family val="2"/>
            <scheme val="minor"/>
          </rPr>
          <t>RIIC cost index</t>
        </r>
        <r>
          <rPr>
            <sz val="11"/>
            <color indexed="81"/>
            <rFont val="Calibri"/>
            <family val="2"/>
            <scheme val="minor"/>
          </rPr>
          <t xml:space="preserve"> reflects the </t>
        </r>
        <r>
          <rPr>
            <b/>
            <sz val="11"/>
            <color indexed="81"/>
            <rFont val="Calibri"/>
            <family val="2"/>
            <scheme val="minor"/>
          </rPr>
          <t>costs incurred with the additive to reduce around 610 kg of hydrogen sulphide (H₂S) in the substrate</t>
        </r>
        <r>
          <rPr>
            <sz val="11"/>
            <color indexed="81"/>
            <rFont val="Calibri"/>
            <family val="2"/>
            <scheme val="minor"/>
          </rPr>
          <t xml:space="preserve">. (See below for explanation and calculation)
The relative ratios (in per cent) of the various </t>
        </r>
        <r>
          <rPr>
            <i/>
            <sz val="11"/>
            <color indexed="81"/>
            <rFont val="Calibri"/>
            <family val="2"/>
            <scheme val="minor"/>
          </rPr>
          <t>RIIC cost indices</t>
        </r>
        <r>
          <rPr>
            <sz val="11"/>
            <color indexed="81"/>
            <rFont val="Calibri"/>
            <family val="2"/>
            <scheme val="minor"/>
          </rPr>
          <t xml:space="preserve"> allow </t>
        </r>
        <r>
          <rPr>
            <i/>
            <sz val="11"/>
            <color indexed="81"/>
            <rFont val="Calibri"/>
            <family val="2"/>
            <scheme val="minor"/>
          </rPr>
          <t>percentage comparisons</t>
        </r>
        <r>
          <rPr>
            <sz val="11"/>
            <color indexed="81"/>
            <rFont val="Calibri"/>
            <family val="2"/>
            <scheme val="minor"/>
          </rPr>
          <t xml:space="preserve"> of desulphurisation costs with the corresponding additives.
Example:
- Additive A: RIIC cost index = 2'000
- Additive B: RIIC cost index = 1'500
→ Costs for A are 33.3% higher than costs for B, respectively
→ Costs for B are 25% lower than costs for A
The required parameters for the index calculations are:
• Precipitant(s) in your additive (e.g. FeCl₃ or Fe(OH)₂ or ...)
• Content(s) of the precipitant(s) in your additive (e.g. 37.76%)
• Price of your additive
• Quoted price of SBGx
Formula: RIIC_cost_index = Price_per_metric_ton / H₂S_reduction_rate
By dividing the </t>
        </r>
        <r>
          <rPr>
            <i/>
            <sz val="11"/>
            <color indexed="81"/>
            <rFont val="Calibri"/>
            <family val="2"/>
            <scheme val="minor"/>
          </rPr>
          <t>price per metric ton</t>
        </r>
        <r>
          <rPr>
            <sz val="11"/>
            <color indexed="81"/>
            <rFont val="Calibri"/>
            <family val="2"/>
            <scheme val="minor"/>
          </rPr>
          <t xml:space="preserve"> of any additive by its </t>
        </r>
        <r>
          <rPr>
            <i/>
            <sz val="11"/>
            <color indexed="81"/>
            <rFont val="Calibri"/>
            <family val="2"/>
            <scheme val="minor"/>
          </rPr>
          <t>H₂S reduction rate (H₂S-RR)</t>
        </r>
        <r>
          <rPr>
            <sz val="11"/>
            <color indexed="81"/>
            <rFont val="Calibri"/>
            <family val="2"/>
            <scheme val="minor"/>
          </rPr>
          <t xml:space="preserve">, the costs for all additives can be brought to a common denominator ("Index") and can now be compared very easily:
</t>
        </r>
        <r>
          <rPr>
            <i/>
            <sz val="11"/>
            <color indexed="81"/>
            <rFont val="Calibri"/>
            <family val="2"/>
            <scheme val="minor"/>
          </rPr>
          <t>The lower the cost index, the better.</t>
        </r>
        <r>
          <rPr>
            <sz val="11"/>
            <color indexed="81"/>
            <rFont val="Calibri"/>
            <family val="2"/>
            <scheme val="minor"/>
          </rPr>
          <t xml:space="preserve">
What does the value of the </t>
        </r>
        <r>
          <rPr>
            <i/>
            <sz val="11"/>
            <color indexed="81"/>
            <rFont val="Calibri"/>
            <family val="2"/>
            <scheme val="minor"/>
          </rPr>
          <t>RIIC cost index</t>
        </r>
        <r>
          <rPr>
            <sz val="11"/>
            <color indexed="81"/>
            <rFont val="Calibri"/>
            <family val="2"/>
            <scheme val="minor"/>
          </rPr>
          <t xml:space="preserve"> exactly mean?
It indicates how much an additive costs to achieve the </t>
        </r>
        <r>
          <rPr>
            <i/>
            <sz val="11"/>
            <color indexed="81"/>
            <rFont val="Calibri"/>
            <family val="2"/>
            <scheme val="minor"/>
          </rPr>
          <t>same H₂S reduction effect</t>
        </r>
        <r>
          <rPr>
            <sz val="11"/>
            <color indexed="81"/>
            <rFont val="Calibri"/>
            <family val="2"/>
            <scheme val="minor"/>
          </rPr>
          <t xml:space="preserve"> as one metric ton of a </t>
        </r>
        <r>
          <rPr>
            <i/>
            <sz val="11"/>
            <color indexed="81"/>
            <rFont val="Calibri"/>
            <family val="2"/>
            <scheme val="minor"/>
          </rPr>
          <t>ferrous</t>
        </r>
        <r>
          <rPr>
            <sz val="11"/>
            <color indexed="81"/>
            <rFont val="Calibri"/>
            <family val="2"/>
            <scheme val="minor"/>
          </rPr>
          <t xml:space="preserve"> reference additive with a </t>
        </r>
        <r>
          <rPr>
            <i/>
            <sz val="11"/>
            <color indexed="81"/>
            <rFont val="Calibri"/>
            <family val="2"/>
            <scheme val="minor"/>
          </rPr>
          <t>theoretical</t>
        </r>
        <r>
          <rPr>
            <sz val="11"/>
            <color indexed="81"/>
            <rFont val="Calibri"/>
            <family val="2"/>
            <scheme val="minor"/>
          </rPr>
          <t xml:space="preserve"> (Fe²⁺-) H₂S-RR of 100%.
1'000 kg </t>
        </r>
        <r>
          <rPr>
            <b/>
            <sz val="11"/>
            <color indexed="81"/>
            <rFont val="Calibri"/>
            <family val="2"/>
            <scheme val="minor"/>
          </rPr>
          <t>Fe²⁺</t>
        </r>
        <r>
          <rPr>
            <sz val="11"/>
            <color indexed="81"/>
            <rFont val="Calibri"/>
            <family val="2"/>
            <scheme val="minor"/>
          </rPr>
          <t xml:space="preserve"> → 1'000 kg H₂S x M(H₂S) [34.08] / M(Fe) [55.845] = </t>
        </r>
        <r>
          <rPr>
            <b/>
            <i/>
            <sz val="11"/>
            <color indexed="81"/>
            <rFont val="Calibri"/>
            <family val="2"/>
            <scheme val="minor"/>
          </rPr>
          <t>610.26 kg H₂S</t>
        </r>
        <r>
          <rPr>
            <sz val="11"/>
            <color indexed="81"/>
            <rFont val="Calibri"/>
            <family val="2"/>
            <scheme val="minor"/>
          </rPr>
          <t xml:space="preserve">
Note: 
The H₂S-RR, which we use for this calculation, is derived from the RIIC.
Since the calculation of the H₂S-RR of an additive, in contrast to calculating its RIIC, also takes into account whether the iron ions are ferrous (Fe²⁺) or ferric (Fe³⁺), the </t>
        </r>
        <r>
          <rPr>
            <i/>
            <sz val="11"/>
            <color indexed="81"/>
            <rFont val="Calibri"/>
            <family val="2"/>
            <scheme val="minor"/>
          </rPr>
          <t>H₂S-RR is even more accurate than the RIIC itself.</t>
        </r>
      </text>
    </comment>
    <comment ref="C43" authorId="0" shapeId="0">
      <text>
        <r>
          <rPr>
            <sz val="11"/>
            <color indexed="81"/>
            <rFont val="Calibri"/>
            <family val="2"/>
            <scheme val="minor"/>
          </rPr>
          <t>Supported units of measurement:
• Kilogram [kg/day]
• Pound [lb/day]
• Metric ton (Tonne) [t/day]
• Imperial ton [t/day]
• US short ton [t/day]
• Litre [l/day]
• Imperial gallon [gal/day]
• US gallon [gal/day]</t>
        </r>
      </text>
    </comment>
    <comment ref="O45" authorId="0" shapeId="0">
      <text>
        <r>
          <rPr>
            <sz val="9"/>
            <color indexed="81"/>
            <rFont val="Courier New"/>
            <family val="3"/>
          </rPr>
          <t>Comparison: Conversion factors
Imperial/US          Metric
Mass                 Kilogram [kg]
1 Pound [lb] =          0.45359237
1 Imp ton [t] =      1016.0469     = 2240 lb
1 US ton [t] =        907.18474    = 2000 lb
Volume               Litre [l]
1 Imp gallon [gal] = 4.54609
1 US gallon [gal] =  3.785411784
Unit converters: See sheet "Tools - Info"</t>
        </r>
      </text>
    </comment>
    <comment ref="O47" authorId="0" shapeId="0">
      <text>
        <r>
          <rPr>
            <sz val="11"/>
            <color indexed="81"/>
            <rFont val="Calibri"/>
            <family val="2"/>
            <scheme val="minor"/>
          </rPr>
          <t>Calculations of the ratio between the storage space required for two additives:
• Solid / powder
Additives that are solid, like SBGx, have a similar density around 5 kg/l, ignoring the general rule, that the higher the RIIC, the higher the density.
The storage space required is reciprocal to the H₂S reduction rate (≈ RIIC) ratio of the two additives.
Example: Additive A has twice the H₂S reduction rate of additive B. This means that additive A requires half the storage space that additive B requires to reduce the same mass of sulphide (as FeS).
• Liquid
Liquid additives that we know of have a density of about 1.4 kg/l, which is less than a third of SBGx.
If a tank for a liquid additive is to be replaced by storage racks for the storage of SBGx, then a part of the freed space would be needed for new racks to be set up.
Therefore, the volume of the previous storage capacity will not be fully available for the storage of SBGx, only a fraction. Our assumption: One third.
In short: Our calculation regarding the increased storage space utilisation by SBGx assumes that only one third of the previous storage space will be available - and needed - when replacing a liquid additive by SBGx.</t>
        </r>
      </text>
    </comment>
    <comment ref="D57" authorId="0" shapeId="0">
      <text>
        <r>
          <rPr>
            <sz val="11"/>
            <color indexed="81"/>
            <rFont val="Calibri"/>
            <family val="2"/>
            <scheme val="minor"/>
          </rPr>
          <t>Overdose factor β: Value between 1.7 and 5 recommended, as a high iron ion content leads to additional iron ions being used up for precipitation of phosphates and carbonates.
• Ries: β between 1.7 and 2.3 (1.7 ≤ β ≤ 2.3)
Reference: Ries, T. (1993): Reduzierung der Schwefelwasserstoffbildung im Faulraum durch Zugabe von Eisenchlorid. Schriftenreihe der Siedlungswasserwirtschaft Bochum, Nr. 25.
• Oechsner: β between 3 and 5 (3 ≤ β ≤ 5)
Reference: Oechsner, H. (2000): Biogas in Blockheizkraftwerken. Landesanstalt für Landwirtschaftliches Maschinen- und Bauwesen der Universität Hohenheim, Stuttgart-Hohenheim.</t>
        </r>
      </text>
    </comment>
    <comment ref="D59" authorId="0" shapeId="0">
      <text>
        <r>
          <rPr>
            <sz val="11"/>
            <color indexed="81"/>
            <rFont val="Calibri"/>
            <family val="2"/>
            <scheme val="minor"/>
          </rPr>
          <t>If the total sulphide (S²⁻ + HS⁻ + H₂S) content in the reactor liquid is not measured, it can be approximated from the H₂S content in the biogas and the following factors
• Acidity of the reactor liquid and
• Temperature of the reactor liquid.</t>
        </r>
      </text>
    </comment>
    <comment ref="O64" authorId="0" shapeId="0">
      <text>
        <r>
          <rPr>
            <sz val="11"/>
            <color indexed="81"/>
            <rFont val="Calibri"/>
            <family val="2"/>
            <scheme val="minor"/>
          </rPr>
          <t>See sheet "Tools - Info" for further information.
Primary source:
● Polster, A. und Brummack, J. (2006): Verbesserung von Entschwefelungsverfahren in landwirtschaftlichen Biogasanlagen.</t>
        </r>
      </text>
    </comment>
  </commentList>
</comments>
</file>

<file path=xl/sharedStrings.xml><?xml version="1.0" encoding="utf-8"?>
<sst xmlns="http://schemas.openxmlformats.org/spreadsheetml/2006/main" count="1399" uniqueCount="582">
  <si>
    <t>Oxygen</t>
  </si>
  <si>
    <t>O</t>
  </si>
  <si>
    <t>Iron</t>
  </si>
  <si>
    <t>Fe</t>
  </si>
  <si>
    <t>Wuestite</t>
  </si>
  <si>
    <t>FeO</t>
  </si>
  <si>
    <t>Hematite</t>
  </si>
  <si>
    <t>Magnetite</t>
  </si>
  <si>
    <t>Hydrogen</t>
  </si>
  <si>
    <t>H</t>
  </si>
  <si>
    <t>Chlorine</t>
  </si>
  <si>
    <t>Cl</t>
  </si>
  <si>
    <t>Ferrous Chloride</t>
  </si>
  <si>
    <t>Ferric Chloride</t>
  </si>
  <si>
    <t>Ferric Oxyhydroxide</t>
  </si>
  <si>
    <t>FeO(OH)</t>
  </si>
  <si>
    <t>SBGx</t>
  </si>
  <si>
    <t>Chemical name</t>
  </si>
  <si>
    <t>Chemical formula</t>
  </si>
  <si>
    <t>FeO [%]</t>
  </si>
  <si>
    <r>
      <t>Fe</t>
    </r>
    <r>
      <rPr>
        <i/>
        <vertAlign val="subscript"/>
        <sz val="11"/>
        <color theme="1"/>
        <rFont val="Calibri"/>
        <family val="2"/>
        <scheme val="minor"/>
      </rPr>
      <t>2</t>
    </r>
    <r>
      <rPr>
        <i/>
        <sz val="11"/>
        <color theme="1"/>
        <rFont val="Calibri"/>
        <family val="2"/>
        <scheme val="minor"/>
      </rPr>
      <t>O</t>
    </r>
    <r>
      <rPr>
        <i/>
        <vertAlign val="subscript"/>
        <sz val="11"/>
        <color theme="1"/>
        <rFont val="Calibri"/>
        <family val="2"/>
        <scheme val="minor"/>
      </rPr>
      <t>3</t>
    </r>
    <r>
      <rPr>
        <i/>
        <sz val="11"/>
        <color theme="1"/>
        <rFont val="Calibri"/>
        <family val="2"/>
        <scheme val="minor"/>
      </rPr>
      <t xml:space="preserve"> [%]</t>
    </r>
  </si>
  <si>
    <t>RIIC [%]</t>
  </si>
  <si>
    <t>Fe₂O₃</t>
  </si>
  <si>
    <t>Fe₃O₄</t>
  </si>
  <si>
    <t>FeCl₂</t>
  </si>
  <si>
    <t>FeCl₃</t>
  </si>
  <si>
    <t>Fe(OH)₃</t>
  </si>
  <si>
    <r>
      <t>M</t>
    </r>
    <r>
      <rPr>
        <vertAlign val="subscript"/>
        <sz val="11"/>
        <color theme="1"/>
        <rFont val="Calibri"/>
        <family val="2"/>
        <scheme val="minor"/>
      </rPr>
      <t>Fe</t>
    </r>
    <r>
      <rPr>
        <sz val="11"/>
        <color theme="1"/>
        <rFont val="Calibri"/>
        <family val="2"/>
        <scheme val="minor"/>
      </rPr>
      <t xml:space="preserve"> = molecular mass of iron [g/mol]</t>
    </r>
  </si>
  <si>
    <r>
      <t>H</t>
    </r>
    <r>
      <rPr>
        <vertAlign val="superscript"/>
        <sz val="11"/>
        <color theme="1"/>
        <rFont val="Calibri"/>
        <family val="2"/>
        <scheme val="minor"/>
      </rPr>
      <t>+</t>
    </r>
    <r>
      <rPr>
        <sz val="11"/>
        <color theme="1"/>
        <rFont val="Calibri"/>
        <family val="2"/>
        <scheme val="minor"/>
      </rPr>
      <t xml:space="preserve"> = 10 ^ -pH</t>
    </r>
  </si>
  <si>
    <t>Ks1 = 10 ^ -(1351.9 / T[K] + 0.0992 + 0.00792 * T[K])</t>
  </si>
  <si>
    <t>Ks2 = 10 ^ -11.96</t>
  </si>
  <si>
    <t>[1]: Polster, A. und Brummack, J. (2006): Verbesserung von Entschwefelungsverfahren in landwirtschaftlichen Biogasanlagen.</t>
  </si>
  <si>
    <t>Abschlussbericht der Technischen Universität Dresden, Fakultät Maschinenbau, Institut für Verfahrenstechnik, Lehrstuhl für</t>
  </si>
  <si>
    <t>Thermische Verfahrenstechnik und Umwelttechnik.</t>
  </si>
  <si>
    <t>Sources:</t>
  </si>
  <si>
    <t>https://www.teknologisk.dk/_/media/60599_Biogas%20upgrading.%20Evaluation%20of%20methods%20for%20H2S%20removal.pdf</t>
  </si>
  <si>
    <t>See p. 7</t>
  </si>
  <si>
    <t>https://www.biogas-forum-bayern.de/media/files/0002/Entschwefelung-von-Biogas-in-landwirtschaftlichen-Biogasanlagen-2013.pdf</t>
  </si>
  <si>
    <t>See p. 8f.</t>
  </si>
  <si>
    <t>https://tu-dresden.de/ing/maschinenwesen/ifvu/ressourcen/dateien/tvu/forschungsprojekte/forschung_alt/entschwefelungsverfahren/bge_in_landw_anlagen.pdf</t>
  </si>
  <si>
    <t>See pp. 26f. and 108f.</t>
  </si>
  <si>
    <t>Ferric Hydroxide</t>
  </si>
  <si>
    <t>Ferrous Hydroxide</t>
  </si>
  <si>
    <t>Fe(OH)₂</t>
  </si>
  <si>
    <t>RIIC factor [%]
= CNT Fe ion [%]</t>
  </si>
  <si>
    <t>Moisture</t>
  </si>
  <si>
    <t>C)</t>
  </si>
  <si>
    <t>B)</t>
  </si>
  <si>
    <t>A)</t>
  </si>
  <si>
    <t>Moisture [%]
SDS</t>
  </si>
  <si>
    <r>
      <t>RIIIC</t>
    </r>
    <r>
      <rPr>
        <vertAlign val="subscript"/>
        <sz val="11"/>
        <color theme="1"/>
        <rFont val="Calibri"/>
        <family val="2"/>
        <scheme val="minor"/>
      </rPr>
      <t>Fe²⁺</t>
    </r>
    <r>
      <rPr>
        <sz val="11"/>
        <color theme="1"/>
        <rFont val="Calibri"/>
        <family val="2"/>
        <scheme val="minor"/>
      </rPr>
      <t>(Add)</t>
    </r>
  </si>
  <si>
    <r>
      <t>RIIIC</t>
    </r>
    <r>
      <rPr>
        <vertAlign val="subscript"/>
        <sz val="11"/>
        <color theme="1"/>
        <rFont val="Calibri"/>
        <family val="2"/>
        <scheme val="minor"/>
      </rPr>
      <t>Fe³⁺</t>
    </r>
    <r>
      <rPr>
        <sz val="11"/>
        <color theme="1"/>
        <rFont val="Calibri"/>
        <family val="2"/>
        <scheme val="minor"/>
      </rPr>
      <t>(Add)</t>
    </r>
  </si>
  <si>
    <r>
      <t>RIIIC</t>
    </r>
    <r>
      <rPr>
        <vertAlign val="subscript"/>
        <sz val="11"/>
        <color theme="1"/>
        <rFont val="Calibri"/>
        <family val="2"/>
        <scheme val="minor"/>
      </rPr>
      <t>Fe²⁺</t>
    </r>
    <r>
      <rPr>
        <sz val="11"/>
        <color theme="1"/>
        <rFont val="Calibri"/>
        <family val="2"/>
        <scheme val="minor"/>
      </rPr>
      <t>(SBGx)</t>
    </r>
  </si>
  <si>
    <r>
      <t>RIIIC</t>
    </r>
    <r>
      <rPr>
        <vertAlign val="subscript"/>
        <sz val="11"/>
        <color theme="1"/>
        <rFont val="Calibri"/>
        <family val="2"/>
        <scheme val="minor"/>
      </rPr>
      <t>Fe³⁺</t>
    </r>
    <r>
      <rPr>
        <sz val="11"/>
        <color theme="1"/>
        <rFont val="Calibri"/>
        <family val="2"/>
        <scheme val="minor"/>
      </rPr>
      <t>(SBGx)</t>
    </r>
  </si>
  <si>
    <t>⅓ Fe²⁺ + ⅔ Fe³⁺</t>
  </si>
  <si>
    <t>Oxidation State</t>
  </si>
  <si>
    <t>Fe²⁺</t>
  </si>
  <si>
    <t>Fe³⁺</t>
  </si>
  <si>
    <t>Additive:</t>
  </si>
  <si>
    <t>SBGx:</t>
  </si>
  <si>
    <t>Total each</t>
  </si>
  <si>
    <t>Fe²⁺ : Fe³⁺ ratio</t>
  </si>
  <si>
    <t>IUPAC name</t>
  </si>
  <si>
    <t>Ferric Oxide Trihydrate</t>
  </si>
  <si>
    <t>Fe₂O₃·3H₂O</t>
  </si>
  <si>
    <t>Mass</t>
  </si>
  <si>
    <t>Kilogram [kg]</t>
  </si>
  <si>
    <t>1 Pound [lb] =</t>
  </si>
  <si>
    <t>1 Imp ton [t] =</t>
  </si>
  <si>
    <t>1 US ton [t] =</t>
  </si>
  <si>
    <t>Volume</t>
  </si>
  <si>
    <t>Litre [l]</t>
  </si>
  <si>
    <t>1 Imp gallon [gal] =</t>
  </si>
  <si>
    <t>Conversion factors</t>
  </si>
  <si>
    <t>Imperial/US</t>
  </si>
  <si>
    <t>Metric</t>
  </si>
  <si>
    <t>daily</t>
  </si>
  <si>
    <t>weekly</t>
  </si>
  <si>
    <t>monthly</t>
  </si>
  <si>
    <t>yearly</t>
  </si>
  <si>
    <t>adjective</t>
  </si>
  <si>
    <t>SBGx short</t>
  </si>
  <si>
    <t>SBGx long</t>
  </si>
  <si>
    <t>Kilogram [kg/day]</t>
  </si>
  <si>
    <t>Metric ton (Tonne) [t/day]</t>
  </si>
  <si>
    <t>Litre [l/day]</t>
  </si>
  <si>
    <t>Pound [lb/day]</t>
  </si>
  <si>
    <t>Day</t>
  </si>
  <si>
    <t>Week</t>
  </si>
  <si>
    <t>Month</t>
  </si>
  <si>
    <t>Year</t>
  </si>
  <si>
    <t>Kilogram [/kg]</t>
  </si>
  <si>
    <t>Metric ton (Tonne) [/t]</t>
  </si>
  <si>
    <t>Litre [/l]</t>
  </si>
  <si>
    <t>Pound [/lb]</t>
  </si>
  <si>
    <t>US short ton [t/day]</t>
  </si>
  <si>
    <t>US short ton [/t]</t>
  </si>
  <si>
    <t>Imperial ton [/t]</t>
  </si>
  <si>
    <t>Imperial gallon [/gal]</t>
  </si>
  <si>
    <t>Imperial ton [t/day]</t>
  </si>
  <si>
    <t>Imperial gallon [gal/day]</t>
  </si>
  <si>
    <t>Calculation according Formula Gl. A1-10, p. 109</t>
  </si>
  <si>
    <t>1 US gallon [gal] =</t>
  </si>
  <si>
    <t>US gallon [gal/day]</t>
  </si>
  <si>
    <t>US gallon [/gal]</t>
  </si>
  <si>
    <t>Moisture [%]
@ 105 °C</t>
  </si>
  <si>
    <t>Anaerobe Abwasserreinigung – Ein Modell zur Berechnung und Darstellung der maßgebenden chemischen Parameter</t>
  </si>
  <si>
    <t>Feᴺ⁺ ratio value</t>
  </si>
  <si>
    <r>
      <t>fH₂S(aq) = (1 + Ks1 / H</t>
    </r>
    <r>
      <rPr>
        <vertAlign val="superscript"/>
        <sz val="11"/>
        <color theme="1"/>
        <rFont val="Calibri"/>
        <family val="2"/>
        <scheme val="minor"/>
      </rPr>
      <t>+</t>
    </r>
    <r>
      <rPr>
        <sz val="11"/>
        <color theme="1"/>
        <rFont val="Calibri"/>
        <family val="2"/>
        <scheme val="minor"/>
      </rPr>
      <t xml:space="preserve"> + Ks1 * Ks2 / H</t>
    </r>
    <r>
      <rPr>
        <vertAlign val="superscript"/>
        <sz val="11"/>
        <color theme="1"/>
        <rFont val="Calibri"/>
        <family val="2"/>
        <scheme val="minor"/>
      </rPr>
      <t>+</t>
    </r>
    <r>
      <rPr>
        <sz val="11"/>
        <color theme="1"/>
        <rFont val="Calibri"/>
        <family val="2"/>
        <scheme val="minor"/>
      </rPr>
      <t xml:space="preserve"> ^ 2) ^ -1</t>
    </r>
  </si>
  <si>
    <t>see https://en.wikipedia.org/wiki/Hydrogen_sulfide</t>
  </si>
  <si>
    <t>see: https://teesing.com/en/library/tools/ppm-mg3-converter</t>
  </si>
  <si>
    <r>
      <t xml:space="preserve">Formeln S. 108 nicht korrekt: Gl A1-2, Gl A1-3. Die korrekten Formeln für </t>
    </r>
    <r>
      <rPr>
        <b/>
        <sz val="11"/>
        <color theme="1"/>
        <rFont val="Calibri"/>
        <family val="2"/>
        <scheme val="minor"/>
      </rPr>
      <t>fHS⁻</t>
    </r>
    <r>
      <rPr>
        <sz val="11"/>
        <color theme="1"/>
        <rFont val="Calibri"/>
        <family val="2"/>
        <scheme val="minor"/>
      </rPr>
      <t xml:space="preserve"> und </t>
    </r>
    <r>
      <rPr>
        <b/>
        <sz val="11"/>
        <color theme="1"/>
        <rFont val="Calibri"/>
        <family val="2"/>
        <scheme val="minor"/>
      </rPr>
      <t>fS²⁻</t>
    </r>
    <r>
      <rPr>
        <sz val="11"/>
        <color theme="1"/>
        <rFont val="Calibri"/>
        <family val="2"/>
        <scheme val="minor"/>
      </rPr>
      <t xml:space="preserve"> können hier gefunden werden, Seite 33:</t>
    </r>
  </si>
  <si>
    <r>
      <t xml:space="preserve">     = β * M</t>
    </r>
    <r>
      <rPr>
        <vertAlign val="subscript"/>
        <sz val="11"/>
        <rFont val="Calibri"/>
        <family val="2"/>
        <scheme val="minor"/>
      </rPr>
      <t>Fe</t>
    </r>
    <r>
      <rPr>
        <sz val="11"/>
        <rFont val="Calibri"/>
        <family val="2"/>
        <scheme val="minor"/>
      </rPr>
      <t xml:space="preserve"> / </t>
    </r>
    <r>
      <rPr>
        <vertAlign val="subscript"/>
        <sz val="11"/>
        <rFont val="Calibri"/>
        <family val="2"/>
        <scheme val="minor"/>
      </rPr>
      <t>MH2S</t>
    </r>
    <r>
      <rPr>
        <sz val="11"/>
        <rFont val="Calibri"/>
        <family val="2"/>
        <scheme val="minor"/>
      </rPr>
      <t xml:space="preserve"> * (H</t>
    </r>
    <r>
      <rPr>
        <vertAlign val="subscript"/>
        <sz val="11"/>
        <rFont val="Calibri"/>
        <family val="2"/>
        <scheme val="minor"/>
      </rPr>
      <t>2</t>
    </r>
    <r>
      <rPr>
        <sz val="11"/>
        <rFont val="Calibri"/>
        <family val="2"/>
        <scheme val="minor"/>
      </rPr>
      <t>S(aq-ges) * V</t>
    </r>
    <r>
      <rPr>
        <vertAlign val="subscript"/>
        <sz val="11"/>
        <rFont val="Calibri"/>
        <family val="2"/>
        <scheme val="minor"/>
      </rPr>
      <t>Substrate</t>
    </r>
    <r>
      <rPr>
        <sz val="11"/>
        <rFont val="Calibri"/>
        <family val="2"/>
        <scheme val="minor"/>
      </rPr>
      <t xml:space="preserve"> + ΔH</t>
    </r>
    <r>
      <rPr>
        <vertAlign val="subscript"/>
        <sz val="11"/>
        <rFont val="Calibri"/>
        <family val="2"/>
        <scheme val="minor"/>
      </rPr>
      <t>2</t>
    </r>
    <r>
      <rPr>
        <sz val="11"/>
        <rFont val="Calibri"/>
        <family val="2"/>
        <scheme val="minor"/>
      </rPr>
      <t>S(g) / 1000 / cc(mg/m³, ppm) * M</t>
    </r>
    <r>
      <rPr>
        <vertAlign val="subscript"/>
        <sz val="11"/>
        <rFont val="Calibri"/>
        <family val="2"/>
        <scheme val="minor"/>
      </rPr>
      <t>H2S</t>
    </r>
    <r>
      <rPr>
        <sz val="11"/>
        <rFont val="Calibri"/>
        <family val="2"/>
        <scheme val="minor"/>
      </rPr>
      <t xml:space="preserve"> * V</t>
    </r>
    <r>
      <rPr>
        <vertAlign val="subscript"/>
        <sz val="11"/>
        <rFont val="Calibri"/>
        <family val="2"/>
        <scheme val="minor"/>
      </rPr>
      <t>Biogas</t>
    </r>
    <r>
      <rPr>
        <sz val="11"/>
        <rFont val="Calibri"/>
        <family val="2"/>
        <scheme val="minor"/>
      </rPr>
      <t>)     (See formula A2)</t>
    </r>
  </si>
  <si>
    <t>concentration [ppm] = 24.45 x concentration [mg/m3] ÷ molecular weight</t>
  </si>
  <si>
    <t>[mg/m³]</t>
  </si>
  <si>
    <t>[ppm]</t>
  </si>
  <si>
    <t xml:space="preserve"> </t>
  </si>
  <si>
    <t>[kg/l]</t>
  </si>
  <si>
    <t>→</t>
  </si>
  <si>
    <t>←</t>
  </si>
  <si>
    <t>↔</t>
  </si>
  <si>
    <t>RIIM * β [g/d]</t>
  </si>
  <si>
    <r>
      <t xml:space="preserve">RIIM =  </t>
    </r>
    <r>
      <rPr>
        <sz val="11"/>
        <color theme="1"/>
        <rFont val="Calibri"/>
        <family val="2"/>
        <scheme val="minor"/>
      </rPr>
      <t>M</t>
    </r>
    <r>
      <rPr>
        <vertAlign val="subscript"/>
        <sz val="11"/>
        <color theme="1"/>
        <rFont val="Calibri"/>
        <family val="2"/>
        <scheme val="minor"/>
      </rPr>
      <t>Fe</t>
    </r>
    <r>
      <rPr>
        <sz val="11"/>
        <color theme="1"/>
        <rFont val="Calibri"/>
        <family val="2"/>
        <scheme val="minor"/>
      </rPr>
      <t xml:space="preserve"> / M</t>
    </r>
    <r>
      <rPr>
        <vertAlign val="subscript"/>
        <sz val="11"/>
        <color theme="1"/>
        <rFont val="Calibri"/>
        <family val="2"/>
        <scheme val="minor"/>
      </rPr>
      <t>H2S</t>
    </r>
    <r>
      <rPr>
        <sz val="11"/>
        <color theme="1"/>
        <rFont val="Calibri"/>
        <family val="2"/>
        <scheme val="minor"/>
      </rPr>
      <t xml:space="preserve"> * (H2S(aq-ges) * V</t>
    </r>
    <r>
      <rPr>
        <vertAlign val="subscript"/>
        <sz val="11"/>
        <color theme="1"/>
        <rFont val="Calibri"/>
        <family val="2"/>
        <scheme val="minor"/>
      </rPr>
      <t>Substrate</t>
    </r>
    <r>
      <rPr>
        <sz val="11"/>
        <color theme="1"/>
        <rFont val="Calibri"/>
        <family val="2"/>
        <scheme val="minor"/>
      </rPr>
      <t xml:space="preserve"> + ΔH2S(g) / 1000 / cc * M</t>
    </r>
    <r>
      <rPr>
        <vertAlign val="subscript"/>
        <sz val="11"/>
        <color theme="1"/>
        <rFont val="Calibri"/>
        <family val="2"/>
        <scheme val="minor"/>
      </rPr>
      <t>H2S</t>
    </r>
    <r>
      <rPr>
        <sz val="11"/>
        <color theme="1"/>
        <rFont val="Calibri"/>
        <family val="2"/>
        <scheme val="minor"/>
      </rPr>
      <t xml:space="preserve"> * V</t>
    </r>
    <r>
      <rPr>
        <vertAlign val="subscript"/>
        <sz val="11"/>
        <color theme="1"/>
        <rFont val="Calibri"/>
        <family val="2"/>
        <scheme val="minor"/>
      </rPr>
      <t>Biogas</t>
    </r>
    <r>
      <rPr>
        <sz val="11"/>
        <color theme="1"/>
        <rFont val="Calibri"/>
        <family val="2"/>
        <scheme val="minor"/>
      </rPr>
      <t>) [g/day]</t>
    </r>
  </si>
  <si>
    <t>Conclusion:</t>
  </si>
  <si>
    <r>
      <t xml:space="preserve">Unit converter: </t>
    </r>
    <r>
      <rPr>
        <i/>
        <sz val="11"/>
        <color theme="1"/>
        <rFont val="Calibri"/>
        <family val="2"/>
        <scheme val="minor"/>
      </rPr>
      <t>H₂S(gas) content</t>
    </r>
  </si>
  <si>
    <r>
      <t xml:space="preserve">Unit converter: </t>
    </r>
    <r>
      <rPr>
        <i/>
        <sz val="11"/>
        <color theme="1"/>
        <rFont val="Calibri"/>
        <family val="2"/>
        <scheme val="minor"/>
      </rPr>
      <t>Density</t>
    </r>
  </si>
  <si>
    <r>
      <t xml:space="preserve">Unit converter: </t>
    </r>
    <r>
      <rPr>
        <i/>
        <sz val="11"/>
        <color theme="1"/>
        <rFont val="Calibri"/>
        <family val="2"/>
        <scheme val="minor"/>
      </rPr>
      <t>Mass</t>
    </r>
  </si>
  <si>
    <t>Unit converter: Volume</t>
  </si>
  <si>
    <r>
      <t>M</t>
    </r>
    <r>
      <rPr>
        <vertAlign val="subscript"/>
        <sz val="11"/>
        <color theme="1"/>
        <rFont val="Calibri"/>
        <family val="2"/>
        <scheme val="minor"/>
      </rPr>
      <t>H₂S</t>
    </r>
    <r>
      <rPr>
        <sz val="11"/>
        <color theme="1"/>
        <rFont val="Calibri"/>
        <family val="2"/>
        <scheme val="minor"/>
      </rPr>
      <t xml:space="preserve"> = Molar mass H₂S = 34.08 g/mol</t>
    </r>
  </si>
  <si>
    <t>Alternative</t>
  </si>
  <si>
    <t>Remark</t>
  </si>
  <si>
    <t>Additive dosage calculator information</t>
  </si>
  <si>
    <t>Basis:</t>
  </si>
  <si>
    <t>Abschlussbericht der Technischen Universität Dresden, Fakultät Maschinenbau, Institut für Verfahrenstechnik, Lehrstuhl für Thermische Verfahrenstechnik und Umwelttechnik.</t>
  </si>
  <si>
    <t>Source in German:</t>
  </si>
  <si>
    <t>https://tu-dresden.de/ing/maschinenwesen/ifvu/ressourcen/dateien/tvu/forschungsprojekte/forschung_alt/entschwefelungsverfahren/bge_in_landw_anlagen.pdf?lang=en</t>
  </si>
  <si>
    <t>[1] Polster &amp; Brummack (2006): Page 26</t>
  </si>
  <si>
    <t>[1] Polster &amp; Brummack (2006): Page 109</t>
  </si>
  <si>
    <t>https://teesing.com/en/library/tools/ppm-mg3-converter</t>
  </si>
  <si>
    <r>
      <rPr>
        <sz val="11"/>
        <rFont val="Calibri"/>
        <family val="2"/>
        <scheme val="minor"/>
      </rPr>
      <t xml:space="preserve">Source: </t>
    </r>
    <r>
      <rPr>
        <u/>
        <sz val="11"/>
        <color rgb="FF0000EE"/>
        <rFont val="Calibri"/>
        <family val="2"/>
        <scheme val="minor"/>
      </rPr>
      <t>https://swissbiogas.com/</t>
    </r>
    <r>
      <rPr>
        <sz val="11"/>
        <rFont val="Calibri"/>
        <family val="2"/>
        <scheme val="minor"/>
      </rPr>
      <t xml:space="preserve"> Resources - Download Area: </t>
    </r>
    <r>
      <rPr>
        <i/>
        <sz val="11"/>
        <rFont val="Calibri"/>
        <family val="2"/>
        <scheme val="minor"/>
      </rPr>
      <t>RIIC_calculator_web</t>
    </r>
  </si>
  <si>
    <t>https://en.wikipedia.org/wiki/Gallon</t>
  </si>
  <si>
    <t>https://en.wikipedia.org/wiki/Ton</t>
  </si>
  <si>
    <t>https://en.wikipedia.org/wiki/Hydrogen_sulfide</t>
  </si>
  <si>
    <t>Ries, T. (1993): Reduzierung der Schwefelwasserstoffbildung im Faulraum durch Zugabe von Eisenchlorid. Schriftenreihe der Siedlungswasserwirtschaft Bochum, Nr. 25.</t>
  </si>
  <si>
    <t>Ries: 1.7 ≤ β ≤ 2.3</t>
  </si>
  <si>
    <t>Oechsner: 3 ≤ β ≤ 5</t>
  </si>
  <si>
    <t>Oechsner, H. (2000): Biogas in Blockheizkraftwerken. Landesanstalt für Landwirtschaftliches Maschinen- und Bauwesen der Universität Hohenheim, Stuttgart-Hohenheim.</t>
  </si>
  <si>
    <r>
      <t>ρ</t>
    </r>
    <r>
      <rPr>
        <vertAlign val="subscript"/>
        <sz val="11"/>
        <color theme="1"/>
        <rFont val="Calibri"/>
        <family val="2"/>
        <scheme val="minor"/>
      </rPr>
      <t>H2S</t>
    </r>
    <r>
      <rPr>
        <sz val="11"/>
        <color theme="1"/>
        <rFont val="Calibri"/>
        <family val="2"/>
        <scheme val="minor"/>
      </rPr>
      <t xml:space="preserve"> = Density H₂S = 1.363 g/l</t>
    </r>
  </si>
  <si>
    <r>
      <t>M</t>
    </r>
    <r>
      <rPr>
        <vertAlign val="subscript"/>
        <sz val="11"/>
        <color theme="1"/>
        <rFont val="Calibri"/>
        <family val="2"/>
        <scheme val="minor"/>
      </rPr>
      <t>Fe</t>
    </r>
  </si>
  <si>
    <t>= Molar mass iron (55.845 g/mol)</t>
  </si>
  <si>
    <t>= Molar mass hydrogen sulfide (34.08 g/mol)</t>
  </si>
  <si>
    <t>β</t>
  </si>
  <si>
    <t>H₂S(aq)</t>
  </si>
  <si>
    <t>= H₂S content dissolved in liquid [g/m³]</t>
  </si>
  <si>
    <t>fH₂S(aq)</t>
  </si>
  <si>
    <t>ΔH₂S(g)</t>
  </si>
  <si>
    <t>= Daily added substrate volume [m³/day]</t>
  </si>
  <si>
    <t>= Daily produced biogas volume [m³/day]</t>
  </si>
  <si>
    <r>
      <t>M</t>
    </r>
    <r>
      <rPr>
        <vertAlign val="subscript"/>
        <sz val="11"/>
        <color theme="1"/>
        <rFont val="Calibri"/>
        <family val="2"/>
        <scheme val="minor"/>
      </rPr>
      <t>H₂S</t>
    </r>
  </si>
  <si>
    <t>Original formula:</t>
  </si>
  <si>
    <t>Basis formula used to calculate H₂S(aq-ges):</t>
  </si>
  <si>
    <t>Overdose factor β:</t>
  </si>
  <si>
    <t>Converters</t>
  </si>
  <si>
    <t>Selection volume units</t>
  </si>
  <si>
    <t>[m³/day]</t>
  </si>
  <si>
    <t>[Imp gal/day]</t>
  </si>
  <si>
    <t>[US gal/day]</t>
  </si>
  <si>
    <t>[lb/Imp gal]</t>
  </si>
  <si>
    <t>[lb/US gal]</t>
  </si>
  <si>
    <t>Iron(II) oxide</t>
  </si>
  <si>
    <t>Iron(III) oxide</t>
  </si>
  <si>
    <t>Iron(III) chloride</t>
  </si>
  <si>
    <t>Iron(III) oxide-hydroxide</t>
  </si>
  <si>
    <r>
      <t xml:space="preserve">     = Concentration of dissolved sulfur H</t>
    </r>
    <r>
      <rPr>
        <vertAlign val="subscript"/>
        <sz val="11"/>
        <color theme="1"/>
        <rFont val="Calibri"/>
        <family val="2"/>
        <scheme val="minor"/>
      </rPr>
      <t>2</t>
    </r>
    <r>
      <rPr>
        <sz val="11"/>
        <color theme="1"/>
        <rFont val="Calibri"/>
        <family val="2"/>
        <scheme val="minor"/>
      </rPr>
      <t>S(aq-ges) in substrate [g/m</t>
    </r>
    <r>
      <rPr>
        <vertAlign val="superscript"/>
        <sz val="11"/>
        <color theme="1"/>
        <rFont val="Calibri"/>
        <family val="2"/>
        <scheme val="minor"/>
      </rPr>
      <t>3</t>
    </r>
    <r>
      <rPr>
        <sz val="11"/>
        <color theme="1"/>
        <rFont val="Calibri"/>
        <family val="2"/>
        <scheme val="minor"/>
      </rPr>
      <t>]</t>
    </r>
  </si>
  <si>
    <r>
      <t>V̇</t>
    </r>
    <r>
      <rPr>
        <vertAlign val="subscript"/>
        <sz val="11"/>
        <color theme="1"/>
        <rFont val="Calibri"/>
        <family val="2"/>
        <scheme val="minor"/>
      </rPr>
      <t>Substrate</t>
    </r>
  </si>
  <si>
    <r>
      <t>V̇</t>
    </r>
    <r>
      <rPr>
        <vertAlign val="subscript"/>
        <sz val="11"/>
        <color theme="1"/>
        <rFont val="Calibri"/>
        <family val="2"/>
        <scheme val="minor"/>
      </rPr>
      <t>Biogas</t>
    </r>
  </si>
  <si>
    <t xml:space="preserve">    → H₂S(aq-ges) = H₂S(aq) / fH₂S(aq) [g/m³]  |  H₂S(aq-ges) = S²⁻ + HS⁻ + H₂S(aq)  |  1 = fS²⁻ + fHS⁻ + fH₂S(aq)</t>
  </si>
  <si>
    <t>Formula used for standard calculation without taking</t>
  </si>
  <si>
    <t>into account the sulfur content in the liquid:</t>
  </si>
  <si>
    <t>Modified formula used by SwissBiogas.com:</t>
  </si>
  <si>
    <t>= Total required reactive iron ion mass (= RIIM) [g/day]</t>
  </si>
  <si>
    <r>
      <t>cc(mg/m³, ppm) = Conversion constant mg/m</t>
    </r>
    <r>
      <rPr>
        <vertAlign val="superscript"/>
        <sz val="11"/>
        <color theme="1"/>
        <rFont val="Calibri"/>
        <family val="2"/>
        <scheme val="minor"/>
      </rPr>
      <t>3</t>
    </r>
    <r>
      <rPr>
        <sz val="11"/>
        <color theme="1"/>
        <rFont val="Calibri"/>
        <family val="2"/>
        <scheme val="minor"/>
      </rPr>
      <t xml:space="preserve"> → ppm</t>
    </r>
  </si>
  <si>
    <r>
      <t>Mass(H₂S(gas))</t>
    </r>
    <r>
      <rPr>
        <sz val="11"/>
        <rFont val="Calibri"/>
        <family val="2"/>
        <scheme val="minor"/>
      </rPr>
      <t xml:space="preserve"> = H₂S / 1000 / 24.45 * MH₂S * V</t>
    </r>
    <r>
      <rPr>
        <vertAlign val="subscript"/>
        <sz val="11"/>
        <rFont val="Calibri"/>
        <family val="2"/>
        <scheme val="minor"/>
      </rPr>
      <t>Biogas</t>
    </r>
    <r>
      <rPr>
        <sz val="11"/>
        <rFont val="Calibri"/>
        <family val="2"/>
        <scheme val="minor"/>
      </rPr>
      <t xml:space="preserve"> [g/day]</t>
    </r>
  </si>
  <si>
    <r>
      <t>Mass(H₂S(aq-ges))</t>
    </r>
    <r>
      <rPr>
        <sz val="11"/>
        <rFont val="Calibri"/>
        <family val="2"/>
        <scheme val="minor"/>
      </rPr>
      <t xml:space="preserve"> = H₂S(aq-ges) * V</t>
    </r>
    <r>
      <rPr>
        <vertAlign val="subscript"/>
        <sz val="11"/>
        <rFont val="Calibri"/>
        <family val="2"/>
        <scheme val="minor"/>
      </rPr>
      <t>Substrate</t>
    </r>
    <r>
      <rPr>
        <sz val="11"/>
        <rFont val="Calibri"/>
        <family val="2"/>
        <scheme val="minor"/>
      </rPr>
      <t xml:space="preserve"> [g/day]</t>
    </r>
  </si>
  <si>
    <t>Factor</t>
  </si>
  <si>
    <r>
      <rPr>
        <b/>
        <sz val="11"/>
        <color theme="1"/>
        <rFont val="Calibri"/>
        <family val="2"/>
        <scheme val="minor"/>
      </rPr>
      <t>H2S(aq) / fH2S(aq) = H2S(aq-ges)</t>
    </r>
    <r>
      <rPr>
        <sz val="11"/>
        <color theme="1"/>
        <rFont val="Calibri"/>
        <family val="2"/>
        <scheme val="minor"/>
      </rPr>
      <t xml:space="preserve"> = H2S(aq) + HS- + S2-</t>
    </r>
  </si>
  <si>
    <r>
      <t xml:space="preserve">     = e((ln(H2S(g)) - 6.42) / 0.78) / fH2S(aq)     (See formula </t>
    </r>
    <r>
      <rPr>
        <sz val="11"/>
        <color rgb="FF0000FF"/>
        <rFont val="Calibri"/>
        <family val="2"/>
        <scheme val="minor"/>
      </rPr>
      <t>B)</t>
    </r>
    <r>
      <rPr>
        <sz val="11"/>
        <color theme="1"/>
        <rFont val="Calibri"/>
        <family val="2"/>
        <scheme val="minor"/>
      </rPr>
      <t>)</t>
    </r>
  </si>
  <si>
    <r>
      <t xml:space="preserve">fS²⁻ = Ks1 * Ks2 / (H⁺)² * </t>
    </r>
    <r>
      <rPr>
        <b/>
        <sz val="11"/>
        <color theme="1"/>
        <rFont val="Calibri"/>
        <family val="2"/>
        <scheme val="minor"/>
      </rPr>
      <t>H₂S(aq)</t>
    </r>
    <r>
      <rPr>
        <sz val="11"/>
        <color theme="1"/>
        <rFont val="Calibri"/>
        <family val="2"/>
        <scheme val="minor"/>
      </rPr>
      <t xml:space="preserve"> Formula</t>
    </r>
    <r>
      <rPr>
        <b/>
        <sz val="11"/>
        <color rgb="FFFF0000"/>
        <rFont val="Calibri"/>
        <family val="2"/>
        <scheme val="minor"/>
      </rPr>
      <t xml:space="preserve"> </t>
    </r>
    <r>
      <rPr>
        <b/>
        <sz val="11"/>
        <color rgb="FFDA2C43"/>
        <rFont val="Calibri"/>
        <family val="2"/>
        <scheme val="minor"/>
      </rPr>
      <t>wrong</t>
    </r>
    <r>
      <rPr>
        <sz val="11"/>
        <color theme="1"/>
        <rFont val="Calibri"/>
        <family val="2"/>
        <scheme val="minor"/>
      </rPr>
      <t xml:space="preserve"> → fS²⁻ =  Ks1 * Ks2 / (H⁺)² * </t>
    </r>
    <r>
      <rPr>
        <b/>
        <sz val="11"/>
        <color rgb="FFDA2C43"/>
        <rFont val="Calibri"/>
        <family val="2"/>
        <scheme val="minor"/>
      </rPr>
      <t>f</t>
    </r>
    <r>
      <rPr>
        <b/>
        <sz val="11"/>
        <color theme="1"/>
        <rFont val="Calibri"/>
        <family val="2"/>
        <scheme val="minor"/>
      </rPr>
      <t>H₂S(aq)</t>
    </r>
  </si>
  <si>
    <t># of Fe³⁺/mol</t>
  </si>
  <si>
    <r>
      <t># of Fe²</t>
    </r>
    <r>
      <rPr>
        <sz val="11"/>
        <color theme="1"/>
        <rFont val="Calibri"/>
        <family val="2"/>
      </rPr>
      <t>⁺</t>
    </r>
    <r>
      <rPr>
        <sz val="11"/>
        <color theme="1"/>
        <rFont val="Calibri"/>
        <family val="2"/>
        <scheme val="minor"/>
      </rPr>
      <t>/mol</t>
    </r>
  </si>
  <si>
    <t>Molar mass M [g/mol]</t>
  </si>
  <si>
    <t>Std. atomic mass M [g/mol]</t>
  </si>
  <si>
    <t>ppm = parts per million</t>
  </si>
  <si>
    <r>
      <t>value [ppm] = mass [mg] / volume [m³] * 24.45 / M</t>
    </r>
    <r>
      <rPr>
        <vertAlign val="subscript"/>
        <sz val="11"/>
        <color theme="1"/>
        <rFont val="Calibri"/>
        <family val="2"/>
        <scheme val="minor"/>
      </rPr>
      <t>H₂S</t>
    </r>
  </si>
  <si>
    <r>
      <t>value [ppm] = mass [mg] / volume [m³] / ρ</t>
    </r>
    <r>
      <rPr>
        <vertAlign val="subscript"/>
        <sz val="11"/>
        <color theme="1"/>
        <rFont val="Calibri"/>
        <family val="2"/>
        <scheme val="minor"/>
      </rPr>
      <t>H₂S</t>
    </r>
  </si>
  <si>
    <t xml:space="preserve"> [Kilogram; kg]</t>
  </si>
  <si>
    <t>[Pound; lb]</t>
  </si>
  <si>
    <t>[Imperial ton; t]</t>
  </si>
  <si>
    <t>[US short ton; t]</t>
  </si>
  <si>
    <t>[Metric ton; t]</t>
  </si>
  <si>
    <t>[Litre; l]</t>
  </si>
  <si>
    <t>[Imp gallon; gal]</t>
  </si>
  <si>
    <t>[US gallon; gal]</t>
  </si>
  <si>
    <t>[Cubic metre; m³]</t>
  </si>
  <si>
    <t>[Kilogram; kg]</t>
  </si>
  <si>
    <t>1 Pound (lb) =</t>
  </si>
  <si>
    <t>1 US short ton (t) =</t>
  </si>
  <si>
    <t>1 Imp gallon (gal) =</t>
  </si>
  <si>
    <t>1 US gallon (gal) =</t>
  </si>
  <si>
    <t>Formula used</t>
  </si>
  <si>
    <t>1 Imperial ton (t) =</t>
  </si>
  <si>
    <t>= Overdose factor. For recommended value ranges and references see "Overdose factor β" below</t>
  </si>
  <si>
    <t>day</t>
  </si>
  <si>
    <t>sum_%</t>
  </si>
  <si>
    <t>Example:</t>
  </si>
  <si>
    <t>Standard</t>
  </si>
  <si>
    <t>= H₂S(aq) percentage of total sulfur content H₂S(aq-ges) dissolved in liquid [%]</t>
  </si>
  <si>
    <t>%</t>
  </si>
  <si>
    <t>diff_sum_vol</t>
  </si>
  <si>
    <t>%_diff_sum_vol</t>
  </si>
  <si>
    <t>Introduction of the Optimal Retention Duration Calculator.</t>
  </si>
  <si>
    <r>
      <t xml:space="preserve">The RIIC calculator concludes absolut correctly, that 90 kg of the Standard additive can be replaced with 55 kg of SBGx to precipitate </t>
    </r>
    <r>
      <rPr>
        <b/>
        <sz val="11"/>
        <color theme="1"/>
        <rFont val="Calibri"/>
        <family val="2"/>
        <scheme val="minor"/>
      </rPr>
      <t>19.86 kg of H₂S</t>
    </r>
  </si>
  <si>
    <t>After 40 days both experiments are terminated as the daily gains in gas volumes become negligible.</t>
  </si>
  <si>
    <t>Performance advantage of SBGx</t>
  </si>
  <si>
    <r>
      <t xml:space="preserve">Using the </t>
    </r>
    <r>
      <rPr>
        <b/>
        <sz val="11"/>
        <color theme="1"/>
        <rFont val="Calibri"/>
        <family val="2"/>
        <scheme val="minor"/>
      </rPr>
      <t>Standard</t>
    </r>
    <r>
      <rPr>
        <sz val="11"/>
        <color theme="1"/>
        <rFont val="Calibri"/>
        <family val="2"/>
        <scheme val="minor"/>
      </rPr>
      <t xml:space="preserve"> additive, the previous daily production was: 10,000 m³ of biogas, 1'500 ppm H₂S content in the raw, untreated biogas -&gt; </t>
    </r>
    <r>
      <rPr>
        <b/>
        <sz val="11"/>
        <color theme="1"/>
        <rFont val="Calibri"/>
        <family val="2"/>
        <scheme val="minor"/>
      </rPr>
      <t>Production of 20.91 kg of H₂S</t>
    </r>
  </si>
  <si>
    <r>
      <t xml:space="preserve">With 55 kg of SBGx, </t>
    </r>
    <r>
      <rPr>
        <b/>
        <sz val="11"/>
        <color theme="1"/>
        <rFont val="Calibri"/>
        <family val="2"/>
        <scheme val="minor"/>
      </rPr>
      <t>19.86 kg of H₂S</t>
    </r>
    <r>
      <rPr>
        <sz val="11"/>
        <color theme="1"/>
        <rFont val="Calibri"/>
        <family val="2"/>
        <scheme val="minor"/>
      </rPr>
      <t xml:space="preserve"> are precipitated, the exact same amount as with 90 kg of the Standard additive.</t>
    </r>
  </si>
  <si>
    <t>¹ RD: Retention duration</t>
  </si>
  <si>
    <t>The higher H₂S content in the biogas is not due to a sudden lack of SBGx's precipitation strength, but to a 10% underdosing, caused by the increased gas and H₂S production.</t>
  </si>
  <si>
    <t>Input: Percentage of the biogas volume to be recovered. 100% means the total amount of biogas produced</t>
  </si>
  <si>
    <r>
      <t>With 90 kg of the Standard additive, 95% of the H</t>
    </r>
    <r>
      <rPr>
        <sz val="11"/>
        <color theme="1"/>
        <rFont val="Calibri"/>
        <family val="2"/>
      </rPr>
      <t>₂</t>
    </r>
    <r>
      <rPr>
        <sz val="11"/>
        <color theme="1"/>
        <rFont val="Calibri"/>
        <family val="2"/>
        <scheme val="minor"/>
      </rPr>
      <t xml:space="preserve">S accumulation could be precipitated -&gt; </t>
    </r>
    <r>
      <rPr>
        <b/>
        <sz val="11"/>
        <color theme="1"/>
        <rFont val="Calibri"/>
        <family val="2"/>
        <scheme val="minor"/>
      </rPr>
      <t>95% of 20.91 kg = 19.86 kg</t>
    </r>
    <r>
      <rPr>
        <sz val="11"/>
        <color theme="1"/>
        <rFont val="Calibri"/>
        <family val="2"/>
        <scheme val="minor"/>
      </rPr>
      <t xml:space="preserve"> -&gt; 1.05 kg of H₂S remained in 10,000 m³ gas -&gt; </t>
    </r>
    <r>
      <rPr>
        <b/>
        <u/>
        <sz val="11"/>
        <color theme="1"/>
        <rFont val="Calibri"/>
        <family val="2"/>
        <scheme val="minor"/>
      </rPr>
      <t>75 ppm H₂S content in the biogas</t>
    </r>
    <r>
      <rPr>
        <sz val="11"/>
        <color theme="1"/>
        <rFont val="Calibri"/>
        <family val="2"/>
        <scheme val="minor"/>
      </rPr>
      <t xml:space="preserve"> (75 ppm = 105 mg/m³)</t>
    </r>
  </si>
  <si>
    <r>
      <t xml:space="preserve">The challenge: Using SBGx, the H₂S accumulation is now </t>
    </r>
    <r>
      <rPr>
        <b/>
        <sz val="11"/>
        <color theme="1"/>
        <rFont val="Calibri"/>
        <family val="2"/>
        <scheme val="minor"/>
      </rPr>
      <t>23.00 kg (+10%) instead of 20.91 kg</t>
    </r>
    <r>
      <rPr>
        <sz val="11"/>
        <color theme="1"/>
        <rFont val="Calibri"/>
        <family val="2"/>
        <scheme val="minor"/>
      </rPr>
      <t xml:space="preserve"> of which only 19.86 kg  are precipitated -&gt; 3.14 kg H₂S remain in 11,000 m³ gas -&gt; </t>
    </r>
    <r>
      <rPr>
        <b/>
        <u/>
        <sz val="11"/>
        <color theme="1"/>
        <rFont val="Calibri"/>
        <family val="2"/>
        <scheme val="minor"/>
      </rPr>
      <t>204.5 ppm H₂S content in the biogas</t>
    </r>
    <r>
      <rPr>
        <sz val="11"/>
        <color theme="1"/>
        <rFont val="Calibri"/>
        <family val="2"/>
        <scheme val="minor"/>
      </rPr>
      <t xml:space="preserve"> (204.5 ppm = 285 mg/m³)</t>
    </r>
  </si>
  <si>
    <t>Standard ret. end</t>
  </si>
  <si>
    <t>SBGx ret. end</t>
  </si>
  <si>
    <t>SBGx vol. accum.</t>
  </si>
  <si>
    <t>Standard vol. accum.</t>
  </si>
  <si>
    <t>SBGx vol./day</t>
  </si>
  <si>
    <t>Standard vol./day</t>
  </si>
  <si>
    <t>TGP recovery rate at least [%]</t>
  </si>
  <si>
    <t>TGP recovery rate achieved on day</t>
  </si>
  <si>
    <t>Exact TGP recovery rate achieved</t>
  </si>
  <si>
    <t>orig_curve_1</t>
  </si>
  <si>
    <t>orig_curve_2</t>
  </si>
  <si>
    <t>SBGx advantage [%]</t>
  </si>
  <si>
    <t>Since the use of SBGx almost certainly leads to an immediate increase in biogas volume, it also automatically leads to an increased production of hydrogen sulphide.</t>
  </si>
  <si>
    <r>
      <rPr>
        <sz val="11"/>
        <color theme="1"/>
        <rFont val="Calibri"/>
        <family val="2"/>
        <scheme val="minor"/>
      </rPr>
      <t xml:space="preserve">This has the not so obvious consequence of: </t>
    </r>
    <r>
      <rPr>
        <b/>
        <sz val="11"/>
        <color theme="1"/>
        <rFont val="Calibri"/>
        <family val="2"/>
        <scheme val="minor"/>
      </rPr>
      <t>Underdosing of SBGx</t>
    </r>
  </si>
  <si>
    <r>
      <t xml:space="preserve">The question is: </t>
    </r>
    <r>
      <rPr>
        <i/>
        <sz val="11"/>
        <color theme="1"/>
        <rFont val="Calibri"/>
        <family val="2"/>
        <scheme val="minor"/>
      </rPr>
      <t>What does "too long" mean for the retention duration?</t>
    </r>
    <r>
      <rPr>
        <sz val="11"/>
        <color theme="1"/>
        <rFont val="Calibri"/>
        <family val="2"/>
        <scheme val="minor"/>
      </rPr>
      <t xml:space="preserve"> A 100% gas recovery would result in a</t>
    </r>
  </si>
  <si>
    <t>40 day retention duration. We assume that an appropriate value for the recovery rate is between 93% and 98%.</t>
  </si>
  <si>
    <t>Remark:</t>
  </si>
  <si>
    <t>Increasing gas production or shortening the retention time is a challenge if the calculation of the necessary dosage for SBGx is solely based on the dosages of previous additives.</t>
  </si>
  <si>
    <r>
      <t xml:space="preserve">In this example, using </t>
    </r>
    <r>
      <rPr>
        <b/>
        <sz val="11"/>
        <color theme="1"/>
        <rFont val="Calibri"/>
        <family val="2"/>
        <scheme val="minor"/>
      </rPr>
      <t>SBGx</t>
    </r>
    <r>
      <rPr>
        <sz val="11"/>
        <color theme="1"/>
        <rFont val="Calibri"/>
        <family val="2"/>
        <scheme val="minor"/>
      </rPr>
      <t xml:space="preserve"> results in new daily production numbers: 11'000 m³ of biogas (</t>
    </r>
    <r>
      <rPr>
        <b/>
        <sz val="11"/>
        <color theme="1"/>
        <rFont val="Calibri"/>
        <family val="2"/>
        <scheme val="minor"/>
      </rPr>
      <t>+10%</t>
    </r>
    <r>
      <rPr>
        <sz val="11"/>
        <color theme="1"/>
        <rFont val="Calibri"/>
        <family val="2"/>
        <scheme val="minor"/>
      </rPr>
      <t xml:space="preserve">), 1'500 ppm H₂S content </t>
    </r>
    <r>
      <rPr>
        <b/>
        <sz val="11"/>
        <color theme="1"/>
        <rFont val="Calibri"/>
        <family val="2"/>
        <scheme val="minor"/>
      </rPr>
      <t>(unchanged)</t>
    </r>
    <r>
      <rPr>
        <sz val="11"/>
        <color theme="1"/>
        <rFont val="Calibri"/>
        <family val="2"/>
        <scheme val="minor"/>
      </rPr>
      <t xml:space="preserve"> in the raw, untreated biogas -&gt; </t>
    </r>
    <r>
      <rPr>
        <b/>
        <sz val="11"/>
        <color theme="1"/>
        <rFont val="Calibri"/>
        <family val="2"/>
        <scheme val="minor"/>
      </rPr>
      <t>Production of 23.00 kg of H₂S (+10%)</t>
    </r>
  </si>
  <si>
    <t xml:space="preserve">The final decision has to be made by the biogas plant operator, of course. </t>
  </si>
  <si>
    <t>It doesn't make economic sense to keep substrates in a reactor for too long, as this prevents the refilling</t>
  </si>
  <si>
    <t>of fresh substrate into the reactor.</t>
  </si>
  <si>
    <t>The shapes of the two curves, representing the gas production rates, suggest that the optimal retention</t>
  </si>
  <si>
    <t>duration of substrates in a reactor is much less than 40 days and also depends on the additives used.</t>
  </si>
  <si>
    <r>
      <t xml:space="preserve">with the respective additives within the 40-day period: </t>
    </r>
    <r>
      <rPr>
        <b/>
        <sz val="11"/>
        <color theme="1"/>
        <rFont val="Calibri"/>
        <family val="2"/>
        <scheme val="minor"/>
      </rPr>
      <t>Total Gas Potential of an Additive = TGP(Additive)</t>
    </r>
    <r>
      <rPr>
        <sz val="11"/>
        <color theme="1"/>
        <rFont val="Calibri"/>
        <family val="2"/>
        <scheme val="minor"/>
      </rPr>
      <t>.</t>
    </r>
  </si>
  <si>
    <t>First day with daily gas incr. below [%]</t>
  </si>
  <si>
    <t>Alternatively:</t>
  </si>
  <si>
    <t>sbgx_vol_lbl</t>
  </si>
  <si>
    <t>std_vol_lbl</t>
  </si>
  <si>
    <t>sbgx_vol_acc_lbl</t>
  </si>
  <si>
    <t>Total new H₂S content: Volume increase + RD shortening [ppm]</t>
  </si>
  <si>
    <t>Gas vol. increase w/o RD ¹ change [%]</t>
  </si>
  <si>
    <r>
      <t>SBGx vol. accum. [m</t>
    </r>
    <r>
      <rPr>
        <sz val="11"/>
        <color theme="1"/>
        <rFont val="Calibri"/>
        <family val="2"/>
      </rPr>
      <t>³]</t>
    </r>
  </si>
  <si>
    <t>= IF(ISBLANK(D84), 1304 / 8696 * 100, D84)</t>
  </si>
  <si>
    <t>= IF(ISBLANK(C84), 10000, C84)</t>
  </si>
  <si>
    <r>
      <t>TGP(SBGx) [m</t>
    </r>
    <r>
      <rPr>
        <sz val="11"/>
        <color theme="1"/>
        <rFont val="Calibri"/>
        <family val="2"/>
      </rPr>
      <t>³</t>
    </r>
    <r>
      <rPr>
        <sz val="11"/>
        <color theme="1"/>
        <rFont val="Calibri"/>
        <family val="2"/>
        <scheme val="minor"/>
      </rPr>
      <t>]</t>
    </r>
  </si>
  <si>
    <t>TGP recovery rate[%]</t>
  </si>
  <si>
    <t>Additional parameter settings, optional:</t>
  </si>
  <si>
    <t>In an experiment with additives (Standard, SBGx), the biogas produtions perform as shown in the graphs.</t>
  </si>
  <si>
    <t xml:space="preserve">   [80, …, 100]   (blank = default = 95)</t>
  </si>
  <si>
    <t>Expert tool to compare and optimise the retention duration</t>
  </si>
  <si>
    <t>TGP(Standard) reached [day]</t>
  </si>
  <si>
    <t>chart title</t>
  </si>
  <si>
    <t>= Amount of H₂S to be removed from biogas [ppm]</t>
  </si>
  <si>
    <t>Expert tool: Adjusting the SBGx dosage to effectively lower the H₂S content in the biogas, caused by an increased biogas production or shortening of the retention duration.</t>
  </si>
  <si>
    <r>
      <t>volume [m</t>
    </r>
    <r>
      <rPr>
        <sz val="11"/>
        <color theme="1"/>
        <rFont val="Calibri"/>
        <family val="2"/>
      </rPr>
      <t>³</t>
    </r>
    <r>
      <rPr>
        <sz val="11"/>
        <color theme="1"/>
        <rFont val="Calibri"/>
        <family val="2"/>
        <scheme val="minor"/>
      </rPr>
      <t>]</t>
    </r>
  </si>
  <si>
    <t>additional H₂S [parts]</t>
  </si>
  <si>
    <t>H₂S raw [parts]</t>
  </si>
  <si>
    <t>H₂S raw remaining [parts]</t>
  </si>
  <si>
    <t>H₂S new remaining [parts]</t>
  </si>
  <si>
    <t>increase</t>
  </si>
  <si>
    <t>RD shortening</t>
  </si>
  <si>
    <t>total</t>
  </si>
  <si>
    <t>Another example to illustrate the cause for underdosing of SBGx:</t>
  </si>
  <si>
    <t>TGP(SBGx) advantage [%]</t>
  </si>
  <si>
    <t>New gas volume</t>
  </si>
  <si>
    <t>x</t>
  </si>
  <si>
    <t>or alternatively:</t>
  </si>
  <si>
    <t>Recommendations:</t>
  </si>
  <si>
    <t xml:space="preserve">   [1'000 … 40'000]   (blank = default = 10'000)</t>
  </si>
  <si>
    <t xml:space="preserve">   [0.0 … 100.0]   (blank = default = 15.0)</t>
  </si>
  <si>
    <t>Remaining H₂S content in biogas before volume increase [ppm]</t>
  </si>
  <si>
    <t>H₂S removal rate from crude biogas before volume increase [%]</t>
  </si>
  <si>
    <t>Effect on</t>
  </si>
  <si>
    <t>H₂S content</t>
  </si>
  <si>
    <t>This tool allows to calculate the "suddenly too high H₂S content" effect due to additive underdosing, caused by a volume increase in the biogas production and, as a consequece, the increase of the remaining H₂S content in the biogas.</t>
  </si>
  <si>
    <t>A) SBGx dosage increase [%]</t>
  </si>
  <si>
    <t>B) Substrate decrease [%]</t>
  </si>
  <si>
    <t>RD ¹ before shortening [day]</t>
  </si>
  <si>
    <t>https://en.wikipedia.org/wiki/Iron(III)_sulfide</t>
  </si>
  <si>
    <t>Fe₂O₃(s) + H₂O(l) + 3 H₂S(g) → Fe₂S₃(s) + 4 H₂O(l)</t>
  </si>
  <si>
    <r>
      <t>t &gt; 20 °C: Fe₂S₃ → 2FeS + S</t>
    </r>
    <r>
      <rPr>
        <sz val="11"/>
        <color theme="1"/>
        <rFont val="Calibri"/>
        <family val="2"/>
      </rPr>
      <t>↓</t>
    </r>
  </si>
  <si>
    <r>
      <t>HCl: Fe₂S₃ + 4HCl → 2FeCl₂ + 2H₂S</t>
    </r>
    <r>
      <rPr>
        <sz val="11"/>
        <color theme="1"/>
        <rFont val="Calibri"/>
        <family val="2"/>
      </rPr>
      <t>↑</t>
    </r>
    <r>
      <rPr>
        <sz val="11"/>
        <color theme="1"/>
        <rFont val="Calibri"/>
        <family val="2"/>
        <scheme val="minor"/>
      </rPr>
      <t xml:space="preserve"> + S</t>
    </r>
    <r>
      <rPr>
        <sz val="11"/>
        <color theme="1"/>
        <rFont val="Calibri"/>
        <family val="2"/>
      </rPr>
      <t>↓</t>
    </r>
  </si>
  <si>
    <t>https://en.wikipedia.org/wiki/Iron(II)_sulfide</t>
  </si>
  <si>
    <t>HCl: FeS + 2HCl → FeCl₂ + H₂S</t>
  </si>
  <si>
    <r>
      <t>FeS + H₂SO</t>
    </r>
    <r>
      <rPr>
        <sz val="11"/>
        <color theme="1"/>
        <rFont val="Calibri"/>
        <family val="2"/>
      </rPr>
      <t>₄</t>
    </r>
    <r>
      <rPr>
        <sz val="11"/>
        <color theme="1"/>
        <rFont val="Calibri"/>
        <family val="2"/>
        <scheme val="minor"/>
      </rPr>
      <t xml:space="preserve"> → FeSO₄ + H₂S</t>
    </r>
  </si>
  <si>
    <t>PrecipitationFactor(Fe³⁺) = 1.5</t>
  </si>
  <si>
    <t>Calculation of your biogas reactor's daily required additive dosage</t>
  </si>
  <si>
    <r>
      <t>(RIIIC</t>
    </r>
    <r>
      <rPr>
        <vertAlign val="subscript"/>
        <sz val="11"/>
        <color theme="1"/>
        <rFont val="Calibri"/>
        <family val="2"/>
        <scheme val="minor"/>
      </rPr>
      <t>Fe²⁺</t>
    </r>
    <r>
      <rPr>
        <sz val="11"/>
        <color theme="1"/>
        <rFont val="Calibri"/>
        <family val="2"/>
        <scheme val="minor"/>
      </rPr>
      <t xml:space="preserve"> + RIIIC</t>
    </r>
    <r>
      <rPr>
        <vertAlign val="subscript"/>
        <sz val="11"/>
        <color theme="1"/>
        <rFont val="Calibri"/>
        <family val="2"/>
        <scheme val="minor"/>
      </rPr>
      <t>Fe³⁺</t>
    </r>
    <r>
      <rPr>
        <sz val="11"/>
        <color theme="1"/>
        <rFont val="Calibri"/>
        <family val="2"/>
        <scheme val="minor"/>
      </rPr>
      <t>) * (1 - Moist.)</t>
    </r>
  </si>
  <si>
    <t>↓ hidden ↓</t>
  </si>
  <si>
    <t>Comparison of the daily additive costs [/day]</t>
  </si>
  <si>
    <t>Selection temperature units</t>
  </si>
  <si>
    <t>[°C]</t>
  </si>
  <si>
    <t>[°F]</t>
  </si>
  <si>
    <t>Temperature in °C</t>
  </si>
  <si>
    <t>H₂S content in ppm</t>
  </si>
  <si>
    <t>Substrate volume in m³/day</t>
  </si>
  <si>
    <t>°F = °C * 9 / 5 + 32</t>
  </si>
  <si>
    <t>Biogas volume in m³/day</t>
  </si>
  <si>
    <t>Units converter: https://www.unitsconverters.com/en/Oz/Gal-(Us)-To-G/M3/Utu-4712-4644</t>
  </si>
  <si>
    <t xml:space="preserve"> 1 grain = [mg]</t>
  </si>
  <si>
    <t xml:space="preserve"> 1 Imp gal = [m³]</t>
  </si>
  <si>
    <t xml:space="preserve"> 1 US gal = [m³]</t>
  </si>
  <si>
    <t>Selection dosage mass units</t>
  </si>
  <si>
    <t xml:space="preserve"> 1 kg = [lb]</t>
  </si>
  <si>
    <t>[kg/day]</t>
  </si>
  <si>
    <t>[lb/day]</t>
  </si>
  <si>
    <t>Remark: The extra dosage factor α (Section B) is also taken into account</t>
  </si>
  <si>
    <r>
      <t>M</t>
    </r>
    <r>
      <rPr>
        <vertAlign val="subscript"/>
        <sz val="11"/>
        <color theme="1"/>
        <rFont val="Calibri"/>
        <family val="2"/>
        <scheme val="minor"/>
      </rPr>
      <t>S</t>
    </r>
    <r>
      <rPr>
        <sz val="11"/>
        <color theme="1"/>
        <rFont val="Calibri"/>
        <family val="2"/>
        <scheme val="minor"/>
      </rPr>
      <t xml:space="preserve"> = molecular mass of sulphur [g/mol]</t>
    </r>
  </si>
  <si>
    <t>Selection concentr. units (gas)</t>
  </si>
  <si>
    <t>Sulfide content in [g/m³</t>
  </si>
  <si>
    <t>Selection concentr. units (liquid)</t>
  </si>
  <si>
    <t>[g/m³]</t>
  </si>
  <si>
    <t>Units converter: https://www.easycalculation.com/unit-conversion/ppm-mgl-conversion.php</t>
  </si>
  <si>
    <t>Formula: Gram / m³ = Milligram / Liter = Parts Per Million * 0.998859</t>
  </si>
  <si>
    <t>Derivation of the oxidation-dependent sulfide precipitation: Precipitation factor PF</t>
  </si>
  <si>
    <r>
      <t xml:space="preserve">1) </t>
    </r>
    <r>
      <rPr>
        <i/>
        <sz val="11"/>
        <color theme="1"/>
        <rFont val="Calibri"/>
        <family val="2"/>
        <scheme val="minor"/>
      </rPr>
      <t>Ferrous</t>
    </r>
    <r>
      <rPr>
        <sz val="11"/>
        <color theme="1"/>
        <rFont val="Calibri"/>
        <family val="2"/>
        <scheme val="minor"/>
      </rPr>
      <t xml:space="preserve">: Fe²⁺ + HS⁻ → </t>
    </r>
    <r>
      <rPr>
        <b/>
        <sz val="11"/>
        <color theme="1"/>
        <rFont val="Calibri"/>
        <family val="2"/>
        <scheme val="minor"/>
      </rPr>
      <t>FeS↓</t>
    </r>
    <r>
      <rPr>
        <sz val="11"/>
        <color theme="1"/>
        <rFont val="Calibri"/>
        <family val="2"/>
        <scheme val="minor"/>
      </rPr>
      <t xml:space="preserve"> +  H⁺↑</t>
    </r>
  </si>
  <si>
    <r>
      <t xml:space="preserve">                       b)                             2Fe²⁺ + 2HS⁻ → </t>
    </r>
    <r>
      <rPr>
        <b/>
        <sz val="11"/>
        <color theme="1"/>
        <rFont val="Calibri"/>
        <family val="2"/>
        <scheme val="minor"/>
      </rPr>
      <t>2FeS↓</t>
    </r>
    <r>
      <rPr>
        <sz val="11"/>
        <color theme="1"/>
        <rFont val="Calibri"/>
        <family val="2"/>
        <scheme val="minor"/>
      </rPr>
      <t xml:space="preserve"> +  2H⁺↑</t>
    </r>
  </si>
  <si>
    <r>
      <t xml:space="preserve">Ferrous iron precipitates directly with bisulfide (HS−) as ferrous sulfide (FeS) (Equation (1)). Ferric iron is, on the other hand, proposed to have an additional reaction step, as it needs to be reduced to ferrous iron before it precipitates sulfide, as in Equation (1). </t>
    </r>
    <r>
      <rPr>
        <b/>
        <sz val="11"/>
        <color theme="1"/>
        <rFont val="Calibri"/>
        <family val="2"/>
        <scheme val="minor"/>
      </rPr>
      <t>This reduction can either take place</t>
    </r>
    <r>
      <rPr>
        <sz val="11"/>
        <color theme="1"/>
        <rFont val="Calibri"/>
        <family val="2"/>
        <scheme val="minor"/>
      </rPr>
      <t xml:space="preserve"> chemically during the oxidation of bisulfide to elemental sulfur (S0) (Equation (2)) (ASCE 1989), or </t>
    </r>
    <r>
      <rPr>
        <b/>
        <sz val="11"/>
        <color theme="1"/>
        <rFont val="Calibri"/>
        <family val="2"/>
        <scheme val="minor"/>
      </rPr>
      <t>biochemically, where the oxidation power is utilized by a specific group of chemoautotrophic bacteria for respiration</t>
    </r>
    <r>
      <rPr>
        <sz val="11"/>
        <color theme="1"/>
        <rFont val="Calibri"/>
        <family val="2"/>
        <scheme val="minor"/>
      </rPr>
      <t xml:space="preserve"> (Hvitved-Jacobsen et al. 2013).
Source: https://iwaponline.com/wst/article/78/5/1071/63765/Kinetics-of-sulfide-precipitation-with-ferrous-and</t>
    </r>
  </si>
  <si>
    <t>- Moisture</t>
  </si>
  <si>
    <t>Factor: Reduction Power (RP) → H₂S-RR</t>
  </si>
  <si>
    <t>Factor: H₂S-RR → S-PR</t>
  </si>
  <si>
    <t>Overdose Factor α</t>
  </si>
  <si>
    <t>Sum</t>
  </si>
  <si>
    <t>RP: after Fe³⁺ → Fe²⁺ bio_loss</t>
  </si>
  <si>
    <t>RP: after SGBx α_overdose</t>
  </si>
  <si>
    <t>Total Reduction Power = RP tot = Content Fe²⁺ x RF(Fe²⁺) + Content Fe³⁺ x RF(Fe³⁺)</t>
  </si>
  <si>
    <t>→ Reduction Factor Fe²⁺ = RF(Fe²⁺)</t>
  </si>
  <si>
    <t>→ Reduction Factor Fe³⁺ = RF(Fe³⁺)</t>
  </si>
  <si>
    <t>RP tot</t>
  </si>
  <si>
    <t>Cont(Fe²⁺) | Cont(Fe³⁺)</t>
  </si>
  <si>
    <r>
      <t>→ S Precipitation by oxidation during Fe³⁺ to Fe²⁺ reduction ⇒ H₂S reduction increase (RI) of Fe³⁺ = RI</t>
    </r>
    <r>
      <rPr>
        <b/>
        <sz val="11"/>
        <color theme="1"/>
        <rFont val="Calibri"/>
        <family val="2"/>
        <scheme val="minor"/>
      </rPr>
      <t>(Fe³⁺)</t>
    </r>
    <r>
      <rPr>
        <sz val="11"/>
        <color theme="1"/>
        <rFont val="Calibri"/>
        <family val="2"/>
        <scheme val="minor"/>
      </rPr>
      <t xml:space="preserve"> = 0.5 ⇒ RF(Fe³⁺) = 1 + 0.5</t>
    </r>
  </si>
  <si>
    <t>= RF(Fe²⁺) + RI(Fe³⁺) = 1 + 0.5</t>
  </si>
  <si>
    <t>→ RI(Fe³⁺) = 0.5 x (1 - Ratio)</t>
  </si>
  <si>
    <t>Ratio-Bact of RA(Fe³⁺) reduced by bacteria</t>
  </si>
  <si>
    <t>= RP(Fe³⁺) - RP(Fe³⁺) / 3 x Ratio-Bact</t>
  </si>
  <si>
    <t>= RP tot / α_overdose</t>
  </si>
  <si>
    <t>= RP tot x Factor(RP → H₂S-RR)</t>
  </si>
  <si>
    <t>= H₂S-RR x Factor(H₂S-RR → S-PR)</t>
  </si>
  <si>
    <t>H₂S-RR(SBGx) / H₂S-RR(Y_A)</t>
  </si>
  <si>
    <t>H₂S-RR(SBGx) / H₂S-RR(Y_A) - 1</t>
  </si>
  <si>
    <t>H₂S-RR(Y_A) / H₂S-RR(SBGx) - 1</t>
  </si>
  <si>
    <t>H₂S-RR(Y_A) / H₂S-RR(SBGx)</t>
  </si>
  <si>
    <t>Dosage comparison</t>
  </si>
  <si>
    <t>Cost comparison</t>
  </si>
  <si>
    <t>Reduction power comparison</t>
  </si>
  <si>
    <t>Price(SBGx) / Price(Y_A) * H₂S-RR(Y_A) / H₂S-RR(SBGx)</t>
  </si>
  <si>
    <t>days</t>
  </si>
  <si>
    <t>Reduction per</t>
  </si>
  <si>
    <t>dosage</t>
  </si>
  <si>
    <t>density</t>
  </si>
  <si>
    <t>dosage units</t>
  </si>
  <si>
    <t>Density mismatch</t>
  </si>
  <si>
    <t>dosage -&gt; kg</t>
  </si>
  <si>
    <t>price</t>
  </si>
  <si>
    <t>price /mT</t>
  </si>
  <si>
    <t>price -&gt; /mT</t>
  </si>
  <si>
    <t>Duration selection</t>
  </si>
  <si>
    <t>price [/unit]</t>
  </si>
  <si>
    <t>Selection calculation period</t>
  </si>
  <si>
    <t>Dosage: Selected unit</t>
  </si>
  <si>
    <t>Price: Selected unit</t>
  </si>
  <si>
    <t>Density unit</t>
  </si>
  <si>
    <t>Iron(II,III) oxide</t>
  </si>
  <si>
    <t>Iron(II) chloride</t>
  </si>
  <si>
    <t>Iron(II) hydroxide</t>
  </si>
  <si>
    <t>Iron(III) hydroxide</t>
  </si>
  <si>
    <t>Iron(III) oxide trihydrate</t>
  </si>
  <si>
    <t>ferrous-ferric</t>
  </si>
  <si>
    <t>ferrous</t>
  </si>
  <si>
    <t>ferric</t>
  </si>
  <si>
    <t>ferrous / ferric</t>
  </si>
  <si>
    <t>cont. Y_A</t>
  </si>
  <si>
    <t>sum Y_A</t>
  </si>
  <si>
    <t>liquid dose</t>
  </si>
  <si>
    <t>liquid price</t>
  </si>
  <si>
    <t>Content [%]</t>
  </si>
  <si>
    <t>Deutsch</t>
  </si>
  <si>
    <t>English</t>
  </si>
  <si>
    <t>German</t>
  </si>
  <si>
    <t>French</t>
  </si>
  <si>
    <t>Italian</t>
  </si>
  <si>
    <t>Spanish</t>
  </si>
  <si>
    <t>Français</t>
  </si>
  <si>
    <t>Italiano</t>
  </si>
  <si>
    <t>Español</t>
  </si>
  <si>
    <t xml:space="preserve">Open-source, powered by SwissBiogas.com            </t>
  </si>
  <si>
    <t>[lb/gal (UK)]</t>
  </si>
  <si>
    <t>[lb/gal (US)]</t>
  </si>
  <si>
    <t>Section C</t>
  </si>
  <si>
    <t>Section B2</t>
  </si>
  <si>
    <t>Section B1</t>
  </si>
  <si>
    <t>Section A</t>
  </si>
  <si>
    <r>
      <t>⇒ "</t>
    </r>
    <r>
      <rPr>
        <b/>
        <sz val="11"/>
        <color theme="1"/>
        <rFont val="Calibri"/>
        <family val="2"/>
        <scheme val="minor"/>
      </rPr>
      <t>1Fe²⁺</t>
    </r>
    <r>
      <rPr>
        <sz val="11"/>
        <color theme="1"/>
        <rFont val="Calibri"/>
        <family val="2"/>
        <scheme val="minor"/>
      </rPr>
      <t xml:space="preserve"> + 1HS⁻ → </t>
    </r>
    <r>
      <rPr>
        <b/>
        <sz val="11"/>
        <color theme="1"/>
        <rFont val="Calibri"/>
        <family val="2"/>
        <scheme val="minor"/>
      </rPr>
      <t>1FeS↓</t>
    </r>
    <r>
      <rPr>
        <sz val="11"/>
        <color theme="1"/>
        <rFont val="Calibri"/>
        <family val="2"/>
        <scheme val="minor"/>
      </rPr>
      <t xml:space="preserve"> + 1H⁺↑"</t>
    </r>
  </si>
  <si>
    <r>
      <t>⇒ "</t>
    </r>
    <r>
      <rPr>
        <b/>
        <sz val="11"/>
        <color theme="1"/>
        <rFont val="Calibri"/>
        <family val="2"/>
        <scheme val="minor"/>
      </rPr>
      <t>2Fe³⁺</t>
    </r>
    <r>
      <rPr>
        <sz val="11"/>
        <color theme="1"/>
        <rFont val="Calibri"/>
        <family val="2"/>
        <scheme val="minor"/>
      </rPr>
      <t xml:space="preserve"> +3HS⁻ → </t>
    </r>
    <r>
      <rPr>
        <b/>
        <sz val="11"/>
        <color theme="1"/>
        <rFont val="Calibri"/>
        <family val="2"/>
        <scheme val="minor"/>
      </rPr>
      <t>2FeS↓</t>
    </r>
    <r>
      <rPr>
        <sz val="11"/>
        <color theme="1"/>
        <rFont val="Calibri"/>
        <family val="2"/>
        <scheme val="minor"/>
      </rPr>
      <t xml:space="preserve"> + </t>
    </r>
    <r>
      <rPr>
        <b/>
        <sz val="11"/>
        <color theme="1"/>
        <rFont val="Calibri"/>
        <family val="2"/>
        <scheme val="minor"/>
      </rPr>
      <t>1S⁰↓</t>
    </r>
    <r>
      <rPr>
        <sz val="11"/>
        <color theme="1"/>
        <rFont val="Calibri"/>
        <family val="2"/>
        <scheme val="minor"/>
      </rPr>
      <t xml:space="preserve"> + 3H⁺↑"</t>
    </r>
  </si>
  <si>
    <t>Explanation:</t>
  </si>
  <si>
    <t>Erklärung:</t>
  </si>
  <si>
    <t>Explication:</t>
  </si>
  <si>
    <t>Spiegazione:</t>
  </si>
  <si>
    <t>Explicación:</t>
  </si>
  <si>
    <t>Either</t>
  </si>
  <si>
    <t>⁞    ┌
Or ─│
└</t>
  </si>
  <si>
    <t>see https://en.wikipedia.org/wiki/Bisulfide</t>
  </si>
  <si>
    <r>
      <t>M</t>
    </r>
    <r>
      <rPr>
        <vertAlign val="subscript"/>
        <sz val="11"/>
        <color theme="1"/>
        <rFont val="Calibri"/>
        <family val="2"/>
        <scheme val="minor"/>
      </rPr>
      <t>HS⁻</t>
    </r>
    <r>
      <rPr>
        <sz val="11"/>
        <color theme="1"/>
        <rFont val="Calibri"/>
        <family val="2"/>
        <scheme val="minor"/>
      </rPr>
      <t xml:space="preserve"> = molar mass of bisulfide (HS⁻) [g/mol]</t>
    </r>
  </si>
  <si>
    <r>
      <t>M</t>
    </r>
    <r>
      <rPr>
        <vertAlign val="subscript"/>
        <sz val="11"/>
        <color theme="1"/>
        <rFont val="Calibri"/>
        <family val="2"/>
        <scheme val="minor"/>
      </rPr>
      <t>H₂S</t>
    </r>
    <r>
      <rPr>
        <sz val="11"/>
        <color theme="1"/>
        <rFont val="Calibri"/>
        <family val="2"/>
        <scheme val="minor"/>
      </rPr>
      <t xml:space="preserve"> = molar mass of hydrogen sulfide (H₂S) [g/mol]</t>
    </r>
  </si>
  <si>
    <t>Molar mass used for "Sulfide" calculations (HS⁻, H₂S)</t>
  </si>
  <si>
    <t>Language selection</t>
  </si>
  <si>
    <t>https://superuser.com/questions/730371/how-to-prevent-excel-to-use-the-os-regional-settings-for-date-patterns-in-formul</t>
  </si>
  <si>
    <t>Public Function FMT$(ByVal Value, ByVal strFormat)</t>
  </si>
  <si>
    <t xml:space="preserve">    FMT = VBA.Format$(Value, strFormat)</t>
  </si>
  <si>
    <t>End Function</t>
  </si>
  <si>
    <t>Important</t>
  </si>
  <si>
    <t>With your workbook open, simply press Alt+F11 (to open the VBA editor) Then Click the menu item Insert &gt; Module In the new VBA module, enter the following:</t>
  </si>
  <si>
    <t>- Replace all ΤEXT(…, "…") funtion calls with FMT(…, "…") in all sheets</t>
  </si>
  <si>
    <r>
      <rPr>
        <sz val="4"/>
        <rFont val="Calibri"/>
        <family val="2"/>
        <scheme val="minor"/>
      </rPr>
      <t xml:space="preserve"> </t>
    </r>
    <r>
      <rPr>
        <sz val="11"/>
        <rFont val="Calibri"/>
        <family val="2"/>
        <scheme val="minor"/>
      </rPr>
      <t>Your_Additive</t>
    </r>
  </si>
  <si>
    <t>If macro enabled version</t>
  </si>
  <si>
    <t>- Save file as "Excel Macro-Enabled Workbook" type and append the name with "_macro_enabled"</t>
  </si>
  <si>
    <t>• This is the macro-enabled version with internal synchronisation of the different regional formats. Please make sure that the execution of macro code is enabled.
• Dies ist die makroaktivierte Version mit interner Synchronisierung der verschiedenen Regionalformate. Bitte stellen Sie sicher, dass die Ausführung von Makrocode aktiviert ist.
• Il s'agit de la version activée par macro avec synchronisation interne des différents formats régionaux. Veuillez vous assurer que l'exécution du code macro est activée.
• Questa è la versione abilitata alle macro con sincronizzazione interna dei diversi formati regionali. Assicurarsi che l'esecuzione del codice macro sia abilitata.
• Esta es la versión habilitada para macros con sincronización interna de los distintos formatos regionales. Asegúrese de que la ejecución del código de macro está activada.</t>
  </si>
  <si>
    <t>Width of columns</t>
  </si>
  <si>
    <t>Sum of column widths</t>
  </si>
  <si>
    <t>difference</t>
  </si>
  <si>
    <t>Wichtig, bitte vollständig lesen.
Wenn Sie feststellen, dass Ergebnisse oder eingegebene Zahlen seltsam oder sogar falsch angezeigt werden, hängt dies mit der internen Zahlenformatierung von Excel zusammen. Leider gibt es derzeit nur eine Möglichkeit, dieses Problem mit dem aktuellen Download zu beheben, da unser Webhosting-Anbieter das Hoch- und Herunterladen von makrofähigen Excel-Dokumenten aus Sicherheitsgründen nicht erlaubt. Wenn Sie ein Problem mit dem Format haben, müssen Sie Folgendes tun:
• Stellen Sie das Regionalformat über die Windows-Systemsteuerung auf "Englisch (UK)" ein, bevor Sie den RIIC-Rechner verwenden. (Bemerkung: Kommas in Zahlen werden dann als Punkte eingegeben und angezeigt, z. B. π = 3.14) Nach Abschluss der Berechnungen setzen Sie das Regionsformat wieder auf den Ausgangszustand zurück.
Wir möchten Ihnen aber auch eine andere Möglichkeit anbieten:
• Wenn Ihnen die oben genannten Änderungen zu weitreichend oder umständlich sind, dann können wir Ihnen auch eine Version unserer RIIC-Berechnung zur Verfügung stellen, die Ihnen diese Systemänderungen mit Hilfe einer kleinen und sicheren Makrofunktion erspart. Bei Interesse nehmen Sie bitte Kontakt mit uns auf.</t>
  </si>
  <si>
    <t>Important, à lire dans son intégralité.
Si vous remarquez que les résultats ou les nombres saisis s'affichent de manière étrange ou même incorrecte, cela est lié au formatage interne des nombres d'Excel. Malheureusement, il n'y a actuellement qu'une seule façon de résoudre ce problème avec le téléchargement actuel, car notre hébergeur ne permet pas le chargement et le téléchargement de documents Excel macro-activés pour des raisons de sécurité. Si vous rencontrez un problème avec le format, vous devez procéder comme suit :
• Réglez le format régional sur "English (UK)" via le Panneau de configuration de Windows avant d'utiliser la calculatrice RIIC. (Remarque : Les virgules dans les nombres sont alors saisies et affichées comme des points, par exemple π = 3.14) Une fois les calculs terminés, rétablissez le format régional à son état initial.
Cependant, nous aimerions également vous proposer une autre option :
• Si les changements énumérés ci-dessus sont trop importants ou trop lourds, nous pouvons également vous fournir une version de notre calcul RIIC qui vous évite ces changements de système à l'aide d'une petite fonction macro sûre. Si vous êtes intéressé, n'hésitez pas à nous contacter.</t>
  </si>
  <si>
    <t>Importante, leggere attentamente.
Se notate che i risultati o i numeri inseriti vengono visualizzati in modo strano o addirittura errato, ciò è dovuto alla formattazione interna dei numeri di Excel. Purtroppo, al momento esiste solo un modo per risolvere questo problema con il download attuale, poiché il nostro provider di hosting web non consente il caricamento e il download di documenti Excel abilitati alle macro per motivi di sicurezza. Se si verifica un problema con il formato, è necessario procedere come segue:
• Impostare il formato regionale su "Inglese (UK)" tramite il Pannello di controllo di Windows prima di utilizzare la calcolatrice RIIC. (Osservazione: Le virgole nei numeri vengono inserite e visualizzate come punti, ad esempio π = 3.14) Dopo aver completato i calcoli, ripristinare il formato della regione allo stato iniziale.
Tuttavia, vorremmo offrirvi anche un'altra opzione:
• Se le modifiche sopra elencate sono troppo complesse o complicate, possiamo anche fornirvi una versione del nostro calcolatore RIIC che vi risparmia queste modifiche di sistema con l'aiuto di una piccola e sicura funzione macro. Se interessati, contattateci.</t>
  </si>
  <si>
    <t>Importante, por favor, léalo en su totalidad.
Si observa que los resultados o los números introducidos se muestran de forma extraña o incluso incorrecta, esto está relacionado con el formato numérico interno de Excel. Lamentablemente, actualmente sólo hay una forma de solucionar este problema con la descarga actual, ya que nuestro proveedor de alojamiento web no permite la carga y descarga de documentos Excel con macros por motivos de seguridad. Si experimenta un problema con el formato, debe hacer lo siguiente:
• Ajuste el formato regional a "Español (Reino Unido)" a través del Panel de control de Windows antes de utilizar la calculadora RIIC. (Observación: Las comas en los números se introducen y se muestran como puntos, por ejemplo π = 3.14) Después de completar los cálculos, restablezca el formato de región a su estado inicial.
Sin embargo, también nos gustaría ofrecerle otra opción:
• Si los cambios enumerados anteriormente son demasiado trascendentales o engorrosos, también podemos ofrecerle una versión de nuestra calculadora RIIC que le ahorra estos cambios en el sistema con la ayuda de una pequeña y segura función macro. Si está interesado, póngase en contacto con nosotros.</t>
  </si>
  <si>
    <t>Important, please read in full.
If you notice that results or entered numbers are displayed strangely or even incorrectly, this is related to Excel's internal number formatting. Unfortunately, there is currently only one way to fix this problem with the current download, as our web hosting provider does not allow the upload and download of macro-enabled Excel documents for security reasons. If you experience a problem with the format, you must do the following:
• Set the regional format to "English (UK)" via the Windows Control Panel before using the RIIC calculator. (Remark: Commas in numbers are then entered and displayed as dots, e.g. π = 3.14) After completing the calculations, reset the regional format to its initial state.
However, we would also like to offer you another option:
• If the changes listed above are too far-reaching or cumbersome, then we can also provide you with a version of our RIIC calculator that saves you these system changes with the help of a small and safe macro function. If interested, please contact us.</t>
  </si>
  <si>
    <r>
      <rPr>
        <sz val="4"/>
        <rFont val="Calibri"/>
        <family val="2"/>
        <scheme val="minor"/>
      </rPr>
      <t xml:space="preserve"> </t>
    </r>
    <r>
      <rPr>
        <sz val="11"/>
        <rFont val="Calibri"/>
        <family val="2"/>
        <scheme val="minor"/>
      </rPr>
      <t>Year</t>
    </r>
  </si>
  <si>
    <t>Regional number format synchronisation</t>
  </si>
  <si>
    <t>https://stackoverflow.com/questions/36990513/determine-decimal-separator-in-excel-withoug-vba</t>
  </si>
  <si>
    <t>Pro memoriam: Macro to convert number formats</t>
  </si>
  <si>
    <t>Update trigger</t>
  </si>
  <si>
    <t>How to create a named cell in Microsoft Excel</t>
  </si>
  <si>
    <t>https://www.computerhope.com/issues/ch000704.htm</t>
  </si>
  <si>
    <t>fmt_dec_0</t>
  </si>
  <si>
    <t>fmt_dec_1</t>
  </si>
  <si>
    <t>fmt_dec_2</t>
  </si>
  <si>
    <t>fmt_dec_3</t>
  </si>
  <si>
    <t>fmt_dec_4</t>
  </si>
  <si>
    <t>fmt_pct_0</t>
  </si>
  <si>
    <t>fmt_pct_1</t>
  </si>
  <si>
    <t>fmt_pct_2</t>
  </si>
  <si>
    <t>&lt;Ctrl&gt; + &lt;F3&gt;: Name manager           &lt;F3&gt;: Insert name</t>
  </si>
  <si>
    <t>Digit grouping symbol</t>
  </si>
  <si>
    <t>Decimal symbol</t>
  </si>
  <si>
    <t>Both number symbols</t>
  </si>
  <si>
    <t>← ""</t>
  </si>
  <si>
    <t>Daily additive dosage in ⓘ</t>
  </si>
  <si>
    <t>β default</t>
  </si>
  <si>
    <t>Calculation formula ⓘ</t>
  </si>
  <si>
    <t>α default</t>
  </si>
  <si>
    <t>II) Optimal</t>
  </si>
  <si>
    <r>
      <t>= M</t>
    </r>
    <r>
      <rPr>
        <vertAlign val="subscript"/>
        <sz val="11"/>
        <color theme="1"/>
        <rFont val="Calibri"/>
        <family val="2"/>
        <scheme val="minor"/>
      </rPr>
      <t>H₂S</t>
    </r>
    <r>
      <rPr>
        <sz val="11"/>
        <color theme="1"/>
        <rFont val="Calibri"/>
        <family val="2"/>
        <scheme val="minor"/>
      </rPr>
      <t xml:space="preserve"> / M</t>
    </r>
    <r>
      <rPr>
        <vertAlign val="subscript"/>
        <sz val="11"/>
        <color theme="1"/>
        <rFont val="Calibri"/>
        <family val="2"/>
        <scheme val="minor"/>
      </rPr>
      <t>Fe</t>
    </r>
  </si>
  <si>
    <r>
      <t>= M</t>
    </r>
    <r>
      <rPr>
        <vertAlign val="subscript"/>
        <sz val="11"/>
        <color theme="1"/>
        <rFont val="Calibri"/>
        <family val="2"/>
        <scheme val="minor"/>
      </rPr>
      <t>S</t>
    </r>
    <r>
      <rPr>
        <sz val="11"/>
        <color theme="1"/>
        <rFont val="Calibri"/>
        <family val="2"/>
        <scheme val="minor"/>
      </rPr>
      <t xml:space="preserve"> / M</t>
    </r>
    <r>
      <rPr>
        <vertAlign val="subscript"/>
        <sz val="11"/>
        <color theme="1"/>
        <rFont val="Calibri"/>
        <family val="2"/>
        <scheme val="minor"/>
      </rPr>
      <t>H₂S</t>
    </r>
  </si>
  <si>
    <t>&lt;No input req.&gt;</t>
  </si>
  <si>
    <t>Evaluation of your additive's RIIC and its H₂S reduction power.
Number of required value entries: 1 - 3
- Content of your additive's iron compounds (precipitants, e.g. FeO, FeCl₃, ...)
- Moisture content of your additive, if available
+++ Selections and value entries +++
--- Select your additive’s iron compound and
      --- Enter its content.
--- If there is a 2nd iron compound, do the same for the 2nd compound
--- Enter moisture content, if available. 0 (zero) if additive is liquid
*** The results are displayed in the conclusion boxes at the end of sections A and B.</t>
  </si>
  <si>
    <t>Bewertung des RIIC Ihres Additivs und seiner H₂S-Reduktionskraft.
Anzahl der erforderlichen Werteingaben: 1 - 3
- Gehalt der Eisenverbindungen Ihres Additivs (Fällungsmittel, z. B. FeO, FeCl₃, ...)
- Feuchtegehalt Ihres Additivs, falls vorhanden
+++ Selektionen und Werteingaben +++
--- Wählen Sie die Eisenverbindung Ihres Additivs und
      --- Geben Sie ihren Gehalt ein.
--- Wenn es eine 2. Eisenverbindung gibt, machen Sie dasselbe für die 2.
--- Geben Sie den Gehalt an Feuchtigkeit ein, falls vorhanden. 0 (Null), wenn das Additiv flüssig ist
*** Die Ergebnisse werden in den Schlussfolgerungsboxen am Ende der Abschnitte A und B angezeigt.</t>
  </si>
  <si>
    <t>Évaluation du RIIC de votre additif et de son pouvoir de réduction du H₂S.
Nombre d'entrées de valeurs requises : 1 - 3
- Teneur en composés de fer de votre additif (précipitants, par exemple FeO, FeCl₃, ...)
- Teneur en eau de votre additif, si elle est disponible.
+++ Sélections et valeurs +++
--- Sélectionnez le composé de fer de votre additif et
      --- Saisissez sa teneur.
--- S'il y a un deuxième composé de fer, faites la même chose pour le deuxième composé.
--- Saisir la teneur en humidité, si elle est disponible. 0 (zéro) si l'additif est liquide
*** Les résultats sont affichés dans les cases de conclusion à la fin des sections A et B.</t>
  </si>
  <si>
    <t>Valutazione del RIIC dell'additivo e del suo potere di riduzione degli H₂S.
Numero di valori richiesti: 1 - 3
- Contenuto dei composti del ferro dell'additivo (precipitanti, ad es. FeO, FeCl₃, ...)
- Contenuto di umidità dell'additivo, se disponibile
+++ Selezioni e valori inseriti +++
--- Selezionare il composto del ferro dell'additivo e
      --- Inserire il suo contenuto.
--- Se c'è un secondo composto di ferro, fare lo stesso per il secondo composto.
--- Inserire il contenuto di umidità, se disponibile. 0 (zero) se l'additivo è liquido
*** I risultati sono visualizzati nelle caselle di conclusione alla fine delle sezioni A e B.</t>
  </si>
  <si>
    <t>Evaluación del RIIC de su aditivo y de su poder de reducción de H₂S.
Número de entradas de valor requeridas: 1 - 3
- Contenido de los compuestos de hierro de su aditivo (precipitantes, por ejemplo FeO, FeCl₃, ...)
- Contenido de humedad de su aditivo, si está disponible
+++ Selecciones y entradas de valores +++
--- Seleccione el compuesto de hierro de su aditivo e
      --- Introduzca su contenido.
--- Si hay un 2º compuesto de hierro, haga lo mismo para el 2º compuesto
--- Introduzca el contenido de humedad, si está disponible. 0 (cero) si el aditivo es líquido
*** Los resultados se muestran en los cuadros de conclusiones al final de las secciones A y B.</t>
  </si>
  <si>
    <t>Possible reduction of the daily additive dosage.
Number of required value entries: 1 - 2
- Daily dosage of your additive
- Density, if it is a liquid
+++ Selections and value entries +++
--- Select the unit of measurement (e.g. Litre) and
      --- Enter the value of the daily dosage
--- Enter the value of the density, if additive is a liquid</t>
  </si>
  <si>
    <t>Mögliche Reduzierung der täglichen Additivdosis.
Anzahl der erforderlichen Werteinträge: 1 - 2
- Tägliche Dosierung Ihres Additivs
- Dichte, falls es sich um eine Flüssigkeit handelt
+++ Auswahl und Werteingaben +++
--- Wählen Sie die Maßeinheit (z. B. Liter) und
      --- Geben Sie den Wert für die Tagesdosis ein
--- Geben Sie den Wert für die Dichte ein, wenn das Additiv eine Flüssigkeit ist</t>
  </si>
  <si>
    <t>Réduction possible de la dose journalière d'additif.
Nombre d'entrées de valeurs requises : 1 - 2
- Dosage journalier de votre additif
- Densité, s'il s'agit d'un liquide
+++ Sélections et valeurs +++
--- Sélectionnez l'unité de mesure (par exemple, le litre) et
      --- Saisir la valeur de la dose journalière
--- Saisir la valeur de la densité, si l'additif est un liquide.</t>
  </si>
  <si>
    <t>Possibile riduzione del dosaggio giornaliero dell'additivo.
Numero di valori richiesti: 1 - 2
- Dose giornaliera dell'additivo
- Densità, se si tratta di un liquido
+++ Selezioni e voci di valore +++
--- Selezionare l'unità di misura (ad es. litro) e
      --- Inserire il valore della dose giornaliera
--- Inserire il valore della densità, se l'additivo è un liquido</t>
  </si>
  <si>
    <t>Posible reducción de la dosis diaria de aditivo.
Número de entradas de valor requeridas: 1 - 2
- Dosis diaria de su aditivo
- Densidad, si es un líquido
+++ Selecciones y entradas de valores +++
--- Seleccione la unidad de medida (por ejemplo, Litro) y
      --- Introduzca el valor de la dosis diaria
--- Introduzca el valor de la densidad, si el aditivo es un líquido</t>
  </si>
  <si>
    <t>Possible reduction of additive costs.
Number of required value entries: 2
- Price of your additive
- Price of SBGx
+++ Selections and value entries +++
--- Select the price unit (e. g. per gallon) for your additive and
      --- Enter the price of your additive
--- Enter the price of SBGx per metric ton.</t>
  </si>
  <si>
    <t>Mögliche Reduzierung der Kosten für Additive.
Anzahl der erforderlichen Werteingaben: 2
- Preis Ihres Additivs
- Preis von SBGx
+++ Selektionen und Werteingaben +++
--- Wählen Sie die Preiseinheit (z. B. pro Gallone) für Ihr Additiv und
      --- Geben Sie den Preis Ihres Additivs ein
--- Geben Sie den Preis von SBGx pro Tonne ein.</t>
  </si>
  <si>
    <t>Réduction possible des coûts des additifs.
Nombre de valeurs requises : 2
- Prix de votre additif
- Prix du SBGx
+++ Sélections et entrées de valeur +++
--- Sélectionnez l'unité de prix (par exemple par gallon) pour votre additif et
      --- Entrez le prix de votre additif.
--- Entrez le prix du SBGx par tonne métrique.</t>
  </si>
  <si>
    <t>Possibile riduzione dei costi degli additivi.
Numero di voci di valore richieste: 2
- Prezzo dell'additivo
- Prezzo di SBGx
+++ Selezioni e voci di valore +++
--- Selezionare l'unità di prezzo (ad es. per gallone) per l'additivo e
      --- Inserire il prezzo dell'additivo
--- Inserire il prezzo dell'SBGx per tonnellata.</t>
  </si>
  <si>
    <t>Posible reducción de los costes de los aditivos.
Número de entradas de valor requeridas: 2
- Precio de su aditivo
- Precio de SBGx
+++ Selecciones y entradas de valor +++
--- Seleccione la unidad de precio (por ejemplo, por galón) de su aditivo y
      --- Introduzca el precio de su aditivo
--- Introduzca el precio del SBGx por tonelada métrica.</t>
  </si>
  <si>
    <r>
      <t xml:space="preserve">2) </t>
    </r>
    <r>
      <rPr>
        <i/>
        <sz val="11"/>
        <color theme="1"/>
        <rFont val="Calibri"/>
        <family val="2"/>
        <scheme val="minor"/>
      </rPr>
      <t>Ferric</t>
    </r>
    <r>
      <rPr>
        <sz val="11"/>
        <color theme="1"/>
        <rFont val="Calibri"/>
        <family val="2"/>
        <scheme val="minor"/>
      </rPr>
      <t xml:space="preserve">:     a) 2Fe³⁺ + HS⁻ → 2Fe²⁺ + </t>
    </r>
    <r>
      <rPr>
        <b/>
        <sz val="11"/>
        <color theme="1"/>
        <rFont val="Calibri"/>
        <family val="2"/>
        <scheme val="minor"/>
      </rPr>
      <t>S⁰↓</t>
    </r>
    <r>
      <rPr>
        <sz val="11"/>
        <color theme="1"/>
        <rFont val="Calibri"/>
        <family val="2"/>
        <scheme val="minor"/>
      </rPr>
      <t xml:space="preserve"> +  H⁺↑</t>
    </r>
  </si>
  <si>
    <r>
      <t xml:space="preserve">fHS⁻ = Ks1 / H⁺ * </t>
    </r>
    <r>
      <rPr>
        <b/>
        <sz val="11"/>
        <color theme="1"/>
        <rFont val="Calibri"/>
        <family val="2"/>
        <scheme val="minor"/>
      </rPr>
      <t>H₂S(aq)</t>
    </r>
    <r>
      <rPr>
        <sz val="11"/>
        <color theme="1"/>
        <rFont val="Calibri"/>
        <family val="2"/>
        <scheme val="minor"/>
      </rPr>
      <t xml:space="preserve"> Formula</t>
    </r>
    <r>
      <rPr>
        <b/>
        <sz val="11"/>
        <color rgb="FFFF0000"/>
        <rFont val="Calibri"/>
        <family val="2"/>
        <scheme val="minor"/>
      </rPr>
      <t xml:space="preserve"> </t>
    </r>
    <r>
      <rPr>
        <b/>
        <sz val="11"/>
        <color rgb="FFDA2C43"/>
        <rFont val="Calibri"/>
        <family val="2"/>
        <scheme val="minor"/>
      </rPr>
      <t>wrong</t>
    </r>
    <r>
      <rPr>
        <sz val="11"/>
        <color theme="1"/>
        <rFont val="Calibri"/>
        <family val="2"/>
        <scheme val="minor"/>
      </rPr>
      <t xml:space="preserve"> → Correct formula: </t>
    </r>
    <r>
      <rPr>
        <sz val="11"/>
        <color rgb="FF0070C0"/>
        <rFont val="Calibri"/>
        <family val="2"/>
        <scheme val="minor"/>
      </rPr>
      <t>f</t>
    </r>
    <r>
      <rPr>
        <sz val="11"/>
        <color theme="1"/>
        <rFont val="Calibri"/>
        <family val="2"/>
        <scheme val="minor"/>
      </rPr>
      <t xml:space="preserve">HS⁻ = Ks1 / H⁺ * </t>
    </r>
    <r>
      <rPr>
        <b/>
        <sz val="11"/>
        <color rgb="FFDA2C43"/>
        <rFont val="Calibri"/>
        <family val="2"/>
        <scheme val="minor"/>
      </rPr>
      <t>f</t>
    </r>
    <r>
      <rPr>
        <b/>
        <sz val="11"/>
        <color theme="1"/>
        <rFont val="Calibri"/>
        <family val="2"/>
        <scheme val="minor"/>
      </rPr>
      <t>H₂S(aq)</t>
    </r>
  </si>
  <si>
    <t>Zeolite converter: Content [%] → α</t>
  </si>
  <si>
    <t>Zeolite cont. [%]</t>
  </si>
  <si>
    <t>Overdose fact. α</t>
  </si>
  <si>
    <r>
      <rPr>
        <b/>
        <sz val="11"/>
        <color theme="1"/>
        <rFont val="Calibri"/>
        <family val="2"/>
      </rPr>
      <t xml:space="preserve">↓ </t>
    </r>
    <r>
      <rPr>
        <b/>
        <sz val="11"/>
        <color theme="1"/>
        <rFont val="Calibri"/>
        <family val="2"/>
        <scheme val="minor"/>
      </rPr>
      <t>hidden</t>
    </r>
  </si>
  <si>
    <t>Show ratios</t>
  </si>
  <si>
    <t>Selection</t>
  </si>
  <si>
    <t>I) A reasonably accurate approximation of the daily required additive dosage for your biogas reactor.
Number of required value entries: 2
- Volume of biogas produced daily and
- Hydrogen sulphide (H₂S) content in crude biogas (before any treatment)
- Optional: Overdose factor β: Value between 1.7 and 5 recommended
+++ Enter the above values in the corresponding cells +++
II) Optimised, recommended: Most accurate calculation possible of the daily required additive dosage for your biogas reactor.
Number of additionally required value entries: 2 - 3
- Volume of the substrate added daily and
    - Total sulphide (S²⁻ + HS⁻ + H₂S) content in the reactor liquid
           or
    - pH value of the reactor liquid and
    - Temperature of the reactor liquid
+++ Enter the above values in the corresponding cells +++</t>
  </si>
  <si>
    <t>I) Ein ziemlich genauer Näherungswert für die täglich benötigte Additiv-Dosierung für Ihren Biogasreaktor.
Anzahl der erforderlichen Werteingaben: 2
- Volumen des täglich produzierten Biogases und
- Gehalt an Schwefelwasserstoff (H₂S) im Rohbiogas (vor jeglicher Behandlung)
- Optional: Überdosierungsfaktor β: Wert zwischen 1,7 und 5 empfohlen
+++ Geben Sie die oben genannten Werte in die entsprechenden Zellen ein +++
II) Optimiert, empfohlen: Möglichst genaue Berechnung der täglich benötigten Additiv-Dosierung für Ihren Biogasreaktor.
Anzahl der zusätzlich benötigten Werteingaben: 2 - 3
- Volumen des täglich zugegebenen Substrats und
    - Gesamt-Sulfidgehalt (S²⁻ + HS⁻ + H₂S) in der Reaktorflüssigkeit
           oder
    - pH-Wert der Reaktorflüssigkeit und
    - Temperatur der Reaktorflüssigkeit
+++ Geben Sie die oben genannten Werte in die entsprechenden Zellen ein +++</t>
  </si>
  <si>
    <t>I) Une approximation raisonnablement précise du dosage quotidien d'additifs requis pour votre réacteur à biogaz.
Nombre de valeurs requises : 2
- Volume de biogaz produit quotidiennement et
- Teneur en sulfure d'hydrogène (H₂S) dans le biogaz brut (avant tout traitement).
- En option: Facteur de surdosage β: Valeur comprise entre 1,7 et 5 recommandée
+++ Inscrivez les valeurs ci-dessus dans les cellules correspondantes +++
II) Optimisé, recommandé: Calcul le plus précis possible du dosage quotidien d'additif nécessaire pour votre réacteur à biogaz.
Nombre de valeurs supplémentaires requises : 2 - 3
- Volume de substrat ajouté quotidiennement et
    - Teneur totale en sulfure (S²⁻ + HS⁻ + H₂S) dans le liquide du réacteur
           ou
    - Valeur du pH du liquide du réacteur et
    - Température du liquide du réacteur
+++ Inscrivez les valeurs ci-dessus dans les cellules correspondantes +++</t>
  </si>
  <si>
    <t>I) Un'approssimazione ragionevolmente accurata del dosaggio giornaliero di additivi necessario per il vostro reattore di biogas.
Numero di valori richiesti: 2
- Volume di biogas prodotto giornalmente e
- Contenuto di idrogeno solforato (H₂S) nel biogas grezzo (prima di qualsiasi trattamento)
- Opzionale: Fattore di sovradosaggio β: Si raccomanda un valore compreso tra 1,7 e 5
+++ Inserire i valori sopra indicati nelle celle corrispondenti +++
II) Ottimizzato, consigliato: Calcolo più accurato possibile del dosaggio giornaliero di additivo necessario per il reattore di biogas.
Numero di valori aggiuntivi richiesti: 2 - 3
- Volume del substrato aggiunto giornalmente e
    - Contenuto totale di solfuri (S²⁻ + HS⁻ + H₂S) nel liquido del reattore
           oppure
    - Valore di pH del liquido del reattore e
    - Temperatura del liquido del reattore
+++ Inserire i valori sopra indicati nelle celle corrispondenti +++</t>
  </si>
  <si>
    <t>I) Una aproximación razonablemente precisa de la dosis diaria de aditivo necesaria para su reactor de biogás.
Número de entradas de valores requeridos: 2
- Volumen de biogás producido diariamente y
- Contenido de sulfuro de hidrógeno (H₂S) en el biogás bruto (antes de cualquier tratamiento).
- Opcional: Factor de sobredosis β: Se recomienda un valor entre 1,7 y 5
+++ Introduzca los valores anteriores en las celdas correspondientes +++
II) Optimizado, recomendado: Cálculo lo más exacto posible de la dosis diaria de aditivo necesaria para su reactor de biogás.
Número de entradas de valores adicionales necesarios: 2 - 3
- Volumen de sustrato añadido diariamente y
    - Contenido total de sulfuro (S²⁻ + HS⁻ + H₂S) en el líquido del reactor
           o
    - Valor de pH del líquido del reactor y
    - Temperatura del líquido del reactor
+++ Introduzca los valores anteriores en las celdas correspondientes +++</t>
  </si>
  <si>
    <t>Possible reduction of additive costs.
Selections and value entries: 2
--- Select the price unit (e. g. per gallon) for your additive and
      --- Enter the price of your additive
--- Enter the price of SBGx per metric ton.</t>
  </si>
  <si>
    <t>Mögliche Reduzierung der Kosten für Additive.
Selektionen und Werteingaben: 2
--- Wählen Sie die Preiseinheit (z. B. pro Gallone) für Ihr Additiv und
      --- Geben Sie den Preis Ihres Additivs ein
--- Geben Sie den Preis von SBGx pro Tonne ein.</t>
  </si>
  <si>
    <t>Réduction possible des coûts des additifs.
Sélections et entrées de valeur: 2
--- Sélectionnez l'unité de prix (par exemple par gallon) pour votre additif et
      --- Entrez le prix de votre additif.
--- Entrez le prix du SBGx par tonne métrique.</t>
  </si>
  <si>
    <t>Possibile riduzione dei costi degli additivi.
Selezioni e voci di valore: 2
--- Selezionare l'unità di prezzo (ad es. per gallone) per l'additivo e
      --- Inserire il prezzo dell'additivo
--- Inserire il prezzo dell'SBGx per tonnellata.</t>
  </si>
  <si>
    <t>Posible reducción de los costes de los aditivos.
Selecciones y entradas de valor: 2
--- Seleccione la unidad de precio (por ejemplo, por galón) de su aditivo y
      --- Introduzca el precio de su aditivo
--- Introduzca el precio del SBGx por tonelada métrica.</t>
  </si>
  <si>
    <t>Yes</t>
  </si>
  <si>
    <t>No</t>
  </si>
  <si>
    <t>ᵻ Optional: Ratio [%] of oxidation power utilised biologically; Default = 50% ⓘ</t>
  </si>
  <si>
    <t>ᵻ Optional: Your additive's name</t>
  </si>
  <si>
    <t>ᵻ Optional: Overdose factor β; Default = 1.7 ⓘ</t>
  </si>
  <si>
    <t>SI unit</t>
  </si>
  <si>
    <t>Price of your additive per ⓘ</t>
  </si>
  <si>
    <t>ᵻ Optional: Show ratios ⓘ</t>
  </si>
  <si>
    <t>ᵻ Optional: Explanations in ⓘ</t>
  </si>
  <si>
    <r>
      <rPr>
        <sz val="4"/>
        <color theme="1"/>
        <rFont val="Calibri"/>
        <family val="2"/>
      </rPr>
      <t xml:space="preserve"> </t>
    </r>
    <r>
      <rPr>
        <sz val="11"/>
        <color theme="1"/>
        <rFont val="Calibri"/>
        <family val="2"/>
        <scheme val="minor"/>
      </rPr>
      <t>No</t>
    </r>
  </si>
  <si>
    <r>
      <rPr>
        <sz val="4"/>
        <rFont val="Calibri"/>
        <family val="2"/>
        <scheme val="minor"/>
      </rPr>
      <t xml:space="preserve"> </t>
    </r>
    <r>
      <rPr>
        <sz val="11"/>
        <rFont val="Calibri"/>
        <family val="2"/>
        <scheme val="minor"/>
      </rPr>
      <t>English</t>
    </r>
  </si>
  <si>
    <t>+</t>
  </si>
  <si>
    <t>Dosages:</t>
  </si>
  <si>
    <t>Costs:</t>
  </si>
  <si>
    <t>Price per metric ton [/t]</t>
  </si>
  <si>
    <t>○ Acidity (pH) of reactor liquid</t>
  </si>
  <si>
    <t>The entries in this section form the basis for the comparisons and calculations in sections B and C.
The following information is required: What are the iron-based compounds in your additive and what is their content.
If you know the moisture content of your additive, enter this too. If your additive is liquid, then the moisture content is 0 (zero).</t>
  </si>
  <si>
    <t>Die Eingaben in dieser Sektion bilden die Grundlage für die Vergleiche und Berechnungen in den Sektionen B und C.
Folgende Angaben werden benötigt: Was sind die eisenbasierten Verbindungen in Ihrem Additiv und was ist deren Konzentration.
Falls Sie den Gehalt der Feuchtigkeit Ihres Additivs kennen, geben Sie auch diesen ein. Wenn Ihr Additiv flüssig ist, dann ist der Feuchtigkeitsgehalt 0 (null).</t>
  </si>
  <si>
    <t>Text RIIC Calculator Basic</t>
  </si>
  <si>
    <t>In dieser Sektion wird die täglich benötigte Additivdosierung berechnet. Um ein gut brauchbares Ergebnis zu erzielen, reicht es bereits, wenn Sie das täglich erzeugte Biogasvolumen und dessen H₂S Gehalt eingeben.
Die höchste Genauigkeit wird erzielt, wenn zusätzlich noch das täglich neu eingebrachte Substratvolumen, der Totalsulfidgehalt oder stattdessen der pH-Wert und die Temperatur der Reaktorflüssigkeit eingegeben werden.</t>
  </si>
  <si>
    <t>In this section, the daily required additive dosage is calculated. To achieve a well-usable result, it is already sufficient to enter the daily produced biogas volume and its H₂S content.
The highest accuracy is achieved if the daily newly introduced substrate volume, the total sulphide content or instead the pH value and the temperature of the reactor liquid are also entered.</t>
  </si>
  <si>
    <t>In dieser Sektion wird Ihr Additiv mit SBGx verglichen. Dazu wird die täglich verwendete Additivdosierung benötigt. Falls Ihr Additiv flüssig ist und die Dosierung volumenbasiert ist (z. B. Liter oder Gallone), dann wird auch die Dichte des Additivs benötigt.
Der zweite Vergleich bezieht sich auf die täglichen Additivkosten. Dazu müssen Sie die Preise für Ihr Additiv und für SBGx eingeben.</t>
  </si>
  <si>
    <t>In this section, your additive is compared with SBGx. This requires the daily additive dosage used. If your additive is liquid and the dosage is volume-based (e.g. litre or gallon), then the density of the additive is also needed.
The second comparison relates to the daily additive costs. For this you need to enter the prices for your additive and for SBGx.</t>
  </si>
  <si>
    <t>Les données de cette section constituent la base des comparaisons et des calculs des sections B et C.
Les informations suivantes sont requises : Quels sont les composés à base de fer dans votre additif et quelle est leur teneur.
Si vous connaissez la teneur en eau de votre additif, indiquez-la également. Si votre additif est liquide, sa teneur en eau est de 0 (zéro).</t>
  </si>
  <si>
    <t>Le voci di questa sezione costituiscono la base per i confronti e i calcoli delle sezioni B e C.
Sono richieste le seguenti informazioni: Quali sono i composti a base di ferro presenti nell'additivo e qual è il loro contenuto.
Se si conosce il contenuto di umidità dell'additivo, inserire anche questo dato. Se l'additivo è liquido, il contenuto di umidità è 0 (zero).</t>
  </si>
  <si>
    <t>Las entradas de esta sección constituyen la base de las comparaciones y cálculos de las secciones B y C.
Se requiere la siguiente información: Cuáles son los compuestos a base de hierro de su aditivo y cuál es su contenido.
Si conoce el contenido de humedad del aditivo, indíquelo también. Si el aditivo es líquido, el contenido de humedad es 0 (cero).</t>
  </si>
  <si>
    <t>En esta sección, su aditivo se compara con SBGx. Para ello se necesita la dosis diaria de aditivo utilizada. Si su aditivo es líquido y la dosificación se basa en el volumen (por ejemplo, litros o galones), también se necesita la densidad del aditivo.
La segunda comparación se refiere a los costes diarios del aditivo. Para ello, debe introducir los precios de su aditivo y de SBGx.</t>
  </si>
  <si>
    <t>In questa sezione, l'additivo viene confrontato con l'SBGx. A tal fine è necessario il dosaggio giornaliero dell'additivo utilizzato. Se l'additivo è liquido e il dosaggio è basato sul volume (ad esempio, litri o galloni), è necessaria anche la densità dell'additivo.
Il secondo confronto riguarda i costi giornalieri dell'additivo. Per questo è necessario inserire i prezzi dell'additivo e dell'SBGx.</t>
  </si>
  <si>
    <t>Dans cette section, votre additif est comparé au SBGx. Pour ce faire, il faut connaître le dosage quotidien de l'additif utilisé. Si votre additif est liquide et que le dosage est basé sur le volume (par exemple, litre ou gallon), la densité de l'additif est également nécessaire.
La deuxième comparaison concerne les coûts quotidiens de l'additif. Pour ce faire, vous devez saisir les prix de votre additif et du SBGx.</t>
  </si>
  <si>
    <t>Dans cette section, le dosage quotidien d'additif nécessaire est calculé. Pour obtenir un résultat utilisable, il suffit déjà de saisir le volume de biogaz produit quotidiennement et sa teneur en H₂S.
La plus grande précision est obtenue si le volume quotidien de substrat nouvellement introduit, la teneur totale en sulfure ou plutôt la valeur du pH et la température du liquide du réacteur sont également saisis.</t>
  </si>
  <si>
    <t>In questa sezione viene calcolato il dosaggio giornaliero di additivo necessario. Per ottenere un risultato ben utilizzabile, è già sufficiente inserire il volume di biogas prodotto giornalmente e il suo contenuto di H₂S.
La massima precisione si ottiene se si inseriscono anche il volume di substrato introdotto giornalmente, il contenuto totale di solfuri o il valore del pH e la temperatura del liquido del reattore.</t>
  </si>
  <si>
    <t>En esta sección se calcula la dosis diaria de aditivo necesaria. Para obtener un buen resultado, basta con introducir el volumen diario de biogás producido y su contenido en H₂S.
La mayor precisión se consigue si también se introducen el volumen diario de sustrato recién introducido, el contenido total de sulfuro o, en su lugar, el valor de pH y la temperatura del líquido del reactor.</t>
  </si>
  <si>
    <t>is liquid</t>
  </si>
  <si>
    <t>Input and output are designed for experienced users who don't need the basic explanations. To perform calculations easily and quickly without fine adjustments, please use the sheet "RIIC Calculator Basic".</t>
  </si>
  <si>
    <t>SBGx eq. price</t>
  </si>
  <si>
    <t>Y_A eq. price</t>
  </si>
  <si>
    <t>Equivalent pricing ⓘ</t>
  </si>
  <si>
    <t>H₂S reduction rate  ⓘ</t>
  </si>
  <si>
    <t>Storage space utilisat. ⓘ</t>
  </si>
  <si>
    <r>
      <t xml:space="preserve">ᵻ Optional: Overdose factor α </t>
    </r>
    <r>
      <rPr>
        <i/>
        <sz val="11"/>
        <rFont val="Calibri"/>
        <family val="2"/>
        <scheme val="minor"/>
      </rPr>
      <t>for SBGx</t>
    </r>
    <r>
      <rPr>
        <sz val="11"/>
        <rFont val="Calibri"/>
        <family val="2"/>
        <scheme val="minor"/>
      </rPr>
      <t>; Default = 1 ⓘ</t>
    </r>
  </si>
  <si>
    <r>
      <t xml:space="preserve">ᵻ Optional: Zeolite &amp; trace element content [%] </t>
    </r>
    <r>
      <rPr>
        <i/>
        <sz val="11"/>
        <rFont val="Calibri"/>
        <family val="2"/>
        <scheme val="minor"/>
      </rPr>
      <t>in SBGx</t>
    </r>
    <r>
      <rPr>
        <sz val="11"/>
        <rFont val="Calibri"/>
        <family val="2"/>
        <scheme val="minor"/>
      </rPr>
      <t>; Default = 0%</t>
    </r>
  </si>
  <si>
    <t>eqv. pr. per unit</t>
  </si>
  <si>
    <t>Text RIIC Calculator Standard</t>
  </si>
  <si>
    <t>Input and output are designed for easy use and give a complete overview very quickly. If no basic explanations but more input parameters for fine adjustments are needed, please use the sheet "RIIC Calculator Standard".</t>
  </si>
  <si>
    <r>
      <rPr>
        <b/>
        <sz val="11"/>
        <color theme="1" tint="0.499984740745262"/>
        <rFont val="Calibri"/>
        <family val="2"/>
        <scheme val="minor"/>
      </rPr>
      <t xml:space="preserve"> &lt;Click here&gt;</t>
    </r>
    <r>
      <rPr>
        <sz val="11"/>
        <color theme="1" tint="0.499984740745262"/>
        <rFont val="Calibri"/>
        <family val="2"/>
        <scheme val="minor"/>
      </rPr>
      <t xml:space="preserve"> to select unit</t>
    </r>
  </si>
  <si>
    <t>fmt_dec_5</t>
  </si>
  <si>
    <r>
      <t>H₂S-RR</t>
    </r>
    <r>
      <rPr>
        <sz val="11"/>
        <color theme="1"/>
        <rFont val="Calibri"/>
        <family val="2"/>
        <scheme val="minor"/>
      </rPr>
      <t xml:space="preserve"> (Reduction rate)</t>
    </r>
  </si>
  <si>
    <r>
      <t xml:space="preserve">S-PR </t>
    </r>
    <r>
      <rPr>
        <sz val="11"/>
        <color theme="1"/>
        <rFont val="Calibri"/>
        <family val="2"/>
        <scheme val="minor"/>
      </rPr>
      <t>(Precipitation rate)</t>
    </r>
  </si>
  <si>
    <t>↑ Experimental ↑</t>
  </si>
  <si>
    <r>
      <t xml:space="preserve">SBP(O₂) = 2; 1 O₂ molecule precipitates 2 S atoms: </t>
    </r>
    <r>
      <rPr>
        <b/>
        <sz val="11"/>
        <color theme="1"/>
        <rFont val="Calibri"/>
        <family val="2"/>
        <scheme val="minor"/>
      </rPr>
      <t>O₂ + 2H₂S → 2S↓ + 2H₂O</t>
    </r>
  </si>
  <si>
    <r>
      <rPr>
        <b/>
        <sz val="11"/>
        <color rgb="FF000000"/>
        <rFont val="Calibri"/>
        <family val="2"/>
      </rPr>
      <t>ROIC(O₂)</t>
    </r>
    <r>
      <rPr>
        <sz val="11"/>
        <color rgb="FF000000"/>
        <rFont val="Calibri"/>
        <family val="2"/>
      </rPr>
      <t xml:space="preserve"> = Reactive Oxygen Ion Content of O₂ = 100%</t>
    </r>
  </si>
  <si>
    <r>
      <t>Biological desulphurisation: Technical / chemical derivation</t>
    </r>
    <r>
      <rPr>
        <sz val="11"/>
        <rFont val="Calibri"/>
        <family val="2"/>
      </rPr>
      <t xml:space="preserve"> (Experimental)</t>
    </r>
  </si>
  <si>
    <t>Addendum: Calculation of the daily required SBGx dosage to replace biological desulphurisation</t>
  </si>
  <si>
    <t xml:space="preserve">M(O₂) = Molar mass of O₂ = 2 x A(O) = 2 x 15.9994 g/mol = 31.9988 g/mol </t>
  </si>
  <si>
    <t>M(Air) [g/mol]</t>
  </si>
  <si>
    <r>
      <rPr>
        <b/>
        <sz val="11"/>
        <color rgb="FF000000"/>
        <rFont val="Calibri"/>
        <family val="2"/>
      </rPr>
      <t>RR(O₂)</t>
    </r>
    <r>
      <rPr>
        <sz val="11"/>
        <color rgb="FF000000"/>
        <rFont val="Calibri"/>
        <family val="2"/>
      </rPr>
      <t xml:space="preserve"> = Reduction rate of air = Content(O₂) x ROIC(O₂) x SBP(O₂) / M(O₂)</t>
    </r>
  </si>
  <si>
    <r>
      <rPr>
        <b/>
        <sz val="11"/>
        <color rgb="FF000000"/>
        <rFont val="Calibri"/>
        <family val="2"/>
      </rPr>
      <t>H₂S-RR(O₂)</t>
    </r>
    <r>
      <rPr>
        <sz val="11"/>
        <color rgb="FF000000"/>
        <rFont val="Calibri"/>
        <family val="2"/>
      </rPr>
      <t xml:space="preserve"> = H₂S reduction rate of air = RR(O₂) x M(H₂S)</t>
    </r>
  </si>
  <si>
    <t>Under STP (Std. temp. &amp; pressure) conditions, gas has a volume of 22.7 l / mol</t>
  </si>
  <si>
    <t>↓ Experimental ↓</t>
  </si>
  <si>
    <t>Daily air or O₂ injection [m³]</t>
  </si>
  <si>
    <t>O₂ content [vol%]        (Air ≈ 21%; Pure oxygen = 100%)</t>
  </si>
  <si>
    <t>H₂S-RR(SBGx)</t>
  </si>
  <si>
    <t xml:space="preserve">     1 litre of O₂ has 1/22.7 (0.04.41) moles</t>
  </si>
  <si>
    <t>H₂S-RR(O₂)</t>
  </si>
  <si>
    <t>Equivalent daily dosage of SBGx [kg]</t>
  </si>
  <si>
    <t>D)</t>
  </si>
  <si>
    <t>Unit system comparis. ⓘ</t>
  </si>
  <si>
    <r>
      <rPr>
        <sz val="11"/>
        <color theme="1"/>
        <rFont val="Calibri"/>
        <family val="2"/>
        <scheme val="minor"/>
      </rPr>
      <t xml:space="preserve">|        </t>
    </r>
    <r>
      <rPr>
        <b/>
        <sz val="11"/>
        <color theme="1"/>
        <rFont val="Calibri"/>
        <family val="2"/>
        <scheme val="minor"/>
      </rPr>
      <t>Total RIIC</t>
    </r>
  </si>
  <si>
    <r>
      <t>RIIC</t>
    </r>
    <r>
      <rPr>
        <vertAlign val="subscript"/>
        <sz val="11"/>
        <rFont val="Calibri"/>
        <family val="2"/>
        <scheme val="minor"/>
      </rPr>
      <t>610</t>
    </r>
    <r>
      <rPr>
        <sz val="11"/>
        <rFont val="Calibri"/>
        <family val="2"/>
        <scheme val="minor"/>
      </rPr>
      <t xml:space="preserve"> cost index ⓘ</t>
    </r>
  </si>
  <si>
    <r>
      <t>RIIC</t>
    </r>
    <r>
      <rPr>
        <b/>
        <vertAlign val="subscript"/>
        <sz val="11"/>
        <color theme="1"/>
        <rFont val="Calibri"/>
        <family val="2"/>
        <scheme val="minor"/>
      </rPr>
      <t>610</t>
    </r>
    <r>
      <rPr>
        <b/>
        <sz val="11"/>
        <color theme="1"/>
        <rFont val="Calibri"/>
        <family val="2"/>
        <scheme val="minor"/>
      </rPr>
      <t xml:space="preserve"> cost index:</t>
    </r>
    <r>
      <rPr>
        <sz val="11"/>
        <color theme="1"/>
        <rFont val="Calibri"/>
        <family val="2"/>
        <scheme val="minor"/>
      </rPr>
      <t xml:space="preserve"> Additive costs to reduce 610 kg of H₂S in substrate</t>
    </r>
  </si>
  <si>
    <r>
      <t xml:space="preserve"> </t>
    </r>
    <r>
      <rPr>
        <b/>
        <sz val="11"/>
        <color theme="1" tint="0.499984740745262"/>
        <rFont val="Calibri"/>
        <family val="2"/>
        <scheme val="minor"/>
      </rPr>
      <t>&lt;Click here&gt;</t>
    </r>
    <r>
      <rPr>
        <sz val="11"/>
        <color theme="1" tint="0.499984740745262"/>
        <rFont val="Calibri"/>
        <family val="2"/>
        <scheme val="minor"/>
      </rPr>
      <t xml:space="preserve"> to select precipitant</t>
    </r>
  </si>
  <si>
    <t xml:space="preserve"> &lt;Click here&gt; to select precipitant</t>
  </si>
  <si>
    <t>II) Optional</t>
  </si>
  <si>
    <t>I) Minimal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</si>
</sst>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
    <numFmt numFmtId="167" formatCode="#,##0.0000"/>
    <numFmt numFmtId="168" formatCode="0.0000"/>
  </numFmts>
  <fonts count="165">
    <font>
      <sz val="11"/>
      <color theme="1"/>
      <name val="Liberation Sans"/>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sz val="11"/>
      <color rgb="FF000000"/>
      <name val="Calibri"/>
      <family val="2"/>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sz val="11"/>
      <color theme="1"/>
      <name val="Calibri"/>
      <family val="2"/>
      <scheme val="minor"/>
    </font>
    <font>
      <vertAlign val="subscript"/>
      <sz val="11"/>
      <color theme="1"/>
      <name val="Calibri"/>
      <family val="2"/>
      <scheme val="minor"/>
    </font>
    <font>
      <i/>
      <sz val="11"/>
      <color theme="1"/>
      <name val="Calibri"/>
      <family val="2"/>
      <scheme val="minor"/>
    </font>
    <font>
      <i/>
      <vertAlign val="subscript"/>
      <sz val="11"/>
      <color theme="1"/>
      <name val="Calibri"/>
      <family val="2"/>
      <scheme val="minor"/>
    </font>
    <font>
      <b/>
      <i/>
      <sz val="11"/>
      <color theme="1"/>
      <name val="Calibri"/>
      <family val="2"/>
      <scheme val="minor"/>
    </font>
    <font>
      <b/>
      <sz val="11"/>
      <name val="Calibri"/>
      <family val="2"/>
      <scheme val="minor"/>
    </font>
    <font>
      <vertAlign val="superscript"/>
      <sz val="11"/>
      <color theme="1"/>
      <name val="Calibri"/>
      <family val="2"/>
      <scheme val="minor"/>
    </font>
    <font>
      <sz val="11"/>
      <color rgb="FF0000FF"/>
      <name val="Calibri"/>
      <family val="2"/>
      <scheme val="minor"/>
    </font>
    <font>
      <u/>
      <sz val="11"/>
      <color rgb="FF0000EE"/>
      <name val="Calibri"/>
      <family val="2"/>
      <scheme val="minor"/>
    </font>
    <font>
      <sz val="9"/>
      <color theme="1"/>
      <name val="Calibri"/>
      <family val="2"/>
      <scheme val="minor"/>
    </font>
    <font>
      <sz val="11"/>
      <name val="Calibri"/>
      <family val="2"/>
      <scheme val="minor"/>
    </font>
    <font>
      <b/>
      <i/>
      <sz val="11"/>
      <name val="Calibri"/>
      <family val="2"/>
      <scheme val="minor"/>
    </font>
    <font>
      <sz val="11"/>
      <color rgb="FFFF0000"/>
      <name val="Calibri"/>
      <family val="2"/>
      <scheme val="minor"/>
    </font>
    <font>
      <b/>
      <sz val="11"/>
      <color rgb="FFFF0000"/>
      <name val="Calibri"/>
      <family val="2"/>
      <scheme val="minor"/>
    </font>
    <font>
      <sz val="9"/>
      <name val="Calibri"/>
      <family val="2"/>
      <scheme val="minor"/>
    </font>
    <font>
      <b/>
      <sz val="14"/>
      <color theme="1"/>
      <name val="Calibri"/>
      <family val="2"/>
      <scheme val="minor"/>
    </font>
    <font>
      <sz val="11"/>
      <color theme="1" tint="0.34998626667073579"/>
      <name val="Calibri"/>
      <family val="2"/>
      <scheme val="minor"/>
    </font>
    <font>
      <i/>
      <sz val="11"/>
      <color rgb="FF0070C0"/>
      <name val="Calibri"/>
      <family val="2"/>
      <scheme val="minor"/>
    </font>
    <font>
      <sz val="11"/>
      <color rgb="FF0070C0"/>
      <name val="Calibri"/>
      <family val="2"/>
      <scheme val="minor"/>
    </font>
    <font>
      <u/>
      <sz val="10"/>
      <color rgb="FF0000EE"/>
      <name val="Calibri"/>
      <family val="2"/>
      <scheme val="minor"/>
    </font>
    <font>
      <sz val="11"/>
      <color theme="1"/>
      <name val="Calibri"/>
      <family val="2"/>
    </font>
    <font>
      <vertAlign val="subscript"/>
      <sz val="11"/>
      <name val="Calibri"/>
      <family val="2"/>
      <scheme val="minor"/>
    </font>
    <font>
      <sz val="11"/>
      <color indexed="81"/>
      <name val="Calibri"/>
      <family val="2"/>
      <scheme val="minor"/>
    </font>
    <font>
      <i/>
      <sz val="11"/>
      <name val="Calibri"/>
      <family val="2"/>
      <scheme val="minor"/>
    </font>
    <font>
      <b/>
      <sz val="11"/>
      <color rgb="FFDA2C43"/>
      <name val="Calibri"/>
      <family val="2"/>
      <scheme val="minor"/>
    </font>
    <font>
      <sz val="11"/>
      <color rgb="FF000000"/>
      <name val="Calibri"/>
      <family val="2"/>
      <scheme val="minor"/>
    </font>
    <font>
      <b/>
      <u/>
      <sz val="11"/>
      <color theme="1"/>
      <name val="Calibri"/>
      <family val="2"/>
      <scheme val="minor"/>
    </font>
    <font>
      <sz val="11"/>
      <color rgb="FFFF0000"/>
      <name val="Calibri"/>
      <family val="2"/>
    </font>
    <font>
      <sz val="11"/>
      <name val="Calibri"/>
      <family val="2"/>
    </font>
    <font>
      <sz val="10"/>
      <color theme="1"/>
      <name val="Calibri"/>
      <family val="2"/>
      <scheme val="minor"/>
    </font>
    <font>
      <sz val="8"/>
      <color theme="1" tint="0.499984740745262"/>
      <name val="Calibri"/>
      <family val="2"/>
      <scheme val="minor"/>
    </font>
    <font>
      <sz val="4"/>
      <name val="Calibri"/>
      <family val="2"/>
      <scheme val="minor"/>
    </font>
    <font>
      <sz val="9"/>
      <color indexed="81"/>
      <name val="Courier New"/>
      <family val="3"/>
    </font>
    <font>
      <i/>
      <sz val="11"/>
      <color indexed="81"/>
      <name val="Calibri"/>
      <family val="2"/>
      <scheme val="minor"/>
    </font>
    <font>
      <b/>
      <sz val="11"/>
      <color indexed="81"/>
      <name val="Calibri"/>
      <family val="2"/>
      <scheme val="minor"/>
    </font>
    <font>
      <b/>
      <sz val="11"/>
      <color theme="1"/>
      <name val="Calibri"/>
      <family val="2"/>
    </font>
    <font>
      <sz val="4"/>
      <color theme="1"/>
      <name val="Calibri"/>
      <family val="2"/>
    </font>
    <font>
      <b/>
      <sz val="9"/>
      <color rgb="FFFF0000"/>
      <name val="Calibri"/>
      <family val="2"/>
      <scheme val="minor"/>
    </font>
    <font>
      <b/>
      <i/>
      <sz val="11"/>
      <color indexed="81"/>
      <name val="Calibri"/>
      <family val="2"/>
      <scheme val="minor"/>
    </font>
    <font>
      <sz val="11"/>
      <color theme="1" tint="0.499984740745262"/>
      <name val="Calibri"/>
      <family val="2"/>
      <scheme val="minor"/>
    </font>
    <font>
      <b/>
      <sz val="11"/>
      <color theme="1" tint="0.499984740745262"/>
      <name val="Calibri"/>
      <family val="2"/>
      <scheme val="minor"/>
    </font>
    <font>
      <b/>
      <sz val="11"/>
      <color rgb="FF000000"/>
      <name val="Calibri"/>
      <family val="2"/>
    </font>
    <font>
      <b/>
      <sz val="11"/>
      <name val="Calibri"/>
      <family val="2"/>
    </font>
    <font>
      <sz val="9"/>
      <color theme="1"/>
      <name val="Calibri"/>
      <family val="2"/>
    </font>
    <font>
      <b/>
      <vertAlign val="subscript"/>
      <sz val="11"/>
      <color theme="1"/>
      <name val="Calibri"/>
      <family val="2"/>
      <scheme val="minor"/>
    </font>
  </fonts>
  <fills count="28">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theme="0" tint="-4.9989318521683403E-2"/>
        <bgColor indexed="64"/>
      </patternFill>
    </fill>
    <fill>
      <patternFill patternType="solid">
        <fgColor rgb="FFFFFFCC"/>
        <bgColor indexed="64"/>
      </patternFill>
    </fill>
    <fill>
      <patternFill patternType="solid">
        <fgColor theme="0" tint="-4.9989318521683403E-2"/>
        <bgColor rgb="FFEEEEEE"/>
      </patternFill>
    </fill>
    <fill>
      <patternFill patternType="solid">
        <fgColor rgb="FFE78587"/>
        <bgColor indexed="64"/>
      </patternFill>
    </fill>
    <fill>
      <patternFill patternType="solid">
        <fgColor rgb="FFCCCCFF"/>
        <bgColor rgb="FFCCCCFF"/>
      </patternFill>
    </fill>
    <fill>
      <patternFill patternType="solid">
        <fgColor rgb="FFFFCCCC"/>
        <bgColor indexed="64"/>
      </patternFill>
    </fill>
    <fill>
      <patternFill patternType="solid">
        <fgColor rgb="FFCCCCFF"/>
        <bgColor indexed="64"/>
      </patternFill>
    </fill>
    <fill>
      <patternFill patternType="solid">
        <fgColor rgb="FFFFFFCC"/>
        <bgColor rgb="FFFFFF00"/>
      </patternFill>
    </fill>
    <fill>
      <patternFill patternType="solid">
        <fgColor theme="0" tint="-0.14999847407452621"/>
        <bgColor indexed="64"/>
      </patternFill>
    </fill>
    <fill>
      <patternFill patternType="solid">
        <fgColor rgb="FFFFFF00"/>
        <bgColor indexed="64"/>
      </patternFill>
    </fill>
    <fill>
      <patternFill patternType="solid">
        <fgColor rgb="FFDCFFDC"/>
        <bgColor indexed="64"/>
      </patternFill>
    </fill>
    <fill>
      <patternFill patternType="solid">
        <fgColor rgb="FFF0F0FF"/>
        <bgColor indexed="64"/>
      </patternFill>
    </fill>
    <fill>
      <patternFill patternType="solid">
        <fgColor rgb="FFEEEEEE"/>
        <bgColor rgb="FFEEEEEE"/>
      </patternFill>
    </fill>
    <fill>
      <patternFill patternType="solid">
        <fgColor theme="0" tint="-0.14996795556505021"/>
        <bgColor indexed="64"/>
      </patternFill>
    </fill>
    <fill>
      <patternFill patternType="solid">
        <fgColor rgb="FFFF0000"/>
        <bgColor indexed="64"/>
      </patternFill>
    </fill>
    <fill>
      <patternFill patternType="solid">
        <fgColor theme="0" tint="-0.249977111117893"/>
        <bgColor indexed="64"/>
      </patternFill>
    </fill>
    <fill>
      <patternFill patternType="mediumGray">
        <fgColor rgb="FFFFDCB9"/>
        <bgColor rgb="FFFFFFCC"/>
      </patternFill>
    </fill>
    <fill>
      <patternFill patternType="solid">
        <fgColor rgb="FFDCDCFF"/>
        <bgColor indexed="64"/>
      </patternFill>
    </fill>
    <fill>
      <patternFill patternType="solid">
        <fgColor rgb="FFDCDCFF"/>
        <bgColor rgb="FFFFFBCC"/>
      </patternFill>
    </fill>
  </fills>
  <borders count="68">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thin">
        <color rgb="FF000000"/>
      </bottom>
      <diagonal/>
    </border>
    <border>
      <left/>
      <right/>
      <top style="thin">
        <color rgb="FF000000"/>
      </top>
      <bottom/>
      <diagonal/>
    </border>
    <border>
      <left/>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indexed="64"/>
      </right>
      <top/>
      <bottom/>
      <diagonal/>
    </border>
    <border>
      <left style="thin">
        <color auto="1"/>
      </left>
      <right style="thin">
        <color indexed="64"/>
      </right>
      <top/>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rgb="FF000000"/>
      </right>
      <top/>
      <bottom/>
      <diagonal/>
    </border>
    <border>
      <left/>
      <right/>
      <top/>
      <bottom style="thin">
        <color theme="0" tint="-0.34998626667073579"/>
      </bottom>
      <diagonal/>
    </border>
    <border>
      <left/>
      <right style="thin">
        <color rgb="FF000000"/>
      </right>
      <top/>
      <bottom style="thin">
        <color rgb="FF000000"/>
      </bottom>
      <diagonal/>
    </border>
    <border>
      <left/>
      <right style="thin">
        <color auto="1"/>
      </right>
      <top style="double">
        <color auto="1"/>
      </top>
      <bottom style="thin">
        <color auto="1"/>
      </bottom>
      <diagonal/>
    </border>
    <border>
      <left/>
      <right/>
      <top style="double">
        <color auto="1"/>
      </top>
      <bottom style="thin">
        <color auto="1"/>
      </bottom>
      <diagonal/>
    </border>
    <border>
      <left/>
      <right/>
      <top style="hair">
        <color theme="1" tint="0.499984740745262"/>
      </top>
      <bottom style="hair">
        <color theme="1" tint="0.499984740745262"/>
      </bottom>
      <diagonal/>
    </border>
    <border>
      <left/>
      <right/>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top/>
      <bottom/>
      <diagonal/>
    </border>
    <border>
      <left style="hair">
        <color theme="1" tint="0.499984740745262"/>
      </left>
      <right/>
      <top style="hair">
        <color theme="1" tint="0.499984740745262"/>
      </top>
      <bottom style="hair">
        <color theme="1" tint="0.499984740745262"/>
      </bottom>
      <diagonal/>
    </border>
    <border>
      <left style="hair">
        <color theme="1" tint="0.499984740745262"/>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style="hair">
        <color theme="1" tint="0.499984740745262"/>
      </right>
      <top/>
      <bottom/>
      <diagonal/>
    </border>
    <border>
      <left/>
      <right style="hair">
        <color theme="1" tint="0.499984740745262"/>
      </right>
      <top style="hair">
        <color theme="1" tint="0.499984740745262"/>
      </top>
      <bottom/>
      <diagonal/>
    </border>
    <border>
      <left/>
      <right style="hair">
        <color theme="1" tint="0.499984740745262"/>
      </right>
      <top/>
      <bottom style="thin">
        <color auto="1"/>
      </bottom>
      <diagonal/>
    </border>
    <border>
      <left style="hair">
        <color theme="1" tint="0.499984740745262"/>
      </left>
      <right/>
      <top/>
      <bottom style="thin">
        <color auto="1"/>
      </bottom>
      <diagonal/>
    </border>
    <border>
      <left/>
      <right/>
      <top style="hair">
        <color theme="1" tint="0.499984740745262"/>
      </top>
      <bottom style="thin">
        <color auto="1"/>
      </bottom>
      <diagonal/>
    </border>
    <border>
      <left style="hair">
        <color theme="1" tint="0.499984740745262"/>
      </left>
      <right style="hair">
        <color theme="1" tint="0.499984740745262"/>
      </right>
      <top style="hair">
        <color theme="1" tint="0.499984740745262"/>
      </top>
      <bottom style="thin">
        <color auto="1"/>
      </bottom>
      <diagonal/>
    </border>
    <border>
      <left/>
      <right style="hair">
        <color theme="1" tint="0.499984740745262"/>
      </right>
      <top style="hair">
        <color theme="1" tint="0.499984740745262"/>
      </top>
      <bottom style="thin">
        <color auto="1"/>
      </bottom>
      <diagonal/>
    </border>
    <border>
      <left style="hair">
        <color theme="1" tint="0.499984740745262"/>
      </left>
      <right/>
      <top style="hair">
        <color theme="1" tint="0.499984740745262"/>
      </top>
      <bottom/>
      <diagonal/>
    </border>
    <border>
      <left style="hair">
        <color theme="1" tint="0.499984740745262"/>
      </left>
      <right/>
      <top style="thin">
        <color auto="1"/>
      </top>
      <bottom style="hair">
        <color theme="1" tint="0.499984740745262"/>
      </bottom>
      <diagonal/>
    </border>
    <border>
      <left/>
      <right/>
      <top style="hair">
        <color theme="1" tint="0.499984740745262"/>
      </top>
      <bottom/>
      <diagonal/>
    </border>
    <border>
      <left/>
      <right/>
      <top/>
      <bottom style="hair">
        <color theme="1"/>
      </bottom>
      <diagonal/>
    </border>
    <border>
      <left/>
      <right style="hair">
        <color theme="1" tint="0.499984740745262"/>
      </right>
      <top/>
      <bottom style="hair">
        <color theme="1"/>
      </bottom>
      <diagonal/>
    </border>
    <border>
      <left style="hair">
        <color theme="1" tint="0.499984740745262"/>
      </left>
      <right style="hair">
        <color theme="1" tint="0.499984740745262"/>
      </right>
      <top/>
      <bottom style="hair">
        <color theme="1"/>
      </bottom>
      <diagonal/>
    </border>
    <border>
      <left style="hair">
        <color theme="1" tint="0.499984740745262"/>
      </left>
      <right/>
      <top/>
      <bottom style="hair">
        <color theme="1"/>
      </bottom>
      <diagonal/>
    </border>
    <border>
      <left style="hair">
        <color auto="1"/>
      </left>
      <right/>
      <top style="hair">
        <color auto="1"/>
      </top>
      <bottom/>
      <diagonal/>
    </border>
    <border>
      <left/>
      <right/>
      <top style="hair">
        <color auto="1"/>
      </top>
      <bottom/>
      <diagonal/>
    </border>
    <border>
      <left style="hair">
        <color auto="1"/>
      </left>
      <right/>
      <top/>
      <bottom style="hair">
        <color theme="1" tint="0.499984740745262"/>
      </bottom>
      <diagonal/>
    </border>
    <border>
      <left style="hair">
        <color auto="1"/>
      </left>
      <right/>
      <top/>
      <bottom style="thin">
        <color auto="1"/>
      </bottom>
      <diagonal/>
    </border>
    <border>
      <left/>
      <right style="thin">
        <color auto="1"/>
      </right>
      <top style="hair">
        <color auto="1"/>
      </top>
      <bottom/>
      <diagonal/>
    </border>
    <border>
      <left/>
      <right/>
      <top/>
      <bottom style="hair">
        <color auto="1"/>
      </bottom>
      <diagonal/>
    </border>
    <border>
      <left/>
      <right style="thin">
        <color auto="1"/>
      </right>
      <top style="hair">
        <color auto="1"/>
      </top>
      <bottom style="hair">
        <color theme="1" tint="0.499984740745262"/>
      </bottom>
      <diagonal/>
    </border>
    <border>
      <left style="hair">
        <color theme="1" tint="0.499984740745262"/>
      </left>
      <right/>
      <top style="hair">
        <color auto="1"/>
      </top>
      <bottom style="hair">
        <color theme="1" tint="0.499984740745262"/>
      </bottom>
      <diagonal/>
    </border>
    <border>
      <left style="hair">
        <color auto="1"/>
      </left>
      <right/>
      <top/>
      <bottom/>
      <diagonal/>
    </border>
    <border>
      <left/>
      <right style="thin">
        <color auto="1"/>
      </right>
      <top style="thin">
        <color auto="1"/>
      </top>
      <bottom style="double">
        <color auto="1"/>
      </bottom>
      <diagonal/>
    </border>
    <border>
      <left/>
      <right style="hair">
        <color theme="1" tint="0.499984740745262"/>
      </right>
      <top style="thin">
        <color auto="1"/>
      </top>
      <bottom/>
      <diagonal/>
    </border>
    <border>
      <left/>
      <right style="hair">
        <color theme="1" tint="0.499984740745262"/>
      </right>
      <top style="hair">
        <color auto="1"/>
      </top>
      <bottom style="hair">
        <color theme="1" tint="0.499984740745262"/>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theme="1" tint="0.499984740745262"/>
      </left>
      <right style="hair">
        <color theme="1" tint="0.499984740745262"/>
      </right>
      <top style="hair">
        <color auto="1"/>
      </top>
      <bottom style="hair">
        <color theme="1" tint="0.499984740745262"/>
      </bottom>
      <diagonal/>
    </border>
    <border>
      <left/>
      <right/>
      <top style="hair">
        <color auto="1"/>
      </top>
      <bottom style="hair">
        <color theme="1" tint="0.499984740745262"/>
      </bottom>
      <diagonal/>
    </border>
    <border>
      <left/>
      <right style="hair">
        <color auto="1"/>
      </right>
      <top style="hair">
        <color theme="1" tint="0.499984740745262"/>
      </top>
      <bottom style="hair">
        <color theme="1" tint="0.499984740745262"/>
      </bottom>
      <diagonal/>
    </border>
    <border>
      <left/>
      <right style="hair">
        <color auto="1"/>
      </right>
      <top/>
      <bottom style="hair">
        <color auto="1"/>
      </bottom>
      <diagonal/>
    </border>
    <border>
      <left/>
      <right style="hair">
        <color theme="1" tint="0.499984740745262"/>
      </right>
      <top style="hair">
        <color theme="1" tint="0.499984740745262"/>
      </top>
      <bottom style="hair">
        <color auto="1"/>
      </bottom>
      <diagonal/>
    </border>
    <border>
      <left/>
      <right style="hair">
        <color auto="1"/>
      </right>
      <top style="hair">
        <color auto="1"/>
      </top>
      <bottom/>
      <diagonal/>
    </border>
  </borders>
  <cellStyleXfs count="20">
    <xf numFmtId="0" fontId="0" fillId="0" borderId="0"/>
    <xf numFmtId="0" fontId="115" fillId="0" borderId="0"/>
    <xf numFmtId="0" fontId="116" fillId="0" borderId="0"/>
    <xf numFmtId="0" fontId="113" fillId="7" borderId="0"/>
    <xf numFmtId="0" fontId="109" fillId="5" borderId="0"/>
    <xf numFmtId="0" fontId="118" fillId="8" borderId="0"/>
    <xf numFmtId="0" fontId="119" fillId="8" borderId="1"/>
    <xf numFmtId="0" fontId="107" fillId="0" borderId="0"/>
    <xf numFmtId="0" fontId="108" fillId="2" borderId="0"/>
    <xf numFmtId="0" fontId="108" fillId="3" borderId="0"/>
    <xf numFmtId="0" fontId="107" fillId="4" borderId="0"/>
    <xf numFmtId="0" fontId="110" fillId="6" borderId="0"/>
    <xf numFmtId="0" fontId="111" fillId="0" borderId="0"/>
    <xf numFmtId="0" fontId="112" fillId="0" borderId="0"/>
    <xf numFmtId="0" fontId="114" fillId="0" borderId="0"/>
    <xf numFmtId="0" fontId="117" fillId="0" borderId="0"/>
    <xf numFmtId="0" fontId="106" fillId="0" borderId="0"/>
    <xf numFmtId="0" fontId="106" fillId="0" borderId="0"/>
    <xf numFmtId="0" fontId="109" fillId="0" borderId="0"/>
    <xf numFmtId="9" fontId="106" fillId="0" borderId="0" applyFont="0" applyFill="0" applyBorder="0" applyAlignment="0" applyProtection="0"/>
  </cellStyleXfs>
  <cellXfs count="814">
    <xf numFmtId="0" fontId="0" fillId="0" borderId="0" xfId="0"/>
    <xf numFmtId="0" fontId="105" fillId="0" borderId="0" xfId="0" applyFont="1" applyProtection="1"/>
    <xf numFmtId="0" fontId="105" fillId="0" borderId="0" xfId="0" applyFont="1" applyAlignment="1" applyProtection="1">
      <alignment horizontal="right"/>
    </xf>
    <xf numFmtId="0" fontId="120" fillId="0" borderId="0" xfId="0" applyFont="1" applyAlignment="1" applyProtection="1">
      <alignment horizontal="right"/>
    </xf>
    <xf numFmtId="0" fontId="122" fillId="9" borderId="4" xfId="0" applyFont="1" applyFill="1" applyBorder="1" applyAlignment="1" applyProtection="1">
      <alignment horizontal="right"/>
    </xf>
    <xf numFmtId="0" fontId="122" fillId="11" borderId="4" xfId="0" applyFont="1" applyFill="1" applyBorder="1" applyAlignment="1" applyProtection="1">
      <alignment horizontal="right" wrapText="1"/>
    </xf>
    <xf numFmtId="0" fontId="105" fillId="9" borderId="5" xfId="0" applyFont="1" applyFill="1" applyBorder="1" applyProtection="1"/>
    <xf numFmtId="0" fontId="128" fillId="0" borderId="0" xfId="15" applyFont="1" applyAlignment="1" applyProtection="1">
      <alignment vertical="center"/>
    </xf>
    <xf numFmtId="0" fontId="120" fillId="0" borderId="0" xfId="0" applyFont="1" applyFill="1" applyBorder="1" applyAlignment="1" applyProtection="1"/>
    <xf numFmtId="0" fontId="133" fillId="0" borderId="0" xfId="0" applyFont="1" applyAlignment="1" applyProtection="1"/>
    <xf numFmtId="0" fontId="133" fillId="0" borderId="0" xfId="0" applyFont="1" applyProtection="1"/>
    <xf numFmtId="0" fontId="105" fillId="10" borderId="6" xfId="0" applyFont="1" applyFill="1" applyBorder="1" applyProtection="1">
      <protection locked="0"/>
    </xf>
    <xf numFmtId="0" fontId="103" fillId="9" borderId="3" xfId="0" applyFont="1" applyFill="1" applyBorder="1" applyAlignment="1" applyProtection="1">
      <alignment horizontal="right"/>
    </xf>
    <xf numFmtId="2" fontId="105" fillId="10" borderId="6" xfId="0" applyNumberFormat="1" applyFont="1" applyFill="1" applyBorder="1" applyProtection="1">
      <protection locked="0"/>
    </xf>
    <xf numFmtId="0" fontId="130" fillId="0" borderId="0" xfId="0" applyFont="1" applyFill="1" applyBorder="1" applyAlignment="1" applyProtection="1"/>
    <xf numFmtId="2" fontId="130" fillId="0" borderId="0" xfId="0" applyNumberFormat="1" applyFont="1" applyFill="1" applyBorder="1" applyAlignment="1" applyProtection="1"/>
    <xf numFmtId="0" fontId="135" fillId="0" borderId="0" xfId="0" applyFont="1" applyAlignment="1" applyProtection="1"/>
    <xf numFmtId="2" fontId="134" fillId="0" borderId="0" xfId="0" applyNumberFormat="1" applyFont="1" applyFill="1" applyBorder="1" applyAlignment="1" applyProtection="1"/>
    <xf numFmtId="0" fontId="122" fillId="9" borderId="4" xfId="0" applyFont="1" applyFill="1" applyBorder="1" applyAlignment="1" applyProtection="1">
      <alignment horizontal="right" wrapText="1"/>
    </xf>
    <xf numFmtId="0" fontId="124" fillId="19" borderId="0" xfId="0" applyFont="1" applyFill="1" applyBorder="1" applyAlignment="1" applyProtection="1"/>
    <xf numFmtId="0" fontId="120" fillId="19" borderId="0" xfId="0" applyFont="1" applyFill="1" applyBorder="1" applyAlignment="1" applyProtection="1"/>
    <xf numFmtId="0" fontId="130" fillId="0" borderId="0" xfId="0" applyFont="1" applyFill="1" applyBorder="1" applyAlignment="1" applyProtection="1">
      <alignment horizontal="right"/>
    </xf>
    <xf numFmtId="0" fontId="124" fillId="18" borderId="18" xfId="0" applyFont="1" applyFill="1" applyBorder="1" applyProtection="1"/>
    <xf numFmtId="0" fontId="124" fillId="18" borderId="12" xfId="0" applyFont="1" applyFill="1" applyBorder="1" applyProtection="1"/>
    <xf numFmtId="0" fontId="120" fillId="18" borderId="15" xfId="0" applyFont="1" applyFill="1" applyBorder="1" applyAlignment="1" applyProtection="1">
      <alignment horizontal="left"/>
    </xf>
    <xf numFmtId="0" fontId="120" fillId="0" borderId="0" xfId="0" applyFont="1" applyBorder="1" applyAlignment="1" applyProtection="1"/>
    <xf numFmtId="0" fontId="129" fillId="0" borderId="0" xfId="0" applyFont="1" applyAlignment="1" applyProtection="1"/>
    <xf numFmtId="0" fontId="137" fillId="0" borderId="0" xfId="0" applyFont="1" applyAlignment="1" applyProtection="1"/>
    <xf numFmtId="0" fontId="139" fillId="0" borderId="0" xfId="15" applyFont="1" applyAlignment="1" applyProtection="1">
      <alignment vertical="center"/>
    </xf>
    <xf numFmtId="0" fontId="129" fillId="0" borderId="0" xfId="0" applyFont="1" applyAlignment="1"/>
    <xf numFmtId="0" fontId="132" fillId="0" borderId="0" xfId="0" applyFont="1" applyAlignment="1" applyProtection="1"/>
    <xf numFmtId="0" fontId="122" fillId="0" borderId="0" xfId="0" applyFont="1" applyAlignment="1" applyProtection="1"/>
    <xf numFmtId="0" fontId="122" fillId="0" borderId="0" xfId="0" applyFont="1" applyAlignment="1" applyProtection="1">
      <alignment vertical="center"/>
    </xf>
    <xf numFmtId="0" fontId="128" fillId="18" borderId="0" xfId="15" applyFont="1" applyFill="1"/>
    <xf numFmtId="0" fontId="130" fillId="0" borderId="0" xfId="0" applyFont="1" applyAlignment="1" applyProtection="1"/>
    <xf numFmtId="0" fontId="120" fillId="0" borderId="0" xfId="0" applyFont="1" applyAlignment="1" applyProtection="1"/>
    <xf numFmtId="0" fontId="122" fillId="0" borderId="10" xfId="0" applyFont="1" applyFill="1" applyBorder="1" applyAlignment="1" applyProtection="1">
      <alignment vertical="center"/>
    </xf>
    <xf numFmtId="0" fontId="120" fillId="0" borderId="9" xfId="0" applyFont="1" applyFill="1" applyBorder="1" applyAlignment="1" applyProtection="1">
      <alignment vertical="center"/>
    </xf>
    <xf numFmtId="0" fontId="130" fillId="0" borderId="0" xfId="0" quotePrefix="1" applyFont="1" applyFill="1" applyAlignment="1" applyProtection="1">
      <alignment vertical="center"/>
    </xf>
    <xf numFmtId="0" fontId="124" fillId="0" borderId="0" xfId="0" applyFont="1" applyBorder="1" applyAlignment="1" applyProtection="1">
      <alignment vertical="center"/>
    </xf>
    <xf numFmtId="0" fontId="122" fillId="0" borderId="0" xfId="0" applyFont="1" applyBorder="1" applyAlignment="1" applyProtection="1"/>
    <xf numFmtId="0" fontId="124" fillId="0" borderId="0" xfId="0" applyFont="1" applyFill="1" applyBorder="1" applyAlignment="1" applyProtection="1">
      <alignment horizontal="right"/>
    </xf>
    <xf numFmtId="4" fontId="130" fillId="10" borderId="5" xfId="0" applyNumberFormat="1" applyFont="1" applyFill="1" applyBorder="1" applyAlignment="1" applyProtection="1">
      <protection locked="0"/>
    </xf>
    <xf numFmtId="0" fontId="120" fillId="0" borderId="0" xfId="0" applyFont="1"/>
    <xf numFmtId="0" fontId="101" fillId="0" borderId="0" xfId="0" applyFont="1"/>
    <xf numFmtId="0" fontId="101" fillId="0" borderId="0" xfId="0" applyFont="1" applyAlignment="1" applyProtection="1"/>
    <xf numFmtId="0" fontId="101" fillId="0" borderId="0" xfId="0" applyFont="1" applyBorder="1" applyAlignment="1" applyProtection="1"/>
    <xf numFmtId="0" fontId="101" fillId="0" borderId="0" xfId="0" applyFont="1" applyFill="1" applyBorder="1" applyAlignment="1" applyProtection="1"/>
    <xf numFmtId="0" fontId="101" fillId="0" borderId="0" xfId="0" applyFont="1" applyFill="1" applyAlignment="1" applyProtection="1"/>
    <xf numFmtId="0" fontId="100" fillId="0" borderId="0" xfId="0" applyFont="1" applyProtection="1"/>
    <xf numFmtId="0" fontId="122" fillId="11" borderId="3" xfId="0" applyFont="1" applyFill="1" applyBorder="1" applyProtection="1"/>
    <xf numFmtId="0" fontId="122" fillId="11" borderId="4" xfId="0" applyFont="1" applyFill="1" applyBorder="1" applyAlignment="1" applyProtection="1">
      <alignment wrapText="1"/>
    </xf>
    <xf numFmtId="0" fontId="105" fillId="11" borderId="5" xfId="0" applyFont="1" applyFill="1" applyBorder="1" applyProtection="1"/>
    <xf numFmtId="0" fontId="105" fillId="0" borderId="6" xfId="0" applyFont="1" applyBorder="1" applyProtection="1"/>
    <xf numFmtId="0" fontId="105" fillId="0" borderId="6" xfId="0" applyFont="1" applyBorder="1" applyAlignment="1" applyProtection="1"/>
    <xf numFmtId="0" fontId="105" fillId="0" borderId="6" xfId="0" applyFont="1" applyFill="1" applyBorder="1" applyProtection="1"/>
    <xf numFmtId="0" fontId="105" fillId="12" borderId="6" xfId="0" applyFont="1" applyFill="1" applyBorder="1" applyProtection="1"/>
    <xf numFmtId="2" fontId="105" fillId="12" borderId="6" xfId="0" applyNumberFormat="1" applyFont="1" applyFill="1" applyBorder="1" applyProtection="1"/>
    <xf numFmtId="0" fontId="104" fillId="9" borderId="5" xfId="0" applyFont="1" applyFill="1" applyBorder="1" applyProtection="1"/>
    <xf numFmtId="0" fontId="102" fillId="9" borderId="5" xfId="0" applyFont="1" applyFill="1" applyBorder="1" applyProtection="1"/>
    <xf numFmtId="0" fontId="99" fillId="0" borderId="6" xfId="0" applyFont="1" applyBorder="1" applyProtection="1"/>
    <xf numFmtId="0" fontId="105" fillId="0" borderId="0" xfId="0" applyFont="1" applyFill="1" applyProtection="1"/>
    <xf numFmtId="3" fontId="120" fillId="14" borderId="2" xfId="0" applyNumberFormat="1" applyFont="1" applyFill="1" applyBorder="1" applyAlignment="1" applyProtection="1">
      <alignment vertical="center"/>
    </xf>
    <xf numFmtId="0" fontId="101" fillId="0" borderId="0" xfId="0" applyNumberFormat="1" applyFont="1" applyAlignment="1" applyProtection="1"/>
    <xf numFmtId="0" fontId="125" fillId="18" borderId="9" xfId="0" applyFont="1" applyFill="1" applyBorder="1" applyAlignment="1" applyProtection="1"/>
    <xf numFmtId="0" fontId="125" fillId="18" borderId="9" xfId="0" quotePrefix="1" applyFont="1" applyFill="1" applyBorder="1" applyAlignment="1" applyProtection="1">
      <alignment vertical="center"/>
    </xf>
    <xf numFmtId="0" fontId="120" fillId="18" borderId="9" xfId="0" applyFont="1" applyFill="1" applyBorder="1" applyAlignment="1" applyProtection="1">
      <alignment vertical="center"/>
    </xf>
    <xf numFmtId="0" fontId="98" fillId="0" borderId="0" xfId="0" applyFont="1" applyFill="1" applyBorder="1" applyProtection="1"/>
    <xf numFmtId="0" fontId="105" fillId="0" borderId="0" xfId="0" applyNumberFormat="1" applyFont="1" applyProtection="1"/>
    <xf numFmtId="0" fontId="97" fillId="0" borderId="0" xfId="0" applyNumberFormat="1" applyFont="1" applyProtection="1"/>
    <xf numFmtId="0" fontId="97" fillId="9" borderId="4" xfId="0" applyFont="1" applyFill="1" applyBorder="1" applyAlignment="1" applyProtection="1">
      <alignment horizontal="right"/>
    </xf>
    <xf numFmtId="0" fontId="97" fillId="9" borderId="4" xfId="0" applyFont="1" applyFill="1" applyBorder="1" applyAlignment="1" applyProtection="1">
      <alignment horizontal="right" wrapText="1"/>
    </xf>
    <xf numFmtId="2" fontId="105" fillId="0" borderId="6" xfId="0" applyNumberFormat="1" applyFont="1" applyFill="1" applyBorder="1" applyProtection="1"/>
    <xf numFmtId="0" fontId="128" fillId="0" borderId="0" xfId="15" applyFont="1" applyBorder="1" applyAlignment="1" applyProtection="1">
      <alignment horizontal="right"/>
    </xf>
    <xf numFmtId="0" fontId="128" fillId="0" borderId="0" xfId="15" applyFont="1" applyAlignment="1" applyProtection="1">
      <alignment horizontal="right"/>
    </xf>
    <xf numFmtId="0" fontId="130" fillId="0" borderId="0" xfId="0" applyFont="1" applyBorder="1"/>
    <xf numFmtId="0" fontId="130" fillId="0" borderId="0" xfId="0" applyFont="1"/>
    <xf numFmtId="0" fontId="125" fillId="0" borderId="0" xfId="0" applyFont="1"/>
    <xf numFmtId="0" fontId="130" fillId="0" borderId="3" xfId="0" applyFont="1" applyBorder="1"/>
    <xf numFmtId="165" fontId="130" fillId="10" borderId="6" xfId="0" applyNumberFormat="1" applyFont="1" applyFill="1" applyBorder="1" applyProtection="1">
      <protection locked="0"/>
    </xf>
    <xf numFmtId="0" fontId="130" fillId="0" borderId="5" xfId="0" applyFont="1" applyBorder="1"/>
    <xf numFmtId="3" fontId="130" fillId="10" borderId="6" xfId="0" applyNumberFormat="1" applyFont="1" applyFill="1" applyBorder="1" applyProtection="1">
      <protection locked="0"/>
    </xf>
    <xf numFmtId="0" fontId="130" fillId="0" borderId="7" xfId="0" applyFont="1" applyBorder="1"/>
    <xf numFmtId="0" fontId="130" fillId="0" borderId="11" xfId="0" applyFont="1" applyBorder="1"/>
    <xf numFmtId="0" fontId="125" fillId="9" borderId="11" xfId="0" applyFont="1" applyFill="1" applyBorder="1"/>
    <xf numFmtId="0" fontId="130" fillId="9" borderId="11" xfId="0" applyFont="1" applyFill="1" applyBorder="1"/>
    <xf numFmtId="0" fontId="130" fillId="9" borderId="5" xfId="0" applyFont="1" applyFill="1" applyBorder="1"/>
    <xf numFmtId="165" fontId="125" fillId="9" borderId="6" xfId="0" applyNumberFormat="1" applyFont="1" applyFill="1" applyBorder="1"/>
    <xf numFmtId="0" fontId="128" fillId="0" borderId="0" xfId="15" applyFont="1" applyProtection="1"/>
    <xf numFmtId="0" fontId="96" fillId="0" borderId="0" xfId="0" applyFont="1"/>
    <xf numFmtId="0" fontId="96" fillId="9" borderId="17" xfId="0" applyFont="1" applyFill="1" applyBorder="1" applyAlignment="1" applyProtection="1">
      <alignment horizontal="center"/>
    </xf>
    <xf numFmtId="0" fontId="96" fillId="9" borderId="5" xfId="0" applyFont="1" applyFill="1" applyBorder="1" applyAlignment="1" applyProtection="1">
      <alignment horizontal="center"/>
    </xf>
    <xf numFmtId="0" fontId="96" fillId="0" borderId="0" xfId="0" applyFont="1" applyAlignment="1">
      <alignment horizontal="right"/>
    </xf>
    <xf numFmtId="0" fontId="96" fillId="0" borderId="0" xfId="0" applyFont="1" applyBorder="1"/>
    <xf numFmtId="0" fontId="96" fillId="0" borderId="7" xfId="0" applyFont="1" applyBorder="1"/>
    <xf numFmtId="166" fontId="96" fillId="10" borderId="17" xfId="0" applyNumberFormat="1" applyFont="1" applyFill="1" applyBorder="1" applyAlignment="1" applyProtection="1">
      <protection locked="0"/>
    </xf>
    <xf numFmtId="166" fontId="96" fillId="9" borderId="11" xfId="0" applyNumberFormat="1" applyFont="1" applyFill="1" applyBorder="1"/>
    <xf numFmtId="166" fontId="96" fillId="9" borderId="5" xfId="0" applyNumberFormat="1" applyFont="1" applyFill="1" applyBorder="1"/>
    <xf numFmtId="166" fontId="96" fillId="10" borderId="6" xfId="0" applyNumberFormat="1" applyFont="1" applyFill="1" applyBorder="1" applyAlignment="1" applyProtection="1">
      <protection locked="0"/>
    </xf>
    <xf numFmtId="0" fontId="96" fillId="9" borderId="0" xfId="0" applyFont="1" applyFill="1" applyBorder="1" applyProtection="1"/>
    <xf numFmtId="0" fontId="96" fillId="9" borderId="15" xfId="0" applyFont="1" applyFill="1" applyBorder="1" applyAlignment="1" applyProtection="1">
      <alignment horizontal="left"/>
    </xf>
    <xf numFmtId="167" fontId="96" fillId="9" borderId="15" xfId="0" applyNumberFormat="1" applyFont="1" applyFill="1" applyBorder="1" applyAlignment="1" applyProtection="1">
      <alignment horizontal="left"/>
    </xf>
    <xf numFmtId="0" fontId="96" fillId="9" borderId="7" xfId="0" applyFont="1" applyFill="1" applyBorder="1" applyProtection="1"/>
    <xf numFmtId="0" fontId="96" fillId="9" borderId="3" xfId="0" applyFont="1" applyFill="1" applyBorder="1" applyAlignment="1" applyProtection="1">
      <alignment horizontal="left"/>
    </xf>
    <xf numFmtId="0" fontId="96" fillId="0" borderId="0" xfId="0" applyFont="1" applyProtection="1"/>
    <xf numFmtId="166" fontId="96" fillId="9" borderId="17" xfId="0" applyNumberFormat="1" applyFont="1" applyFill="1" applyBorder="1"/>
    <xf numFmtId="0" fontId="96" fillId="0" borderId="0" xfId="0" applyFont="1" applyAlignment="1" applyProtection="1">
      <alignment vertical="center"/>
    </xf>
    <xf numFmtId="0" fontId="96" fillId="0" borderId="0" xfId="0" applyFont="1" applyAlignment="1"/>
    <xf numFmtId="0" fontId="96" fillId="0" borderId="0" xfId="0" quotePrefix="1" applyFont="1" applyAlignment="1"/>
    <xf numFmtId="0" fontId="96" fillId="0" borderId="21" xfId="0" applyFont="1" applyBorder="1"/>
    <xf numFmtId="0" fontId="145" fillId="0" borderId="0" xfId="0" applyFont="1"/>
    <xf numFmtId="0" fontId="120" fillId="0" borderId="0" xfId="0" applyFont="1" applyBorder="1"/>
    <xf numFmtId="164" fontId="120" fillId="0" borderId="0" xfId="19" applyNumberFormat="1" applyFont="1" applyBorder="1"/>
    <xf numFmtId="0" fontId="120" fillId="0" borderId="0" xfId="0" applyFont="1" applyBorder="1" applyAlignment="1">
      <alignment horizontal="right"/>
    </xf>
    <xf numFmtId="0" fontId="96" fillId="9" borderId="17" xfId="0" applyFont="1" applyFill="1" applyBorder="1"/>
    <xf numFmtId="3" fontId="120" fillId="9" borderId="5" xfId="0" applyNumberFormat="1" applyFont="1" applyFill="1" applyBorder="1" applyAlignment="1">
      <alignment horizontal="right"/>
    </xf>
    <xf numFmtId="0" fontId="96" fillId="9" borderId="11" xfId="0" applyFont="1" applyFill="1" applyBorder="1"/>
    <xf numFmtId="0" fontId="96" fillId="9" borderId="5" xfId="0" applyFont="1" applyFill="1" applyBorder="1" applyAlignment="1">
      <alignment horizontal="right"/>
    </xf>
    <xf numFmtId="0" fontId="120" fillId="9" borderId="5" xfId="0" applyFont="1" applyFill="1" applyBorder="1"/>
    <xf numFmtId="164" fontId="120" fillId="9" borderId="5" xfId="19" applyNumberFormat="1" applyFont="1" applyFill="1" applyBorder="1" applyAlignment="1">
      <alignment horizontal="right"/>
    </xf>
    <xf numFmtId="0" fontId="96" fillId="17" borderId="7" xfId="0" applyFont="1" applyFill="1" applyBorder="1"/>
    <xf numFmtId="0" fontId="122" fillId="17" borderId="3" xfId="0" applyFont="1" applyFill="1" applyBorder="1" applyAlignment="1">
      <alignment horizontal="right"/>
    </xf>
    <xf numFmtId="0" fontId="96" fillId="0" borderId="0" xfId="0" applyFont="1" applyFill="1" applyBorder="1"/>
    <xf numFmtId="0" fontId="95" fillId="0" borderId="0" xfId="0" applyFont="1"/>
    <xf numFmtId="0" fontId="94" fillId="0" borderId="0" xfId="0" applyFont="1"/>
    <xf numFmtId="0" fontId="93" fillId="0" borderId="0" xfId="0" applyFont="1"/>
    <xf numFmtId="0" fontId="122" fillId="0" borderId="0" xfId="0" applyFont="1"/>
    <xf numFmtId="0" fontId="92" fillId="0" borderId="0" xfId="0" applyFont="1"/>
    <xf numFmtId="0" fontId="96" fillId="0" borderId="0" xfId="0" applyFont="1" applyFill="1"/>
    <xf numFmtId="0" fontId="120" fillId="0" borderId="0" xfId="0" applyFont="1" applyFill="1"/>
    <xf numFmtId="0" fontId="96" fillId="0" borderId="0" xfId="0" applyFont="1" applyFill="1" applyAlignment="1">
      <alignment horizontal="left" vertical="center" wrapText="1"/>
    </xf>
    <xf numFmtId="0" fontId="131" fillId="9" borderId="11" xfId="0" applyFont="1" applyFill="1" applyBorder="1"/>
    <xf numFmtId="0" fontId="143" fillId="9" borderId="11" xfId="0" applyFont="1" applyFill="1" applyBorder="1"/>
    <xf numFmtId="0" fontId="143" fillId="9" borderId="5" xfId="0" applyFont="1" applyFill="1" applyBorder="1"/>
    <xf numFmtId="165" fontId="131" fillId="9" borderId="6" xfId="0" applyNumberFormat="1" applyFont="1" applyFill="1" applyBorder="1"/>
    <xf numFmtId="0" fontId="128" fillId="0" borderId="0" xfId="15" applyFont="1" applyProtection="1"/>
    <xf numFmtId="0" fontId="91" fillId="0" borderId="0" xfId="0" applyFont="1"/>
    <xf numFmtId="0" fontId="91" fillId="0" borderId="7" xfId="0" applyFont="1" applyBorder="1" applyAlignment="1" applyProtection="1"/>
    <xf numFmtId="0" fontId="91" fillId="9" borderId="7" xfId="0" applyFont="1" applyFill="1" applyBorder="1"/>
    <xf numFmtId="0" fontId="91" fillId="9" borderId="3" xfId="0" applyFont="1" applyFill="1" applyBorder="1"/>
    <xf numFmtId="0" fontId="91" fillId="0" borderId="0" xfId="0" applyFont="1" applyAlignment="1" applyProtection="1"/>
    <xf numFmtId="4" fontId="91" fillId="10" borderId="17" xfId="0" applyNumberFormat="1" applyFont="1" applyFill="1" applyBorder="1" applyAlignment="1" applyProtection="1">
      <protection locked="0"/>
    </xf>
    <xf numFmtId="0" fontId="91" fillId="9" borderId="17" xfId="0" applyFont="1" applyFill="1" applyBorder="1" applyAlignment="1" applyProtection="1">
      <alignment horizontal="center"/>
    </xf>
    <xf numFmtId="4" fontId="91" fillId="9" borderId="5" xfId="0" applyNumberFormat="1" applyFont="1" applyFill="1" applyBorder="1" applyAlignment="1" applyProtection="1"/>
    <xf numFmtId="166" fontId="91" fillId="0" borderId="0" xfId="0" applyNumberFormat="1" applyFont="1"/>
    <xf numFmtId="4" fontId="91" fillId="9" borderId="11" xfId="0" applyNumberFormat="1" applyFont="1" applyFill="1" applyBorder="1" applyAlignment="1" applyProtection="1"/>
    <xf numFmtId="0" fontId="91" fillId="9" borderId="5" xfId="0" applyFont="1" applyFill="1" applyBorder="1" applyAlignment="1" applyProtection="1">
      <alignment horizontal="center"/>
    </xf>
    <xf numFmtId="0" fontId="91" fillId="0" borderId="0" xfId="0" applyFont="1" applyAlignment="1">
      <alignment horizontal="right"/>
    </xf>
    <xf numFmtId="0" fontId="91" fillId="0" borderId="0" xfId="0" applyFont="1" applyBorder="1"/>
    <xf numFmtId="0" fontId="122" fillId="22" borderId="3" xfId="0" applyFont="1" applyFill="1" applyBorder="1" applyAlignment="1">
      <alignment horizontal="right"/>
    </xf>
    <xf numFmtId="0" fontId="122" fillId="22" borderId="19" xfId="0" applyFont="1" applyFill="1" applyBorder="1" applyAlignment="1">
      <alignment horizontal="right"/>
    </xf>
    <xf numFmtId="0" fontId="120" fillId="9" borderId="5" xfId="0" applyFont="1" applyFill="1" applyBorder="1" applyAlignment="1">
      <alignment horizontal="right"/>
    </xf>
    <xf numFmtId="0" fontId="120" fillId="9" borderId="17" xfId="0" applyFont="1" applyFill="1" applyBorder="1"/>
    <xf numFmtId="0" fontId="90" fillId="0" borderId="0" xfId="0" applyFont="1"/>
    <xf numFmtId="0" fontId="89" fillId="0" borderId="3" xfId="0" applyFont="1" applyBorder="1"/>
    <xf numFmtId="0" fontId="88" fillId="0" borderId="0" xfId="0" applyFont="1"/>
    <xf numFmtId="0" fontId="0" fillId="0" borderId="0" xfId="0" applyFont="1"/>
    <xf numFmtId="0" fontId="87" fillId="9" borderId="3" xfId="0" applyFont="1" applyFill="1" applyBorder="1"/>
    <xf numFmtId="0" fontId="86" fillId="9" borderId="5" xfId="0" applyFont="1" applyFill="1" applyBorder="1"/>
    <xf numFmtId="0" fontId="85" fillId="0" borderId="0" xfId="0" applyFont="1"/>
    <xf numFmtId="0" fontId="130" fillId="0" borderId="0" xfId="0" applyFont="1" applyAlignment="1">
      <alignment horizontal="left" vertical="center" wrapText="1"/>
    </xf>
    <xf numFmtId="0" fontId="125" fillId="0" borderId="0" xfId="0" applyFont="1" applyAlignment="1">
      <alignment horizontal="right" vertical="center" wrapText="1"/>
    </xf>
    <xf numFmtId="166" fontId="125" fillId="0" borderId="0" xfId="0" applyNumberFormat="1" applyFont="1" applyAlignment="1">
      <alignment horizontal="right" vertical="center" wrapText="1"/>
    </xf>
    <xf numFmtId="166" fontId="125" fillId="0" borderId="7" xfId="0" applyNumberFormat="1" applyFont="1" applyBorder="1" applyAlignment="1">
      <alignment horizontal="right" vertical="center" wrapText="1"/>
    </xf>
    <xf numFmtId="0" fontId="85" fillId="0" borderId="0" xfId="0" applyFont="1" applyFill="1"/>
    <xf numFmtId="0" fontId="130" fillId="0" borderId="0" xfId="0" applyFont="1" applyAlignment="1">
      <alignment horizontal="right" vertical="center" wrapText="1"/>
    </xf>
    <xf numFmtId="166" fontId="130" fillId="0" borderId="0" xfId="0" applyNumberFormat="1" applyFont="1" applyAlignment="1">
      <alignment horizontal="right" vertical="center" wrapText="1"/>
    </xf>
    <xf numFmtId="0" fontId="130" fillId="0" borderId="7" xfId="0" applyFont="1" applyBorder="1" applyAlignment="1">
      <alignment horizontal="right" vertical="center" wrapText="1"/>
    </xf>
    <xf numFmtId="166" fontId="130" fillId="0" borderId="7" xfId="0" applyNumberFormat="1" applyFont="1" applyBorder="1" applyAlignment="1">
      <alignment horizontal="right" vertical="center" wrapText="1"/>
    </xf>
    <xf numFmtId="0" fontId="130" fillId="0" borderId="7" xfId="0" applyFont="1" applyBorder="1" applyAlignment="1">
      <alignment horizontal="left" vertical="center" wrapText="1"/>
    </xf>
    <xf numFmtId="0" fontId="125" fillId="0" borderId="0" xfId="0" applyFont="1" applyAlignment="1">
      <alignment horizontal="left" vertical="center" wrapText="1"/>
    </xf>
    <xf numFmtId="0" fontId="84" fillId="0" borderId="0" xfId="0" applyFont="1"/>
    <xf numFmtId="0" fontId="84" fillId="0" borderId="0" xfId="0" applyFont="1" applyAlignment="1">
      <alignment horizontal="right"/>
    </xf>
    <xf numFmtId="4" fontId="84" fillId="0" borderId="0" xfId="0" applyNumberFormat="1" applyFont="1"/>
    <xf numFmtId="0" fontId="84" fillId="0" borderId="0" xfId="0" applyFont="1" applyFill="1" applyBorder="1"/>
    <xf numFmtId="0" fontId="84" fillId="0" borderId="0" xfId="0" applyFont="1" applyAlignment="1">
      <alignment horizontal="left" vertical="center" wrapText="1"/>
    </xf>
    <xf numFmtId="0" fontId="132" fillId="0" borderId="0" xfId="0" applyFont="1" applyAlignment="1">
      <alignment horizontal="right" vertical="center" wrapText="1"/>
    </xf>
    <xf numFmtId="0" fontId="133" fillId="0" borderId="0" xfId="0" applyFont="1" applyAlignment="1">
      <alignment horizontal="right" vertical="center" wrapText="1"/>
    </xf>
    <xf numFmtId="0" fontId="147" fillId="0" borderId="0" xfId="0" applyFont="1" applyAlignment="1">
      <alignment horizontal="right" vertical="center" wrapText="1"/>
    </xf>
    <xf numFmtId="0" fontId="83" fillId="0" borderId="0" xfId="0" applyFont="1"/>
    <xf numFmtId="0" fontId="147" fillId="0" borderId="7" xfId="0" applyFont="1" applyBorder="1" applyAlignment="1">
      <alignment horizontal="right" vertical="center" wrapText="1"/>
    </xf>
    <xf numFmtId="166" fontId="84" fillId="0" borderId="0" xfId="0" applyNumberFormat="1" applyFont="1"/>
    <xf numFmtId="167" fontId="130" fillId="0" borderId="0" xfId="0" applyNumberFormat="1" applyFont="1" applyAlignment="1">
      <alignment horizontal="right" vertical="center" wrapText="1"/>
    </xf>
    <xf numFmtId="0" fontId="82" fillId="0" borderId="0" xfId="0" applyFont="1"/>
    <xf numFmtId="0" fontId="82" fillId="0" borderId="0" xfId="0" applyFont="1" applyAlignment="1">
      <alignment horizontal="right"/>
    </xf>
    <xf numFmtId="0" fontId="82" fillId="0" borderId="0" xfId="0" quotePrefix="1" applyFont="1" applyAlignment="1">
      <alignment horizontal="right"/>
    </xf>
    <xf numFmtId="0" fontId="147" fillId="0" borderId="0" xfId="0" applyFont="1" applyBorder="1" applyAlignment="1">
      <alignment horizontal="right" vertical="center" wrapText="1"/>
    </xf>
    <xf numFmtId="0" fontId="81" fillId="0" borderId="0" xfId="0" applyFont="1"/>
    <xf numFmtId="0" fontId="81" fillId="0" borderId="0" xfId="0" quotePrefix="1" applyFont="1"/>
    <xf numFmtId="0" fontId="80" fillId="0" borderId="0" xfId="0" applyFont="1"/>
    <xf numFmtId="0" fontId="80" fillId="0" borderId="3" xfId="0" applyFont="1" applyBorder="1" applyAlignment="1"/>
    <xf numFmtId="0" fontId="96" fillId="9" borderId="5" xfId="0" applyFont="1" applyFill="1" applyBorder="1"/>
    <xf numFmtId="0" fontId="120" fillId="9" borderId="4" xfId="0" applyFont="1" applyFill="1" applyBorder="1" applyAlignment="1">
      <alignment horizontal="right"/>
    </xf>
    <xf numFmtId="0" fontId="134" fillId="0" borderId="0" xfId="0" applyFont="1" applyBorder="1" applyAlignment="1">
      <alignment vertical="center"/>
    </xf>
    <xf numFmtId="0" fontId="79" fillId="0" borderId="0" xfId="0" applyFont="1" applyAlignment="1">
      <alignment horizontal="right"/>
    </xf>
    <xf numFmtId="0" fontId="78" fillId="0" borderId="0" xfId="0" applyFont="1" applyAlignment="1">
      <alignment horizontal="right"/>
    </xf>
    <xf numFmtId="4" fontId="96" fillId="0" borderId="0" xfId="0" applyNumberFormat="1" applyFont="1"/>
    <xf numFmtId="0" fontId="77" fillId="0" borderId="0" xfId="0" applyFont="1" applyAlignment="1">
      <alignment horizontal="right"/>
    </xf>
    <xf numFmtId="0" fontId="77" fillId="0" borderId="0" xfId="0" quotePrefix="1" applyFont="1" applyAlignment="1">
      <alignment horizontal="right"/>
    </xf>
    <xf numFmtId="165" fontId="84" fillId="0" borderId="0" xfId="0" applyNumberFormat="1" applyFont="1"/>
    <xf numFmtId="0" fontId="96" fillId="0" borderId="0" xfId="0" applyFont="1" applyProtection="1">
      <protection locked="0"/>
    </xf>
    <xf numFmtId="0" fontId="76" fillId="0" borderId="0" xfId="0" applyFont="1"/>
    <xf numFmtId="0" fontId="76" fillId="9" borderId="7" xfId="0" applyFont="1" applyFill="1" applyBorder="1"/>
    <xf numFmtId="0" fontId="96" fillId="9" borderId="7" xfId="0" applyFont="1" applyFill="1" applyBorder="1"/>
    <xf numFmtId="0" fontId="96" fillId="9" borderId="3" xfId="0" applyFont="1" applyFill="1" applyBorder="1"/>
    <xf numFmtId="164" fontId="96" fillId="10" borderId="6" xfId="0" applyNumberFormat="1" applyFont="1" applyFill="1" applyBorder="1" applyProtection="1">
      <protection locked="0"/>
    </xf>
    <xf numFmtId="3" fontId="76" fillId="10" borderId="6" xfId="0" applyNumberFormat="1" applyFont="1" applyFill="1" applyBorder="1" applyProtection="1">
      <protection locked="0"/>
    </xf>
    <xf numFmtId="0" fontId="96" fillId="14" borderId="6" xfId="0" applyFont="1" applyFill="1" applyBorder="1"/>
    <xf numFmtId="0" fontId="84" fillId="14" borderId="6" xfId="0" applyFont="1" applyFill="1" applyBorder="1"/>
    <xf numFmtId="0" fontId="76" fillId="0" borderId="0" xfId="0" applyFont="1" applyAlignment="1">
      <alignment horizontal="right"/>
    </xf>
    <xf numFmtId="165" fontId="130" fillId="14" borderId="6" xfId="0" applyNumberFormat="1" applyFont="1" applyFill="1" applyBorder="1" applyProtection="1"/>
    <xf numFmtId="0" fontId="75" fillId="0" borderId="0" xfId="0" applyFont="1"/>
    <xf numFmtId="0" fontId="74" fillId="0" borderId="0" xfId="0" applyFont="1" applyAlignment="1">
      <alignment horizontal="right"/>
    </xf>
    <xf numFmtId="0" fontId="73" fillId="0" borderId="0" xfId="0" applyFont="1"/>
    <xf numFmtId="0" fontId="84" fillId="14" borderId="6" xfId="0" applyNumberFormat="1" applyFont="1" applyFill="1" applyBorder="1"/>
    <xf numFmtId="0" fontId="72" fillId="0" borderId="0" xfId="0" applyFont="1" applyAlignment="1">
      <alignment horizontal="right"/>
    </xf>
    <xf numFmtId="0" fontId="71" fillId="0" borderId="0" xfId="0" quotePrefix="1" applyFont="1" applyAlignment="1"/>
    <xf numFmtId="0" fontId="130" fillId="0" borderId="0" xfId="0" applyFont="1" applyFill="1"/>
    <xf numFmtId="165" fontId="130" fillId="0" borderId="0" xfId="0" applyNumberFormat="1" applyFont="1" applyFill="1" applyProtection="1"/>
    <xf numFmtId="0" fontId="130" fillId="0" borderId="4" xfId="0" applyFont="1" applyFill="1" applyBorder="1" applyAlignment="1">
      <alignment horizontal="right"/>
    </xf>
    <xf numFmtId="0" fontId="130" fillId="0" borderId="0" xfId="0" applyFont="1" applyFill="1" applyBorder="1"/>
    <xf numFmtId="0" fontId="130" fillId="0" borderId="7" xfId="0" applyFont="1" applyFill="1" applyBorder="1"/>
    <xf numFmtId="0" fontId="130" fillId="0" borderId="0" xfId="0" applyFont="1" applyBorder="1" applyProtection="1">
      <protection locked="0"/>
    </xf>
    <xf numFmtId="0" fontId="69" fillId="9" borderId="11" xfId="0" applyFont="1" applyFill="1" applyBorder="1"/>
    <xf numFmtId="168" fontId="130" fillId="0" borderId="0" xfId="0" applyNumberFormat="1" applyFont="1" applyFill="1" applyBorder="1" applyAlignment="1">
      <alignment horizontal="left"/>
    </xf>
    <xf numFmtId="0" fontId="96" fillId="0" borderId="0" xfId="0" applyNumberFormat="1" applyFont="1" applyFill="1"/>
    <xf numFmtId="0" fontId="70" fillId="0" borderId="0" xfId="0" applyNumberFormat="1" applyFont="1" applyFill="1"/>
    <xf numFmtId="0" fontId="70" fillId="0" borderId="0" xfId="0" applyNumberFormat="1" applyFont="1" applyFill="1" applyAlignment="1">
      <alignment horizontal="right"/>
    </xf>
    <xf numFmtId="0" fontId="68" fillId="0" borderId="0" xfId="0" applyNumberFormat="1" applyFont="1" applyFill="1" applyAlignment="1">
      <alignment horizontal="right"/>
    </xf>
    <xf numFmtId="0" fontId="120" fillId="0" borderId="0" xfId="0" applyNumberFormat="1" applyFont="1" applyFill="1"/>
    <xf numFmtId="0" fontId="130" fillId="0" borderId="0" xfId="0" applyNumberFormat="1" applyFont="1" applyFill="1" applyAlignment="1"/>
    <xf numFmtId="0" fontId="68" fillId="0" borderId="0" xfId="0" applyNumberFormat="1" applyFont="1" applyFill="1"/>
    <xf numFmtId="0" fontId="67" fillId="0" borderId="0" xfId="0" applyFont="1"/>
    <xf numFmtId="0" fontId="67" fillId="0" borderId="0" xfId="0" applyFont="1" applyFill="1"/>
    <xf numFmtId="0" fontId="130" fillId="0" borderId="19" xfId="0" applyFont="1" applyFill="1" applyBorder="1"/>
    <xf numFmtId="0" fontId="130" fillId="0" borderId="3" xfId="0" applyFont="1" applyFill="1" applyBorder="1" applyAlignment="1">
      <alignment horizontal="right"/>
    </xf>
    <xf numFmtId="0" fontId="66" fillId="0" borderId="0" xfId="0" applyFont="1"/>
    <xf numFmtId="0" fontId="125" fillId="9" borderId="4" xfId="0" applyFont="1" applyFill="1" applyBorder="1" applyAlignment="1" applyProtection="1">
      <alignment horizontal="right"/>
    </xf>
    <xf numFmtId="0" fontId="125" fillId="9" borderId="3" xfId="0" quotePrefix="1" applyFont="1" applyFill="1" applyBorder="1"/>
    <xf numFmtId="0" fontId="120" fillId="9" borderId="3" xfId="0" quotePrefix="1" applyFont="1" applyFill="1" applyBorder="1"/>
    <xf numFmtId="0" fontId="65" fillId="0" borderId="0" xfId="0" applyFont="1"/>
    <xf numFmtId="168" fontId="130" fillId="9" borderId="16" xfId="0" applyNumberFormat="1" applyFont="1" applyFill="1" applyBorder="1" applyAlignment="1">
      <alignment horizontal="center"/>
    </xf>
    <xf numFmtId="168" fontId="148" fillId="9" borderId="14" xfId="0" applyNumberFormat="1" applyFont="1" applyFill="1" applyBorder="1" applyAlignment="1">
      <alignment horizontal="center"/>
    </xf>
    <xf numFmtId="168" fontId="148" fillId="9" borderId="4" xfId="0" applyNumberFormat="1" applyFont="1" applyFill="1" applyBorder="1" applyAlignment="1">
      <alignment horizontal="center"/>
    </xf>
    <xf numFmtId="0" fontId="64" fillId="0" borderId="0" xfId="0" applyFont="1"/>
    <xf numFmtId="0" fontId="67" fillId="0" borderId="0" xfId="0" applyFont="1" applyProtection="1"/>
    <xf numFmtId="0" fontId="128" fillId="0" borderId="0" xfId="15" applyFont="1"/>
    <xf numFmtId="0" fontId="63" fillId="0" borderId="0" xfId="0" applyFont="1" applyProtection="1"/>
    <xf numFmtId="0" fontId="63" fillId="0" borderId="0" xfId="0" applyFont="1" applyAlignment="1" applyProtection="1"/>
    <xf numFmtId="0" fontId="63" fillId="0" borderId="0" xfId="0" applyFont="1" applyFill="1" applyBorder="1" applyAlignment="1" applyProtection="1">
      <alignment horizontal="left"/>
    </xf>
    <xf numFmtId="0" fontId="128" fillId="0" borderId="0" xfId="15" applyFont="1" applyAlignment="1">
      <alignment horizontal="left"/>
    </xf>
    <xf numFmtId="0" fontId="62" fillId="0" borderId="0" xfId="0" applyFont="1" applyAlignment="1" applyProtection="1">
      <alignment horizontal="left"/>
    </xf>
    <xf numFmtId="0" fontId="120" fillId="23" borderId="0" xfId="0" applyFont="1" applyFill="1" applyBorder="1" applyAlignment="1" applyProtection="1"/>
    <xf numFmtId="0" fontId="101" fillId="0" borderId="0" xfId="0" applyFont="1" applyFill="1"/>
    <xf numFmtId="0" fontId="130" fillId="18" borderId="0" xfId="0" applyFont="1" applyFill="1" applyAlignment="1" applyProtection="1"/>
    <xf numFmtId="0" fontId="120" fillId="14" borderId="2" xfId="0" applyNumberFormat="1" applyFont="1" applyFill="1" applyBorder="1" applyAlignment="1" applyProtection="1">
      <alignment vertical="center"/>
    </xf>
    <xf numFmtId="0" fontId="122" fillId="0" borderId="0" xfId="0" applyFont="1" applyFill="1" applyAlignment="1" applyProtection="1"/>
    <xf numFmtId="0" fontId="130" fillId="0" borderId="0" xfId="0" applyFont="1" applyFill="1" applyAlignment="1" applyProtection="1">
      <alignment vertical="center"/>
    </xf>
    <xf numFmtId="0" fontId="130" fillId="0" borderId="0" xfId="0" applyFont="1" applyFill="1" applyAlignment="1" applyProtection="1"/>
    <xf numFmtId="0" fontId="125" fillId="0" borderId="0" xfId="0" applyFont="1" applyFill="1" applyBorder="1" applyAlignment="1" applyProtection="1"/>
    <xf numFmtId="0" fontId="120" fillId="0" borderId="0" xfId="0" applyFont="1" applyFill="1" applyBorder="1" applyAlignment="1" applyProtection="1">
      <alignment horizontal="center"/>
    </xf>
    <xf numFmtId="0" fontId="120" fillId="9" borderId="5" xfId="0" applyFont="1" applyFill="1" applyBorder="1" applyAlignment="1" applyProtection="1"/>
    <xf numFmtId="0" fontId="120" fillId="0" borderId="4" xfId="0" applyFont="1" applyFill="1" applyBorder="1" applyAlignment="1" applyProtection="1"/>
    <xf numFmtId="0" fontId="120" fillId="0" borderId="4" xfId="0" applyFont="1" applyBorder="1" applyAlignment="1" applyProtection="1"/>
    <xf numFmtId="0" fontId="132" fillId="0" borderId="0" xfId="0" applyFont="1" applyBorder="1" applyAlignment="1" applyProtection="1"/>
    <xf numFmtId="0" fontId="101" fillId="0" borderId="7" xfId="0" applyFont="1" applyBorder="1"/>
    <xf numFmtId="165" fontId="130" fillId="0" borderId="0" xfId="0" applyNumberFormat="1" applyFont="1" applyFill="1" applyBorder="1" applyAlignment="1" applyProtection="1">
      <alignment horizontal="left"/>
    </xf>
    <xf numFmtId="0" fontId="120" fillId="0" borderId="11" xfId="0" applyFont="1" applyFill="1" applyBorder="1" applyProtection="1"/>
    <xf numFmtId="0" fontId="125" fillId="0" borderId="11" xfId="0" applyNumberFormat="1" applyFont="1" applyFill="1" applyBorder="1" applyAlignment="1" applyProtection="1"/>
    <xf numFmtId="0" fontId="120" fillId="9" borderId="4" xfId="0" applyFont="1" applyFill="1" applyBorder="1" applyAlignment="1" applyProtection="1"/>
    <xf numFmtId="0" fontId="120" fillId="9" borderId="3" xfId="0" applyFont="1" applyFill="1" applyBorder="1" applyAlignment="1" applyProtection="1"/>
    <xf numFmtId="0" fontId="122" fillId="9" borderId="11" xfId="0" applyFont="1" applyFill="1" applyBorder="1" applyAlignment="1" applyProtection="1"/>
    <xf numFmtId="0" fontId="122" fillId="0" borderId="11" xfId="0" applyFont="1" applyBorder="1" applyAlignment="1" applyProtection="1"/>
    <xf numFmtId="0" fontId="122" fillId="9" borderId="3" xfId="0" applyFont="1" applyFill="1" applyBorder="1" applyAlignment="1" applyProtection="1"/>
    <xf numFmtId="0" fontId="122" fillId="9" borderId="24" xfId="0" applyFont="1" applyFill="1" applyBorder="1" applyAlignment="1" applyProtection="1"/>
    <xf numFmtId="0" fontId="122" fillId="0" borderId="24" xfId="0" applyFont="1" applyBorder="1" applyAlignment="1" applyProtection="1"/>
    <xf numFmtId="0" fontId="120" fillId="0" borderId="5" xfId="0" applyNumberFormat="1" applyFont="1" applyBorder="1" applyAlignment="1" applyProtection="1"/>
    <xf numFmtId="0" fontId="120" fillId="0" borderId="3" xfId="0" applyNumberFormat="1" applyFont="1" applyBorder="1" applyAlignment="1" applyProtection="1"/>
    <xf numFmtId="0" fontId="120" fillId="0" borderId="13" xfId="0" applyNumberFormat="1" applyFont="1" applyBorder="1" applyAlignment="1" applyProtection="1"/>
    <xf numFmtId="0" fontId="124" fillId="0" borderId="23" xfId="0" applyNumberFormat="1" applyFont="1" applyBorder="1" applyAlignment="1" applyProtection="1"/>
    <xf numFmtId="0" fontId="124" fillId="0" borderId="5" xfId="0" applyNumberFormat="1" applyFont="1" applyBorder="1" applyAlignment="1" applyProtection="1"/>
    <xf numFmtId="0" fontId="120" fillId="9" borderId="0" xfId="0" applyFont="1" applyFill="1" applyAlignment="1" applyProtection="1">
      <alignment horizontal="right"/>
    </xf>
    <xf numFmtId="0" fontId="120" fillId="9" borderId="4" xfId="0" applyFont="1" applyFill="1" applyBorder="1" applyAlignment="1" applyProtection="1">
      <alignment horizontal="right"/>
    </xf>
    <xf numFmtId="0" fontId="129" fillId="0" borderId="6" xfId="0" applyFont="1" applyBorder="1" applyAlignment="1" applyProtection="1"/>
    <xf numFmtId="0" fontId="129" fillId="0" borderId="7" xfId="0" applyFont="1" applyBorder="1" applyAlignment="1" applyProtection="1"/>
    <xf numFmtId="0" fontId="61" fillId="0" borderId="0" xfId="0" applyFont="1" applyAlignment="1" applyProtection="1">
      <alignment horizontal="left" vertical="top" wrapText="1"/>
    </xf>
    <xf numFmtId="0" fontId="60" fillId="0" borderId="0" xfId="0" applyFont="1" applyAlignment="1" applyProtection="1">
      <alignment horizontal="left" vertical="top" wrapText="1"/>
    </xf>
    <xf numFmtId="0" fontId="60" fillId="0" borderId="0" xfId="0" applyFont="1" applyBorder="1" applyAlignment="1" applyProtection="1"/>
    <xf numFmtId="0" fontId="150" fillId="0" borderId="0" xfId="0" applyFont="1" applyFill="1" applyBorder="1" applyAlignment="1" applyProtection="1">
      <alignment horizontal="left"/>
    </xf>
    <xf numFmtId="0" fontId="130" fillId="0" borderId="26" xfId="0" applyFont="1" applyFill="1" applyBorder="1" applyAlignment="1" applyProtection="1"/>
    <xf numFmtId="2" fontId="122" fillId="0" borderId="0" xfId="0" applyNumberFormat="1" applyFont="1" applyFill="1" applyBorder="1" applyAlignment="1" applyProtection="1">
      <alignment vertical="top" wrapText="1"/>
    </xf>
    <xf numFmtId="0" fontId="120" fillId="9" borderId="6" xfId="0" applyFont="1" applyFill="1" applyBorder="1" applyAlignment="1" applyProtection="1"/>
    <xf numFmtId="0" fontId="120" fillId="9" borderId="0" xfId="0" applyFont="1" applyFill="1" applyAlignment="1" applyProtection="1"/>
    <xf numFmtId="0" fontId="101" fillId="9" borderId="0" xfId="0" applyFont="1" applyFill="1" applyAlignment="1" applyProtection="1"/>
    <xf numFmtId="0" fontId="120" fillId="17" borderId="0" xfId="0" applyFont="1" applyFill="1" applyAlignment="1" applyProtection="1"/>
    <xf numFmtId="0" fontId="101" fillId="17" borderId="0" xfId="0" applyFont="1" applyFill="1" applyAlignment="1" applyProtection="1"/>
    <xf numFmtId="2" fontId="130" fillId="0" borderId="25" xfId="0" applyNumberFormat="1" applyFont="1" applyFill="1" applyBorder="1" applyAlignment="1" applyProtection="1"/>
    <xf numFmtId="2" fontId="130" fillId="19" borderId="26" xfId="0" applyNumberFormat="1" applyFont="1" applyFill="1" applyBorder="1" applyAlignment="1" applyProtection="1"/>
    <xf numFmtId="2" fontId="130" fillId="19" borderId="25" xfId="0" applyNumberFormat="1" applyFont="1" applyFill="1" applyBorder="1" applyAlignment="1" applyProtection="1"/>
    <xf numFmtId="0" fontId="120" fillId="0" borderId="26" xfId="0" applyFont="1" applyFill="1" applyBorder="1" applyAlignment="1" applyProtection="1"/>
    <xf numFmtId="0" fontId="59" fillId="0" borderId="0" xfId="0" applyFont="1" applyAlignment="1" applyProtection="1">
      <alignment horizontal="left" vertical="top" wrapText="1"/>
    </xf>
    <xf numFmtId="0" fontId="59" fillId="0" borderId="0" xfId="0" applyFont="1" applyAlignment="1" applyProtection="1"/>
    <xf numFmtId="0" fontId="59" fillId="17" borderId="0" xfId="0" applyFont="1" applyFill="1" applyAlignment="1" applyProtection="1"/>
    <xf numFmtId="0" fontId="59" fillId="0" borderId="0" xfId="0" applyFont="1" applyFill="1" applyAlignment="1" applyProtection="1">
      <alignment horizontal="left" vertical="top" wrapText="1"/>
    </xf>
    <xf numFmtId="0" fontId="59" fillId="0" borderId="0" xfId="0" applyFont="1" applyFill="1" applyAlignment="1" applyProtection="1"/>
    <xf numFmtId="0" fontId="59" fillId="9" borderId="0" xfId="0" applyFont="1" applyFill="1" applyAlignment="1" applyProtection="1"/>
    <xf numFmtId="0" fontId="129" fillId="0" borderId="34" xfId="0" applyFont="1" applyBorder="1" applyAlignment="1" applyProtection="1"/>
    <xf numFmtId="0" fontId="56" fillId="0" borderId="0" xfId="0" applyFont="1" applyAlignment="1" applyProtection="1"/>
    <xf numFmtId="0" fontId="57" fillId="0" borderId="0" xfId="0" applyFont="1" applyBorder="1" applyAlignment="1" applyProtection="1">
      <alignment vertical="top" wrapText="1"/>
    </xf>
    <xf numFmtId="0" fontId="58" fillId="0" borderId="0" xfId="0" applyFont="1" applyBorder="1" applyAlignment="1" applyProtection="1">
      <alignment vertical="top" wrapText="1"/>
    </xf>
    <xf numFmtId="0" fontId="124" fillId="13" borderId="2" xfId="0" applyNumberFormat="1" applyFont="1" applyFill="1" applyBorder="1" applyAlignment="1" applyProtection="1">
      <alignment horizontal="right" vertical="center"/>
    </xf>
    <xf numFmtId="0" fontId="129" fillId="0" borderId="35" xfId="0" applyFont="1" applyBorder="1" applyAlignment="1" applyProtection="1"/>
    <xf numFmtId="0" fontId="61" fillId="0" borderId="0" xfId="0" applyFont="1" applyAlignment="1" applyProtection="1">
      <alignment horizontal="left" vertical="top" wrapText="1"/>
    </xf>
    <xf numFmtId="0" fontId="51" fillId="0" borderId="0" xfId="0" applyFont="1" applyAlignment="1" applyProtection="1">
      <alignment vertical="top" wrapText="1"/>
    </xf>
    <xf numFmtId="0" fontId="51" fillId="17" borderId="0" xfId="0" applyFont="1" applyFill="1" applyAlignment="1" applyProtection="1">
      <alignment vertical="top" wrapText="1"/>
    </xf>
    <xf numFmtId="0" fontId="120" fillId="17" borderId="0" xfId="0" applyFont="1" applyFill="1" applyAlignment="1" applyProtection="1">
      <alignment vertical="top" wrapText="1"/>
    </xf>
    <xf numFmtId="0" fontId="101" fillId="17" borderId="0" xfId="0" applyFont="1" applyFill="1" applyAlignment="1" applyProtection="1">
      <alignment vertical="top" wrapText="1"/>
    </xf>
    <xf numFmtId="0" fontId="120" fillId="17" borderId="0" xfId="0" applyFont="1" applyFill="1" applyAlignment="1" applyProtection="1">
      <alignment vertical="top"/>
    </xf>
    <xf numFmtId="0" fontId="101" fillId="17" borderId="0" xfId="0" applyFont="1" applyFill="1" applyAlignment="1" applyProtection="1">
      <alignment vertical="top"/>
    </xf>
    <xf numFmtId="0" fontId="50" fillId="0" borderId="0" xfId="0" applyFont="1" applyBorder="1"/>
    <xf numFmtId="0" fontId="149" fillId="0" borderId="0" xfId="0" applyFont="1" applyFill="1" applyBorder="1" applyAlignment="1" applyProtection="1">
      <alignment horizontal="right"/>
    </xf>
    <xf numFmtId="0" fontId="130" fillId="10" borderId="29" xfId="0" applyFont="1" applyFill="1" applyBorder="1" applyAlignment="1" applyProtection="1"/>
    <xf numFmtId="0" fontId="61" fillId="17" borderId="0" xfId="0" applyFont="1" applyFill="1" applyAlignment="1" applyProtection="1">
      <alignment horizontal="left" vertical="top" wrapText="1"/>
    </xf>
    <xf numFmtId="0" fontId="101" fillId="9" borderId="0" xfId="0" applyNumberFormat="1" applyFont="1" applyFill="1" applyAlignment="1" applyProtection="1"/>
    <xf numFmtId="0" fontId="101" fillId="17" borderId="0" xfId="0" applyNumberFormat="1" applyFont="1" applyFill="1" applyAlignment="1" applyProtection="1"/>
    <xf numFmtId="0" fontId="101" fillId="24" borderId="0" xfId="0" applyNumberFormat="1" applyFont="1" applyFill="1" applyAlignment="1" applyProtection="1"/>
    <xf numFmtId="0" fontId="101" fillId="0" borderId="0" xfId="0" applyNumberFormat="1" applyFont="1"/>
    <xf numFmtId="0" fontId="48" fillId="0" borderId="0" xfId="0" applyFont="1" applyAlignment="1" applyProtection="1">
      <alignment vertical="top"/>
    </xf>
    <xf numFmtId="0" fontId="45" fillId="0" borderId="0" xfId="0" applyFont="1" applyAlignment="1" applyProtection="1"/>
    <xf numFmtId="0" fontId="120" fillId="0" borderId="6" xfId="0" applyFont="1" applyBorder="1" applyAlignment="1" applyProtection="1"/>
    <xf numFmtId="0" fontId="91" fillId="18" borderId="0" xfId="0" applyFont="1" applyFill="1"/>
    <xf numFmtId="0" fontId="88" fillId="18" borderId="0" xfId="0" applyFont="1" applyFill="1"/>
    <xf numFmtId="0" fontId="122" fillId="0" borderId="0" xfId="0" applyFont="1" applyFill="1" applyBorder="1" applyAlignment="1" applyProtection="1"/>
    <xf numFmtId="1" fontId="130" fillId="10" borderId="30" xfId="0" applyNumberFormat="1" applyFont="1" applyFill="1" applyBorder="1" applyAlignment="1" applyProtection="1">
      <protection locked="0"/>
    </xf>
    <xf numFmtId="0" fontId="42" fillId="0" borderId="0" xfId="0" applyFont="1" applyAlignment="1" applyProtection="1">
      <alignment vertical="center"/>
    </xf>
    <xf numFmtId="0" fontId="130" fillId="0" borderId="38" xfId="0" quotePrefix="1" applyFont="1" applyFill="1" applyBorder="1" applyAlignment="1" applyProtection="1"/>
    <xf numFmtId="0" fontId="125" fillId="0" borderId="26" xfId="0" applyFont="1" applyFill="1" applyBorder="1" applyAlignment="1" applyProtection="1"/>
    <xf numFmtId="167" fontId="130" fillId="10" borderId="29" xfId="0" applyNumberFormat="1" applyFont="1" applyFill="1" applyBorder="1" applyAlignment="1" applyProtection="1">
      <protection locked="0"/>
    </xf>
    <xf numFmtId="4" fontId="130" fillId="0" borderId="31" xfId="0" applyNumberFormat="1" applyFont="1" applyFill="1" applyBorder="1" applyAlignment="1" applyProtection="1">
      <alignment horizontal="right"/>
    </xf>
    <xf numFmtId="0" fontId="128" fillId="0" borderId="0" xfId="15" applyFont="1" applyAlignment="1"/>
    <xf numFmtId="0" fontId="130" fillId="0" borderId="0" xfId="15" quotePrefix="1" applyFont="1"/>
    <xf numFmtId="0" fontId="41" fillId="18" borderId="0" xfId="0" applyNumberFormat="1" applyFont="1" applyFill="1" applyAlignment="1"/>
    <xf numFmtId="0" fontId="41" fillId="9" borderId="0" xfId="0" applyNumberFormat="1" applyFont="1" applyFill="1" applyAlignment="1" applyProtection="1"/>
    <xf numFmtId="0" fontId="41" fillId="18" borderId="0" xfId="0" applyNumberFormat="1" applyFont="1" applyFill="1" applyAlignment="1" applyProtection="1"/>
    <xf numFmtId="0" fontId="41" fillId="0" borderId="0" xfId="0" applyNumberFormat="1" applyFont="1" applyFill="1" applyAlignment="1" applyProtection="1"/>
    <xf numFmtId="0" fontId="41" fillId="18" borderId="0" xfId="0" applyNumberFormat="1" applyFont="1" applyFill="1" applyBorder="1" applyAlignment="1" applyProtection="1"/>
    <xf numFmtId="0" fontId="41" fillId="0" borderId="0" xfId="0" applyNumberFormat="1" applyFont="1" applyAlignment="1" applyProtection="1"/>
    <xf numFmtId="0" fontId="41" fillId="17" borderId="0" xfId="0" applyNumberFormat="1" applyFont="1" applyFill="1" applyAlignment="1" applyProtection="1"/>
    <xf numFmtId="0" fontId="41" fillId="24" borderId="0" xfId="0" applyNumberFormat="1" applyFont="1" applyFill="1" applyAlignment="1" applyProtection="1"/>
    <xf numFmtId="0" fontId="41" fillId="0" borderId="0" xfId="0" applyFont="1"/>
    <xf numFmtId="0" fontId="41" fillId="0" borderId="0" xfId="0" applyFont="1" applyAlignment="1" applyProtection="1"/>
    <xf numFmtId="0" fontId="41" fillId="18" borderId="0" xfId="0" applyFont="1" applyFill="1" applyBorder="1" applyAlignment="1" applyProtection="1"/>
    <xf numFmtId="0" fontId="41" fillId="18" borderId="0" xfId="0" applyFont="1" applyFill="1" applyAlignment="1" applyProtection="1"/>
    <xf numFmtId="0" fontId="41" fillId="0" borderId="0" xfId="0" applyFont="1" applyFill="1" applyAlignment="1" applyProtection="1"/>
    <xf numFmtId="0" fontId="41" fillId="0" borderId="0" xfId="0" applyFont="1" applyBorder="1" applyAlignment="1" applyProtection="1"/>
    <xf numFmtId="0" fontId="41" fillId="0" borderId="0" xfId="0" applyFont="1" applyBorder="1"/>
    <xf numFmtId="0" fontId="41" fillId="0" borderId="7" xfId="0" applyFont="1" applyBorder="1" applyAlignment="1" applyProtection="1"/>
    <xf numFmtId="0" fontId="41" fillId="0" borderId="7" xfId="0" applyFont="1" applyFill="1" applyBorder="1" applyAlignment="1" applyProtection="1"/>
    <xf numFmtId="0" fontId="41" fillId="0" borderId="26" xfId="0" applyFont="1" applyFill="1" applyBorder="1" applyAlignment="1" applyProtection="1"/>
    <xf numFmtId="0" fontId="41" fillId="0" borderId="26" xfId="0" applyFont="1" applyBorder="1" applyAlignment="1" applyProtection="1"/>
    <xf numFmtId="0" fontId="41" fillId="0" borderId="0" xfId="0" applyFont="1" applyBorder="1" applyAlignment="1" applyProtection="1">
      <alignment horizontal="right"/>
    </xf>
    <xf numFmtId="0" fontId="41" fillId="0" borderId="0" xfId="0" quotePrefix="1" applyFont="1"/>
    <xf numFmtId="0" fontId="41" fillId="0" borderId="0" xfId="0" applyFont="1" applyFill="1" applyBorder="1" applyAlignment="1" applyProtection="1"/>
    <xf numFmtId="0" fontId="41" fillId="0" borderId="35" xfId="0" applyFont="1" applyBorder="1" applyAlignment="1" applyProtection="1"/>
    <xf numFmtId="0" fontId="41" fillId="0" borderId="34" xfId="0" applyFont="1" applyBorder="1" applyAlignment="1" applyProtection="1"/>
    <xf numFmtId="0" fontId="41" fillId="9" borderId="3" xfId="0" applyFont="1" applyFill="1" applyBorder="1" applyAlignment="1" applyProtection="1"/>
    <xf numFmtId="0" fontId="41" fillId="9" borderId="5" xfId="0" applyFont="1" applyFill="1" applyBorder="1" applyAlignment="1" applyProtection="1"/>
    <xf numFmtId="0" fontId="41" fillId="9" borderId="5" xfId="0" applyFont="1" applyFill="1" applyBorder="1" applyAlignment="1" applyProtection="1">
      <alignment vertical="top"/>
    </xf>
    <xf numFmtId="0" fontId="41" fillId="0" borderId="6" xfId="0" applyFont="1" applyBorder="1" applyAlignment="1" applyProtection="1"/>
    <xf numFmtId="0" fontId="41" fillId="0" borderId="0" xfId="0" quotePrefix="1" applyFont="1" applyBorder="1" applyAlignment="1" applyProtection="1"/>
    <xf numFmtId="0" fontId="41" fillId="0" borderId="0" xfId="0" applyFont="1" applyAlignment="1"/>
    <xf numFmtId="0" fontId="139" fillId="0" borderId="0" xfId="15" applyFont="1"/>
    <xf numFmtId="2" fontId="41" fillId="10" borderId="32" xfId="0" applyNumberFormat="1" applyFont="1" applyFill="1" applyBorder="1" applyAlignment="1" applyProtection="1">
      <protection locked="0"/>
    </xf>
    <xf numFmtId="0" fontId="41" fillId="0" borderId="25" xfId="0" applyFont="1" applyFill="1" applyBorder="1" applyAlignment="1" applyProtection="1"/>
    <xf numFmtId="2" fontId="41" fillId="10" borderId="33" xfId="0" applyNumberFormat="1" applyFont="1" applyFill="1" applyBorder="1" applyAlignment="1" applyProtection="1">
      <protection locked="0"/>
    </xf>
    <xf numFmtId="0" fontId="41" fillId="0" borderId="38" xfId="0" applyFont="1" applyFill="1" applyBorder="1" applyAlignment="1" applyProtection="1"/>
    <xf numFmtId="2" fontId="41" fillId="10" borderId="39" xfId="0" applyNumberFormat="1" applyFont="1" applyFill="1" applyBorder="1" applyAlignment="1" applyProtection="1">
      <protection locked="0"/>
    </xf>
    <xf numFmtId="0" fontId="41" fillId="0" borderId="0" xfId="0" applyFont="1" applyFill="1"/>
    <xf numFmtId="0" fontId="41" fillId="0" borderId="0" xfId="0" applyFont="1" applyFill="1" applyBorder="1" applyProtection="1"/>
    <xf numFmtId="0" fontId="41" fillId="0" borderId="0" xfId="0" applyNumberFormat="1" applyFont="1" applyFill="1" applyBorder="1" applyAlignment="1" applyProtection="1"/>
    <xf numFmtId="0" fontId="41" fillId="9" borderId="8" xfId="0" applyFont="1" applyFill="1" applyBorder="1" applyAlignment="1" applyProtection="1"/>
    <xf numFmtId="0" fontId="41" fillId="9" borderId="26" xfId="0" applyFont="1" applyFill="1" applyBorder="1" applyAlignment="1" applyProtection="1"/>
    <xf numFmtId="2" fontId="41" fillId="0" borderId="0" xfId="0" applyNumberFormat="1" applyFont="1" applyFill="1" applyBorder="1" applyAlignment="1" applyProtection="1"/>
    <xf numFmtId="0" fontId="41" fillId="0" borderId="0" xfId="0" applyFont="1" applyFill="1" applyBorder="1" applyAlignment="1" applyProtection="1">
      <alignment horizontal="right"/>
    </xf>
    <xf numFmtId="0" fontId="41" fillId="0" borderId="31" xfId="0" applyFont="1" applyBorder="1" applyAlignment="1">
      <alignment horizontal="right"/>
    </xf>
    <xf numFmtId="4" fontId="41" fillId="10" borderId="29" xfId="0" applyNumberFormat="1" applyFont="1" applyFill="1" applyBorder="1" applyAlignment="1" applyProtection="1">
      <protection locked="0"/>
    </xf>
    <xf numFmtId="0" fontId="41" fillId="0" borderId="0" xfId="0" applyFont="1" applyBorder="1" applyAlignment="1" applyProtection="1">
      <alignment vertical="top" wrapText="1"/>
    </xf>
    <xf numFmtId="0" fontId="41" fillId="0" borderId="0" xfId="0" applyFont="1" applyBorder="1" applyAlignment="1" applyProtection="1">
      <alignment horizontal="left" vertical="top" wrapText="1"/>
    </xf>
    <xf numFmtId="3" fontId="41" fillId="10" borderId="29" xfId="0" applyNumberFormat="1" applyFont="1" applyFill="1" applyBorder="1" applyAlignment="1" applyProtection="1">
      <protection locked="0"/>
    </xf>
    <xf numFmtId="3" fontId="41" fillId="16" borderId="27" xfId="0" applyNumberFormat="1" applyFont="1" applyFill="1" applyBorder="1" applyAlignment="1" applyProtection="1"/>
    <xf numFmtId="0" fontId="41" fillId="0" borderId="0" xfId="0" applyNumberFormat="1" applyFont="1" applyFill="1" applyBorder="1" applyAlignment="1" applyProtection="1">
      <alignment horizontal="right"/>
    </xf>
    <xf numFmtId="165" fontId="41" fillId="10" borderId="29" xfId="0" applyNumberFormat="1" applyFont="1" applyFill="1" applyBorder="1" applyAlignment="1" applyProtection="1">
      <protection locked="0"/>
    </xf>
    <xf numFmtId="3" fontId="41" fillId="0" borderId="0" xfId="0" applyNumberFormat="1" applyFont="1" applyFill="1" applyBorder="1" applyAlignment="1" applyProtection="1"/>
    <xf numFmtId="165" fontId="41" fillId="10" borderId="30" xfId="0" applyNumberFormat="1" applyFont="1" applyFill="1" applyBorder="1" applyAlignment="1" applyProtection="1">
      <protection locked="0"/>
    </xf>
    <xf numFmtId="165" fontId="41" fillId="16" borderId="31" xfId="0" applyNumberFormat="1" applyFont="1" applyFill="1" applyBorder="1" applyAlignment="1" applyProtection="1"/>
    <xf numFmtId="166" fontId="41" fillId="0" borderId="0" xfId="0" applyNumberFormat="1" applyFont="1" applyFill="1" applyBorder="1" applyAlignment="1" applyProtection="1"/>
    <xf numFmtId="166" fontId="41" fillId="10" borderId="29" xfId="0" applyNumberFormat="1" applyFont="1" applyFill="1" applyBorder="1" applyAlignment="1" applyProtection="1">
      <protection locked="0"/>
    </xf>
    <xf numFmtId="4" fontId="41" fillId="10" borderId="27" xfId="0" applyNumberFormat="1" applyFont="1" applyFill="1" applyBorder="1" applyAlignment="1" applyProtection="1"/>
    <xf numFmtId="0" fontId="41" fillId="0" borderId="0" xfId="0" applyNumberFormat="1" applyFont="1" applyFill="1" applyAlignment="1" applyProtection="1">
      <alignment horizontal="right"/>
    </xf>
    <xf numFmtId="3" fontId="41" fillId="0" borderId="0" xfId="0" applyNumberFormat="1" applyFont="1" applyFill="1" applyAlignment="1" applyProtection="1"/>
    <xf numFmtId="4" fontId="41" fillId="0" borderId="0" xfId="0" applyNumberFormat="1" applyFont="1" applyAlignment="1" applyProtection="1"/>
    <xf numFmtId="10" fontId="41" fillId="0" borderId="0" xfId="0" applyNumberFormat="1" applyFont="1" applyAlignment="1" applyProtection="1"/>
    <xf numFmtId="0" fontId="41" fillId="0" borderId="0" xfId="0" applyFont="1" applyBorder="1" applyAlignment="1" applyProtection="1">
      <alignment vertical="center"/>
    </xf>
    <xf numFmtId="0" fontId="41" fillId="0" borderId="0" xfId="0" applyFont="1" applyAlignment="1" applyProtection="1">
      <alignment vertical="center"/>
    </xf>
    <xf numFmtId="0" fontId="41" fillId="0" borderId="0" xfId="0" applyFont="1" applyFill="1" applyAlignment="1" applyProtection="1">
      <alignment horizontal="right"/>
    </xf>
    <xf numFmtId="0" fontId="41" fillId="0" borderId="0" xfId="0" applyFont="1" applyFill="1" applyAlignment="1" applyProtection="1">
      <alignment wrapText="1"/>
    </xf>
    <xf numFmtId="0" fontId="41" fillId="0" borderId="0" xfId="0" applyFont="1" applyAlignment="1" applyProtection="1">
      <alignment wrapText="1"/>
    </xf>
    <xf numFmtId="0" fontId="41" fillId="0" borderId="3" xfId="0" applyFont="1" applyFill="1" applyBorder="1" applyAlignment="1" applyProtection="1"/>
    <xf numFmtId="0" fontId="41" fillId="10" borderId="19" xfId="0" applyFont="1" applyFill="1" applyBorder="1" applyAlignment="1" applyProtection="1"/>
    <xf numFmtId="0" fontId="41" fillId="10" borderId="3" xfId="0" applyFont="1" applyFill="1" applyBorder="1" applyAlignment="1" applyProtection="1"/>
    <xf numFmtId="0" fontId="41" fillId="0" borderId="0" xfId="0" applyFont="1" applyBorder="1" applyAlignment="1" applyProtection="1">
      <alignment wrapText="1"/>
    </xf>
    <xf numFmtId="0" fontId="41" fillId="0" borderId="5" xfId="0" applyFont="1" applyFill="1" applyBorder="1" applyAlignment="1" applyProtection="1"/>
    <xf numFmtId="0" fontId="41" fillId="10" borderId="17" xfId="0" applyFont="1" applyFill="1" applyBorder="1" applyAlignment="1" applyProtection="1"/>
    <xf numFmtId="0" fontId="41" fillId="10" borderId="5" xfId="0" applyFont="1" applyFill="1" applyBorder="1" applyAlignment="1" applyProtection="1"/>
    <xf numFmtId="0" fontId="41" fillId="9" borderId="7" xfId="0" applyFont="1" applyFill="1" applyBorder="1" applyAlignment="1" applyProtection="1"/>
    <xf numFmtId="165" fontId="41" fillId="0" borderId="4" xfId="0" applyNumberFormat="1" applyFont="1" applyFill="1" applyBorder="1" applyAlignment="1" applyProtection="1"/>
    <xf numFmtId="0" fontId="41" fillId="9" borderId="3" xfId="0" applyFont="1" applyFill="1" applyBorder="1" applyAlignment="1" applyProtection="1">
      <alignment horizontal="right"/>
    </xf>
    <xf numFmtId="0" fontId="41" fillId="9" borderId="4" xfId="0" applyFont="1" applyFill="1" applyBorder="1" applyAlignment="1" applyProtection="1"/>
    <xf numFmtId="0" fontId="41" fillId="18" borderId="3" xfId="0" applyNumberFormat="1" applyFont="1" applyFill="1" applyBorder="1" applyProtection="1"/>
    <xf numFmtId="0" fontId="41" fillId="18" borderId="7" xfId="0" applyNumberFormat="1" applyFont="1" applyFill="1" applyBorder="1" applyAlignment="1" applyProtection="1">
      <alignment horizontal="right"/>
    </xf>
    <xf numFmtId="0" fontId="41" fillId="18" borderId="3" xfId="0" applyNumberFormat="1" applyFont="1" applyFill="1" applyBorder="1" applyAlignment="1" applyProtection="1"/>
    <xf numFmtId="0" fontId="41" fillId="9" borderId="11" xfId="0" applyFont="1" applyFill="1" applyBorder="1" applyAlignment="1" applyProtection="1"/>
    <xf numFmtId="0" fontId="41" fillId="0" borderId="0" xfId="0" quotePrefix="1" applyFont="1" applyAlignment="1" applyProtection="1"/>
    <xf numFmtId="0" fontId="41" fillId="9" borderId="5" xfId="0" applyFont="1" applyFill="1" applyBorder="1" applyAlignment="1" applyProtection="1">
      <alignment horizontal="right"/>
    </xf>
    <xf numFmtId="0" fontId="41" fillId="0" borderId="4" xfId="0" applyFont="1" applyFill="1" applyBorder="1" applyAlignment="1" applyProtection="1"/>
    <xf numFmtId="0" fontId="41" fillId="9" borderId="4" xfId="0" applyFont="1" applyFill="1" applyBorder="1" applyAlignment="1" applyProtection="1">
      <alignment horizontal="right"/>
    </xf>
    <xf numFmtId="0" fontId="41" fillId="18" borderId="3" xfId="0" applyFont="1" applyFill="1" applyBorder="1" applyAlignment="1" applyProtection="1"/>
    <xf numFmtId="0" fontId="41" fillId="18" borderId="6" xfId="0" applyFont="1" applyFill="1" applyBorder="1" applyAlignment="1" applyProtection="1">
      <alignment vertical="center"/>
    </xf>
    <xf numFmtId="0" fontId="41" fillId="18" borderId="3" xfId="0" applyFont="1" applyFill="1" applyBorder="1" applyAlignment="1" applyProtection="1">
      <alignment vertical="center"/>
    </xf>
    <xf numFmtId="0" fontId="41" fillId="0" borderId="6" xfId="0" applyNumberFormat="1" applyFont="1" applyFill="1" applyBorder="1" applyAlignment="1" applyProtection="1"/>
    <xf numFmtId="0" fontId="41" fillId="0" borderId="5" xfId="0" applyFont="1" applyBorder="1" applyAlignment="1" applyProtection="1"/>
    <xf numFmtId="0" fontId="41" fillId="18" borderId="15" xfId="0" applyFont="1" applyFill="1" applyBorder="1" applyAlignment="1" applyProtection="1"/>
    <xf numFmtId="0" fontId="41" fillId="18" borderId="16" xfId="0" applyNumberFormat="1" applyFont="1" applyFill="1" applyBorder="1" applyAlignment="1" applyProtection="1"/>
    <xf numFmtId="0" fontId="41" fillId="18" borderId="15" xfId="0" applyNumberFormat="1" applyFont="1" applyFill="1" applyBorder="1" applyAlignment="1" applyProtection="1"/>
    <xf numFmtId="0" fontId="41" fillId="0" borderId="4" xfId="0" applyFont="1" applyFill="1" applyBorder="1" applyAlignment="1" applyProtection="1">
      <alignment horizontal="right"/>
    </xf>
    <xf numFmtId="0" fontId="41" fillId="15" borderId="6" xfId="0" applyFont="1" applyFill="1" applyBorder="1" applyAlignment="1" applyProtection="1"/>
    <xf numFmtId="0" fontId="41" fillId="9" borderId="11" xfId="0" applyFont="1" applyFill="1" applyBorder="1" applyAlignment="1" applyProtection="1">
      <alignment horizontal="right"/>
    </xf>
    <xf numFmtId="0" fontId="41" fillId="0" borderId="6" xfId="0" applyFont="1" applyFill="1" applyBorder="1" applyAlignment="1" applyProtection="1"/>
    <xf numFmtId="0" fontId="41" fillId="0" borderId="0" xfId="0" quotePrefix="1" applyFont="1" applyFill="1" applyBorder="1" applyAlignment="1" applyProtection="1"/>
    <xf numFmtId="0" fontId="41" fillId="0" borderId="0" xfId="0" applyFont="1" applyFill="1" applyBorder="1" applyAlignment="1" applyProtection="1">
      <alignment vertical="center"/>
    </xf>
    <xf numFmtId="0" fontId="41" fillId="0" borderId="6" xfId="0" applyFont="1" applyFill="1" applyBorder="1" applyAlignment="1" applyProtection="1">
      <alignment vertical="center"/>
    </xf>
    <xf numFmtId="0" fontId="41" fillId="9" borderId="5" xfId="0" quotePrefix="1" applyFont="1" applyFill="1" applyBorder="1" applyAlignment="1" applyProtection="1"/>
    <xf numFmtId="0" fontId="41" fillId="0" borderId="4" xfId="0" applyFont="1" applyBorder="1" applyAlignment="1" applyProtection="1"/>
    <xf numFmtId="0" fontId="41" fillId="18" borderId="5" xfId="0" applyFont="1" applyFill="1" applyBorder="1" applyAlignment="1" applyProtection="1"/>
    <xf numFmtId="0" fontId="41" fillId="18" borderId="6" xfId="0" applyFont="1" applyFill="1" applyBorder="1" applyAlignment="1" applyProtection="1"/>
    <xf numFmtId="0" fontId="41" fillId="18" borderId="8" xfId="0" applyFont="1" applyFill="1" applyBorder="1" applyAlignment="1" applyProtection="1">
      <alignment vertical="center"/>
    </xf>
    <xf numFmtId="0" fontId="41" fillId="18" borderId="8" xfId="0" applyFont="1" applyFill="1" applyBorder="1" applyAlignment="1" applyProtection="1"/>
    <xf numFmtId="0" fontId="41" fillId="18" borderId="13" xfId="0" applyNumberFormat="1" applyFont="1" applyFill="1" applyBorder="1" applyAlignment="1" applyProtection="1"/>
    <xf numFmtId="0" fontId="41" fillId="18" borderId="5" xfId="0" applyNumberFormat="1" applyFont="1" applyFill="1" applyBorder="1" applyAlignment="1" applyProtection="1"/>
    <xf numFmtId="0" fontId="41" fillId="18" borderId="5" xfId="0" applyFont="1" applyFill="1" applyBorder="1" applyAlignment="1" applyProtection="1">
      <alignment vertical="center"/>
    </xf>
    <xf numFmtId="0" fontId="41" fillId="18" borderId="17" xfId="0" applyFont="1" applyFill="1" applyBorder="1" applyAlignment="1" applyProtection="1">
      <alignment vertical="center"/>
    </xf>
    <xf numFmtId="0" fontId="41" fillId="0" borderId="8" xfId="0" applyFont="1" applyFill="1" applyBorder="1" applyAlignment="1" applyProtection="1">
      <alignment vertical="center"/>
    </xf>
    <xf numFmtId="0" fontId="41" fillId="18" borderId="13" xfId="0" applyFont="1" applyFill="1" applyBorder="1" applyAlignment="1" applyProtection="1">
      <alignment horizontal="left"/>
    </xf>
    <xf numFmtId="0" fontId="41" fillId="0" borderId="12" xfId="0" applyFont="1" applyBorder="1" applyAlignment="1" applyProtection="1"/>
    <xf numFmtId="0" fontId="41" fillId="18" borderId="12" xfId="0" applyFont="1" applyFill="1" applyBorder="1" applyProtection="1"/>
    <xf numFmtId="0" fontId="41" fillId="18" borderId="15" xfId="0" applyFont="1" applyFill="1" applyBorder="1" applyAlignment="1" applyProtection="1">
      <alignment horizontal="left"/>
    </xf>
    <xf numFmtId="0" fontId="41" fillId="9" borderId="7" xfId="0" applyFont="1" applyFill="1" applyBorder="1" applyProtection="1"/>
    <xf numFmtId="0" fontId="41" fillId="0" borderId="5" xfId="0" applyNumberFormat="1" applyFont="1" applyBorder="1" applyAlignment="1" applyProtection="1"/>
    <xf numFmtId="0" fontId="41" fillId="0" borderId="6" xfId="0" applyNumberFormat="1" applyFont="1" applyBorder="1" applyAlignment="1" applyProtection="1"/>
    <xf numFmtId="0" fontId="41" fillId="0" borderId="18" xfId="0" quotePrefix="1" applyNumberFormat="1" applyFont="1" applyBorder="1" applyAlignment="1" applyProtection="1">
      <alignment horizontal="right"/>
    </xf>
    <xf numFmtId="0" fontId="41" fillId="0" borderId="11" xfId="0" applyNumberFormat="1" applyFont="1" applyBorder="1" applyAlignment="1" applyProtection="1"/>
    <xf numFmtId="0" fontId="41" fillId="0" borderId="3" xfId="0" applyNumberFormat="1" applyFont="1" applyBorder="1" applyAlignment="1" applyProtection="1"/>
    <xf numFmtId="0" fontId="41" fillId="0" borderId="11" xfId="0" applyFont="1" applyBorder="1" applyAlignment="1" applyProtection="1"/>
    <xf numFmtId="0" fontId="41" fillId="18" borderId="19" xfId="0" applyFont="1" applyFill="1" applyBorder="1" applyProtection="1"/>
    <xf numFmtId="0" fontId="41" fillId="18" borderId="3" xfId="0" applyFont="1" applyFill="1" applyBorder="1" applyAlignment="1" applyProtection="1">
      <alignment horizontal="left"/>
    </xf>
    <xf numFmtId="0" fontId="41" fillId="21" borderId="5" xfId="0" applyFont="1" applyFill="1" applyBorder="1" applyProtection="1"/>
    <xf numFmtId="0" fontId="41" fillId="9" borderId="11" xfId="0" applyFont="1" applyFill="1" applyBorder="1" applyProtection="1"/>
    <xf numFmtId="0" fontId="41" fillId="0" borderId="8" xfId="0" applyFont="1" applyBorder="1" applyAlignment="1" applyProtection="1"/>
    <xf numFmtId="0" fontId="41" fillId="18" borderId="0" xfId="0" applyFont="1" applyFill="1"/>
    <xf numFmtId="0" fontId="41" fillId="18" borderId="0" xfId="0" applyFont="1" applyFill="1" applyAlignment="1" applyProtection="1">
      <alignment vertical="center"/>
    </xf>
    <xf numFmtId="0" fontId="41" fillId="0" borderId="0" xfId="0" applyFont="1" applyAlignment="1" applyProtection="1">
      <alignment horizontal="right"/>
    </xf>
    <xf numFmtId="0" fontId="41" fillId="15" borderId="6" xfId="0" applyFont="1" applyFill="1" applyBorder="1"/>
    <xf numFmtId="0" fontId="41" fillId="0" borderId="0" xfId="0" applyFont="1" applyFill="1" applyAlignment="1" applyProtection="1">
      <alignment vertical="center"/>
    </xf>
    <xf numFmtId="0" fontId="41" fillId="14" borderId="6" xfId="0" applyFont="1" applyFill="1" applyBorder="1" applyAlignment="1" applyProtection="1"/>
    <xf numFmtId="0" fontId="41" fillId="15" borderId="6" xfId="0" applyFont="1" applyFill="1" applyBorder="1" applyAlignment="1" applyProtection="1">
      <alignment vertical="center"/>
    </xf>
    <xf numFmtId="0" fontId="41" fillId="0" borderId="0" xfId="0" quotePrefix="1" applyFont="1" applyAlignment="1" applyProtection="1">
      <alignment horizontal="right" vertical="center"/>
    </xf>
    <xf numFmtId="0" fontId="41" fillId="14" borderId="6" xfId="0" applyFont="1" applyFill="1" applyBorder="1" applyAlignment="1" applyProtection="1">
      <alignment vertical="center"/>
    </xf>
    <xf numFmtId="0" fontId="41" fillId="0" borderId="0" xfId="0" applyFont="1" applyAlignment="1" applyProtection="1">
      <alignment horizontal="right" vertical="center"/>
    </xf>
    <xf numFmtId="0" fontId="41" fillId="0" borderId="0" xfId="0" quotePrefix="1" applyFont="1" applyAlignment="1" applyProtection="1">
      <alignment horizontal="right"/>
    </xf>
    <xf numFmtId="0" fontId="41" fillId="13" borderId="2" xfId="0" applyNumberFormat="1" applyFont="1" applyFill="1" applyBorder="1" applyAlignment="1" applyProtection="1">
      <alignment horizontal="right" vertical="center"/>
    </xf>
    <xf numFmtId="3" fontId="41" fillId="0" borderId="0" xfId="0" applyNumberFormat="1" applyFont="1" applyBorder="1" applyAlignment="1" applyProtection="1">
      <alignment vertical="center"/>
    </xf>
    <xf numFmtId="0" fontId="41" fillId="18" borderId="9" xfId="0" applyFont="1" applyFill="1" applyBorder="1" applyAlignment="1" applyProtection="1"/>
    <xf numFmtId="0" fontId="41" fillId="18" borderId="22" xfId="0" applyFont="1" applyFill="1" applyBorder="1" applyAlignment="1" applyProtection="1"/>
    <xf numFmtId="0" fontId="41" fillId="14" borderId="2" xfId="0" applyFont="1" applyFill="1" applyBorder="1" applyAlignment="1" applyProtection="1">
      <alignment vertical="center"/>
    </xf>
    <xf numFmtId="0" fontId="41" fillId="0" borderId="0" xfId="0" applyNumberFormat="1" applyFont="1" applyAlignment="1" applyProtection="1">
      <alignment vertical="center"/>
    </xf>
    <xf numFmtId="0" fontId="41" fillId="15" borderId="2" xfId="0" applyFont="1" applyFill="1" applyBorder="1" applyAlignment="1" applyProtection="1">
      <alignment vertical="center"/>
    </xf>
    <xf numFmtId="0" fontId="41" fillId="18" borderId="0" xfId="0" applyFont="1" applyFill="1" applyBorder="1" applyAlignment="1" applyProtection="1">
      <alignment vertical="center"/>
    </xf>
    <xf numFmtId="0" fontId="41" fillId="0" borderId="20" xfId="0" applyFont="1" applyBorder="1" applyAlignment="1" applyProtection="1"/>
    <xf numFmtId="0" fontId="41" fillId="0" borderId="0" xfId="0" quotePrefix="1" applyFont="1" applyBorder="1" applyAlignment="1" applyProtection="1">
      <alignment vertical="center"/>
    </xf>
    <xf numFmtId="4" fontId="41" fillId="0" borderId="0" xfId="0" applyNumberFormat="1" applyFont="1" applyFill="1" applyAlignment="1" applyProtection="1">
      <alignment vertical="center"/>
    </xf>
    <xf numFmtId="3" fontId="41" fillId="5" borderId="2" xfId="0" applyNumberFormat="1" applyFont="1" applyFill="1" applyBorder="1" applyAlignment="1" applyProtection="1">
      <alignment vertical="center"/>
    </xf>
    <xf numFmtId="0" fontId="41" fillId="0" borderId="0" xfId="0" applyFont="1" applyFill="1" applyAlignment="1" applyProtection="1">
      <alignment horizontal="right" vertical="center"/>
    </xf>
    <xf numFmtId="0" fontId="41" fillId="0" borderId="9" xfId="0" applyFont="1" applyFill="1" applyBorder="1" applyAlignment="1" applyProtection="1"/>
    <xf numFmtId="4" fontId="41" fillId="14" borderId="6" xfId="0" applyNumberFormat="1" applyFont="1" applyFill="1" applyBorder="1" applyAlignment="1" applyProtection="1">
      <alignment vertical="center"/>
    </xf>
    <xf numFmtId="4" fontId="41" fillId="0" borderId="0" xfId="0" applyNumberFormat="1" applyFont="1" applyFill="1" applyBorder="1" applyAlignment="1" applyProtection="1">
      <alignment vertical="center"/>
    </xf>
    <xf numFmtId="0" fontId="41" fillId="0" borderId="0" xfId="0" applyFont="1" applyAlignment="1" applyProtection="1">
      <alignment horizontal="left" vertical="center"/>
    </xf>
    <xf numFmtId="0" fontId="41" fillId="18" borderId="0" xfId="0" applyNumberFormat="1" applyFont="1" applyFill="1"/>
    <xf numFmtId="0" fontId="41" fillId="18" borderId="0" xfId="0" applyNumberFormat="1" applyFont="1" applyFill="1" applyAlignment="1" applyProtection="1">
      <alignment vertical="center"/>
    </xf>
    <xf numFmtId="0" fontId="41" fillId="0" borderId="0" xfId="0" applyNumberFormat="1" applyFont="1" applyFill="1" applyBorder="1" applyAlignment="1" applyProtection="1">
      <alignment vertical="center"/>
    </xf>
    <xf numFmtId="0" fontId="41" fillId="14" borderId="6" xfId="0" applyNumberFormat="1" applyFont="1" applyFill="1" applyBorder="1" applyAlignment="1" applyProtection="1">
      <alignment vertical="center"/>
    </xf>
    <xf numFmtId="0" fontId="41" fillId="0" borderId="0" xfId="0" applyNumberFormat="1" applyFont="1" applyFill="1" applyAlignment="1" applyProtection="1">
      <alignment vertical="center"/>
    </xf>
    <xf numFmtId="0" fontId="41" fillId="0" borderId="0" xfId="0" applyFont="1" applyAlignment="1" applyProtection="1">
      <alignment horizontal="left" vertical="center" wrapText="1"/>
    </xf>
    <xf numFmtId="0" fontId="41" fillId="0" borderId="0" xfId="0" applyFont="1" applyAlignment="1" applyProtection="1">
      <alignment vertical="center" wrapText="1"/>
    </xf>
    <xf numFmtId="0" fontId="41" fillId="18" borderId="0" xfId="0" applyFont="1" applyFill="1" applyProtection="1"/>
    <xf numFmtId="0" fontId="41" fillId="0" borderId="0" xfId="0" applyFont="1" applyProtection="1"/>
    <xf numFmtId="0" fontId="41" fillId="0" borderId="0" xfId="0" applyFont="1" applyAlignment="1" applyProtection="1">
      <alignment horizontal="left"/>
    </xf>
    <xf numFmtId="0" fontId="41" fillId="0" borderId="0" xfId="0" applyNumberFormat="1" applyFont="1" applyBorder="1" applyAlignment="1" applyProtection="1"/>
    <xf numFmtId="0" fontId="40" fillId="0" borderId="0" xfId="0" applyNumberFormat="1" applyFont="1" applyAlignment="1"/>
    <xf numFmtId="0" fontId="40" fillId="0" borderId="0" xfId="0" applyNumberFormat="1" applyFont="1" applyAlignment="1" applyProtection="1"/>
    <xf numFmtId="0" fontId="40" fillId="18" borderId="0" xfId="0" applyNumberFormat="1" applyFont="1" applyFill="1" applyBorder="1" applyAlignment="1" applyProtection="1"/>
    <xf numFmtId="0" fontId="40" fillId="18" borderId="0" xfId="0" applyNumberFormat="1" applyFont="1" applyFill="1" applyAlignment="1" applyProtection="1"/>
    <xf numFmtId="0" fontId="40" fillId="0" borderId="0" xfId="0" applyNumberFormat="1" applyFont="1" applyFill="1" applyAlignment="1" applyProtection="1"/>
    <xf numFmtId="0" fontId="138" fillId="0" borderId="0" xfId="0" applyNumberFormat="1" applyFont="1" applyAlignment="1" applyProtection="1"/>
    <xf numFmtId="0" fontId="39" fillId="9" borderId="17" xfId="0" applyFont="1" applyFill="1" applyBorder="1" applyAlignment="1" applyProtection="1">
      <alignment horizontal="center"/>
    </xf>
    <xf numFmtId="0" fontId="39" fillId="0" borderId="7" xfId="0" applyFont="1" applyBorder="1"/>
    <xf numFmtId="0" fontId="96" fillId="9" borderId="17" xfId="0" applyFont="1" applyFill="1" applyBorder="1" applyAlignment="1">
      <alignment horizontal="center"/>
    </xf>
    <xf numFmtId="2" fontId="38" fillId="10" borderId="6" xfId="0" applyNumberFormat="1" applyFont="1" applyFill="1" applyBorder="1" applyProtection="1">
      <protection locked="0"/>
    </xf>
    <xf numFmtId="168" fontId="96" fillId="9" borderId="5" xfId="0" applyNumberFormat="1" applyFont="1" applyFill="1" applyBorder="1" applyAlignment="1">
      <alignment horizontal="right"/>
    </xf>
    <xf numFmtId="0" fontId="122" fillId="22" borderId="7" xfId="0" applyFont="1" applyFill="1" applyBorder="1" applyAlignment="1" applyProtection="1">
      <alignment horizontal="right"/>
    </xf>
    <xf numFmtId="0" fontId="38" fillId="17" borderId="4" xfId="0" applyFont="1" applyFill="1" applyBorder="1" applyAlignment="1">
      <alignment horizontal="center"/>
    </xf>
    <xf numFmtId="0" fontId="122" fillId="22" borderId="3" xfId="0" applyFont="1" applyFill="1" applyBorder="1" applyAlignment="1" applyProtection="1">
      <alignment horizontal="right"/>
    </xf>
    <xf numFmtId="0" fontId="122" fillId="17" borderId="0" xfId="0" applyFont="1" applyFill="1" applyAlignment="1">
      <alignment horizontal="right"/>
    </xf>
    <xf numFmtId="0" fontId="122" fillId="17" borderId="4" xfId="0" applyFont="1" applyFill="1" applyBorder="1" applyAlignment="1">
      <alignment horizontal="right"/>
    </xf>
    <xf numFmtId="0" fontId="122" fillId="17" borderId="7" xfId="0" applyFont="1" applyFill="1" applyBorder="1" applyProtection="1"/>
    <xf numFmtId="0" fontId="122" fillId="17" borderId="3" xfId="0" applyFont="1" applyFill="1" applyBorder="1" applyAlignment="1" applyProtection="1">
      <alignment horizontal="left"/>
    </xf>
    <xf numFmtId="0" fontId="120" fillId="23" borderId="0" xfId="0" applyFont="1" applyFill="1"/>
    <xf numFmtId="0" fontId="96" fillId="18" borderId="0" xfId="0" applyFont="1" applyFill="1"/>
    <xf numFmtId="2" fontId="130" fillId="10" borderId="30" xfId="0" applyNumberFormat="1" applyFont="1" applyFill="1" applyBorder="1" applyAlignment="1" applyProtection="1">
      <protection locked="0"/>
    </xf>
    <xf numFmtId="0" fontId="37" fillId="9" borderId="3" xfId="0" applyFont="1" applyFill="1" applyBorder="1" applyAlignment="1" applyProtection="1"/>
    <xf numFmtId="0" fontId="37" fillId="9" borderId="5" xfId="0" applyFont="1" applyFill="1" applyBorder="1" applyAlignment="1" applyProtection="1"/>
    <xf numFmtId="0" fontId="36" fillId="0" borderId="5" xfId="0" applyFont="1" applyBorder="1" applyAlignment="1" applyProtection="1"/>
    <xf numFmtId="4" fontId="120" fillId="19" borderId="31" xfId="0" applyNumberFormat="1" applyFont="1" applyFill="1" applyBorder="1" applyAlignment="1" applyProtection="1">
      <alignment horizontal="right"/>
    </xf>
    <xf numFmtId="0" fontId="35" fillId="0" borderId="0" xfId="0" applyFont="1" applyAlignment="1"/>
    <xf numFmtId="0" fontId="34" fillId="9" borderId="3" xfId="0" applyFont="1" applyFill="1" applyBorder="1" applyAlignment="1" applyProtection="1"/>
    <xf numFmtId="0" fontId="157" fillId="19" borderId="0" xfId="0" applyFont="1" applyFill="1" applyBorder="1" applyAlignment="1" applyProtection="1">
      <alignment vertical="center"/>
    </xf>
    <xf numFmtId="0" fontId="122" fillId="9" borderId="38" xfId="0" applyFont="1" applyFill="1" applyBorder="1" applyAlignment="1" applyProtection="1"/>
    <xf numFmtId="0" fontId="134" fillId="0" borderId="28" xfId="0" applyFont="1" applyBorder="1" applyAlignment="1" applyProtection="1"/>
    <xf numFmtId="0" fontId="129" fillId="0" borderId="42" xfId="0" applyFont="1" applyFill="1" applyBorder="1" applyAlignment="1" applyProtection="1">
      <alignment horizontal="right"/>
    </xf>
    <xf numFmtId="0" fontId="129" fillId="0" borderId="30" xfId="0" applyFont="1" applyFill="1" applyBorder="1" applyAlignment="1" applyProtection="1">
      <alignment horizontal="right"/>
    </xf>
    <xf numFmtId="0" fontId="41" fillId="0" borderId="25" xfId="0" quotePrefix="1" applyFont="1" applyFill="1" applyBorder="1" applyAlignment="1" applyProtection="1"/>
    <xf numFmtId="165" fontId="41" fillId="10" borderId="27" xfId="0" applyNumberFormat="1" applyFont="1" applyFill="1" applyBorder="1" applyAlignment="1" applyProtection="1"/>
    <xf numFmtId="0" fontId="122" fillId="0" borderId="44" xfId="0" applyFont="1" applyFill="1" applyBorder="1" applyAlignment="1" applyProtection="1"/>
    <xf numFmtId="0" fontId="143" fillId="0" borderId="44" xfId="0" applyFont="1" applyFill="1" applyBorder="1" applyAlignment="1" applyProtection="1"/>
    <xf numFmtId="0" fontId="122" fillId="0" borderId="45" xfId="0" applyFont="1" applyFill="1" applyBorder="1" applyAlignment="1" applyProtection="1"/>
    <xf numFmtId="0" fontId="122" fillId="19" borderId="46" xfId="0" applyFont="1" applyFill="1" applyBorder="1" applyAlignment="1" applyProtection="1">
      <alignment horizontal="right"/>
    </xf>
    <xf numFmtId="2" fontId="125" fillId="19" borderId="38" xfId="0" applyNumberFormat="1" applyFont="1" applyFill="1" applyBorder="1" applyAlignment="1" applyProtection="1"/>
    <xf numFmtId="0" fontId="30" fillId="9" borderId="38" xfId="0" applyFont="1" applyFill="1" applyBorder="1" applyAlignment="1" applyProtection="1"/>
    <xf numFmtId="0" fontId="120" fillId="9" borderId="38" xfId="0" applyFont="1" applyFill="1" applyBorder="1" applyAlignment="1" applyProtection="1"/>
    <xf numFmtId="4" fontId="41" fillId="0" borderId="0" xfId="0" applyNumberFormat="1" applyFont="1" applyFill="1" applyAlignment="1" applyProtection="1"/>
    <xf numFmtId="0" fontId="120" fillId="9" borderId="48" xfId="0" applyFont="1" applyFill="1" applyBorder="1" applyAlignment="1" applyProtection="1"/>
    <xf numFmtId="0" fontId="41" fillId="9" borderId="49" xfId="0" applyFont="1" applyFill="1" applyBorder="1" applyAlignment="1" applyProtection="1"/>
    <xf numFmtId="0" fontId="41" fillId="19" borderId="49" xfId="0" applyFont="1" applyFill="1" applyBorder="1" applyAlignment="1" applyProtection="1"/>
    <xf numFmtId="0" fontId="41" fillId="9" borderId="50" xfId="0" applyFont="1" applyFill="1" applyBorder="1" applyAlignment="1" applyProtection="1"/>
    <xf numFmtId="0" fontId="41" fillId="9" borderId="51" xfId="0" applyFont="1" applyFill="1" applyBorder="1" applyAlignment="1" applyProtection="1"/>
    <xf numFmtId="4" fontId="120" fillId="19" borderId="36" xfId="0" applyNumberFormat="1" applyFont="1" applyFill="1" applyBorder="1" applyAlignment="1" applyProtection="1">
      <alignment horizontal="right"/>
    </xf>
    <xf numFmtId="0" fontId="29" fillId="9" borderId="49" xfId="0" applyFont="1" applyFill="1" applyBorder="1" applyAlignment="1" applyProtection="1"/>
    <xf numFmtId="0" fontId="124" fillId="9" borderId="49" xfId="0" applyFont="1" applyFill="1" applyBorder="1" applyAlignment="1" applyProtection="1"/>
    <xf numFmtId="0" fontId="124" fillId="19" borderId="49" xfId="0" applyFont="1" applyFill="1" applyBorder="1" applyAlignment="1" applyProtection="1"/>
    <xf numFmtId="0" fontId="29" fillId="9" borderId="51" xfId="0" applyFont="1" applyFill="1" applyBorder="1" applyAlignment="1" applyProtection="1"/>
    <xf numFmtId="0" fontId="29" fillId="9" borderId="7" xfId="0" applyFont="1" applyFill="1" applyBorder="1" applyAlignment="1" applyProtection="1"/>
    <xf numFmtId="0" fontId="120" fillId="9" borderId="7" xfId="0" applyFont="1" applyFill="1" applyBorder="1" applyAlignment="1" applyProtection="1"/>
    <xf numFmtId="165" fontId="125" fillId="19" borderId="36" xfId="0" applyNumberFormat="1" applyFont="1" applyFill="1" applyBorder="1" applyAlignment="1" applyProtection="1"/>
    <xf numFmtId="0" fontId="27" fillId="0" borderId="26" xfId="0" applyFont="1" applyFill="1" applyBorder="1" applyAlignment="1" applyProtection="1"/>
    <xf numFmtId="0" fontId="26" fillId="0" borderId="25" xfId="0" applyFont="1" applyFill="1" applyBorder="1" applyAlignment="1" applyProtection="1"/>
    <xf numFmtId="0" fontId="129" fillId="0" borderId="53" xfId="0" applyFont="1" applyBorder="1" applyAlignment="1" applyProtection="1"/>
    <xf numFmtId="0" fontId="28" fillId="0" borderId="53" xfId="0" applyFont="1" applyFill="1" applyBorder="1" applyAlignment="1" applyProtection="1"/>
    <xf numFmtId="0" fontId="41" fillId="0" borderId="53" xfId="0" applyFont="1" applyFill="1" applyBorder="1" applyAlignment="1" applyProtection="1"/>
    <xf numFmtId="0" fontId="120" fillId="19" borderId="53" xfId="0" applyFont="1" applyFill="1" applyBorder="1" applyAlignment="1" applyProtection="1"/>
    <xf numFmtId="0" fontId="41" fillId="0" borderId="0" xfId="0" applyFont="1" applyBorder="1" applyAlignment="1" applyProtection="1">
      <alignment horizontal="left" vertical="top" wrapText="1"/>
    </xf>
    <xf numFmtId="0" fontId="41" fillId="9" borderId="0" xfId="0" applyFont="1" applyFill="1" applyAlignment="1" applyProtection="1"/>
    <xf numFmtId="0" fontId="149" fillId="9" borderId="0" xfId="0" applyFont="1" applyFill="1" applyAlignment="1">
      <alignment horizontal="left" vertical="center"/>
    </xf>
    <xf numFmtId="0" fontId="25" fillId="9" borderId="11" xfId="0" applyFont="1" applyFill="1" applyBorder="1" applyAlignment="1" applyProtection="1"/>
    <xf numFmtId="0" fontId="122" fillId="0" borderId="26" xfId="0" applyFont="1" applyBorder="1" applyAlignment="1" applyProtection="1"/>
    <xf numFmtId="0" fontId="150" fillId="0" borderId="53" xfId="0" applyFont="1" applyFill="1" applyBorder="1" applyAlignment="1" applyProtection="1"/>
    <xf numFmtId="0" fontId="130" fillId="0" borderId="0" xfId="0" applyFont="1" applyBorder="1" applyAlignment="1" applyProtection="1"/>
    <xf numFmtId="0" fontId="33" fillId="9" borderId="49" xfId="0" applyFont="1" applyFill="1" applyBorder="1" applyAlignment="1" applyProtection="1"/>
    <xf numFmtId="0" fontId="120" fillId="9" borderId="49" xfId="0" applyFont="1" applyFill="1" applyBorder="1" applyAlignment="1" applyProtection="1"/>
    <xf numFmtId="0" fontId="23" fillId="9" borderId="5" xfId="0" applyFont="1" applyFill="1" applyBorder="1" applyAlignment="1" applyProtection="1"/>
    <xf numFmtId="0" fontId="21" fillId="0" borderId="0" xfId="0" applyFont="1" applyAlignment="1" applyProtection="1"/>
    <xf numFmtId="0" fontId="37" fillId="25" borderId="27" xfId="0" applyFont="1" applyFill="1" applyBorder="1" applyAlignment="1" applyProtection="1">
      <protection locked="0"/>
    </xf>
    <xf numFmtId="0" fontId="130" fillId="25" borderId="26" xfId="0" applyFont="1" applyFill="1" applyBorder="1" applyAlignment="1" applyProtection="1">
      <protection locked="0"/>
    </xf>
    <xf numFmtId="0" fontId="130" fillId="25" borderId="25" xfId="0" applyFont="1" applyFill="1" applyBorder="1" applyAlignment="1" applyProtection="1">
      <protection locked="0"/>
    </xf>
    <xf numFmtId="0" fontId="130" fillId="25" borderId="27" xfId="0" applyFont="1" applyFill="1" applyBorder="1" applyAlignment="1" applyProtection="1">
      <protection locked="0"/>
    </xf>
    <xf numFmtId="0" fontId="41" fillId="25" borderId="27" xfId="0" applyFont="1" applyFill="1" applyBorder="1" applyAlignment="1" applyProtection="1">
      <protection locked="0"/>
    </xf>
    <xf numFmtId="0" fontId="41" fillId="25" borderId="54" xfId="0" applyFont="1" applyFill="1" applyBorder="1" applyAlignment="1" applyProtection="1">
      <protection locked="0"/>
    </xf>
    <xf numFmtId="0" fontId="32" fillId="25" borderId="41" xfId="0" applyFont="1" applyFill="1" applyBorder="1" applyAlignment="1" applyProtection="1"/>
    <xf numFmtId="0" fontId="130" fillId="25" borderId="29" xfId="0" applyFont="1" applyFill="1" applyBorder="1" applyAlignment="1" applyProtection="1"/>
    <xf numFmtId="0" fontId="130" fillId="25" borderId="55" xfId="0" applyFont="1" applyFill="1" applyBorder="1" applyAlignment="1" applyProtection="1"/>
    <xf numFmtId="0" fontId="20" fillId="9" borderId="4" xfId="0" applyFont="1" applyFill="1" applyBorder="1" applyAlignment="1" applyProtection="1">
      <alignment horizontal="right"/>
    </xf>
    <xf numFmtId="0" fontId="19" fillId="0" borderId="0" xfId="0" applyFont="1" applyFill="1" applyAlignment="1" applyProtection="1"/>
    <xf numFmtId="0" fontId="19" fillId="0" borderId="24" xfId="0" applyFont="1" applyBorder="1" applyAlignment="1" applyProtection="1"/>
    <xf numFmtId="0" fontId="19" fillId="0" borderId="11" xfId="0" applyFont="1" applyBorder="1" applyAlignment="1" applyProtection="1"/>
    <xf numFmtId="0" fontId="19" fillId="0" borderId="3" xfId="0" applyFont="1" applyBorder="1" applyAlignment="1" applyProtection="1"/>
    <xf numFmtId="0" fontId="19" fillId="0" borderId="57" xfId="0" applyFont="1" applyBorder="1" applyAlignment="1" applyProtection="1"/>
    <xf numFmtId="0" fontId="23" fillId="9" borderId="56" xfId="0" applyFont="1" applyFill="1" applyBorder="1" applyAlignment="1" applyProtection="1"/>
    <xf numFmtId="0" fontId="23" fillId="9" borderId="0" xfId="0" applyFont="1" applyFill="1" applyBorder="1" applyAlignment="1" applyProtection="1"/>
    <xf numFmtId="0" fontId="23" fillId="9" borderId="15" xfId="0" applyFont="1" applyFill="1" applyBorder="1" applyAlignment="1" applyProtection="1"/>
    <xf numFmtId="0" fontId="23" fillId="0" borderId="0" xfId="0" applyFont="1" applyFill="1" applyBorder="1" applyAlignment="1" applyProtection="1"/>
    <xf numFmtId="0" fontId="23" fillId="9" borderId="56" xfId="0" applyFont="1" applyFill="1" applyBorder="1" applyAlignment="1" applyProtection="1"/>
    <xf numFmtId="0" fontId="23" fillId="9" borderId="0" xfId="0" applyFont="1" applyFill="1" applyBorder="1" applyAlignment="1" applyProtection="1"/>
    <xf numFmtId="0" fontId="23" fillId="9" borderId="15" xfId="0" applyFont="1" applyFill="1" applyBorder="1" applyAlignment="1" applyProtection="1"/>
    <xf numFmtId="0" fontId="18" fillId="0" borderId="31" xfId="0" applyFont="1" applyBorder="1" applyAlignment="1" applyProtection="1">
      <alignment horizontal="right"/>
    </xf>
    <xf numFmtId="0" fontId="18" fillId="0" borderId="31" xfId="0" applyFont="1" applyFill="1" applyBorder="1" applyAlignment="1" applyProtection="1">
      <alignment horizontal="right"/>
    </xf>
    <xf numFmtId="0" fontId="35" fillId="0" borderId="0" xfId="0" applyFont="1" applyFill="1" applyBorder="1" applyAlignment="1" applyProtection="1"/>
    <xf numFmtId="0" fontId="35" fillId="0" borderId="8" xfId="0" applyFont="1" applyFill="1" applyBorder="1" applyAlignment="1" applyProtection="1"/>
    <xf numFmtId="0" fontId="35" fillId="0" borderId="0" xfId="0" applyFont="1" applyBorder="1" applyAlignment="1" applyProtection="1"/>
    <xf numFmtId="4" fontId="159" fillId="10" borderId="27" xfId="0" applyNumberFormat="1" applyFont="1" applyFill="1" applyBorder="1" applyAlignment="1" applyProtection="1">
      <alignment horizontal="right"/>
    </xf>
    <xf numFmtId="0" fontId="41" fillId="0" borderId="25" xfId="0" quotePrefix="1" applyFont="1" applyFill="1" applyBorder="1" applyAlignment="1" applyProtection="1">
      <alignment horizontal="left"/>
    </xf>
    <xf numFmtId="0" fontId="122" fillId="19" borderId="47" xfId="0" applyFont="1" applyFill="1" applyBorder="1" applyAlignment="1" applyProtection="1">
      <alignment horizontal="right"/>
    </xf>
    <xf numFmtId="4" fontId="130" fillId="19" borderId="26" xfId="0" applyNumberFormat="1" applyFont="1" applyFill="1" applyBorder="1" applyAlignment="1" applyProtection="1">
      <alignment horizontal="right"/>
    </xf>
    <xf numFmtId="4" fontId="120" fillId="19" borderId="38" xfId="0" applyNumberFormat="1" applyFont="1" applyFill="1" applyBorder="1" applyAlignment="1" applyProtection="1">
      <alignment vertical="center"/>
    </xf>
    <xf numFmtId="165" fontId="125" fillId="19" borderId="7" xfId="0" applyNumberFormat="1" applyFont="1" applyFill="1" applyBorder="1" applyAlignment="1" applyProtection="1"/>
    <xf numFmtId="0" fontId="143" fillId="19" borderId="44" xfId="0" applyFont="1" applyFill="1" applyBorder="1" applyAlignment="1" applyProtection="1">
      <alignment horizontal="right"/>
    </xf>
    <xf numFmtId="0" fontId="41" fillId="19" borderId="26" xfId="0" applyFont="1" applyFill="1" applyBorder="1" applyAlignment="1" applyProtection="1"/>
    <xf numFmtId="0" fontId="41" fillId="19" borderId="38" xfId="0" applyFont="1" applyFill="1" applyBorder="1" applyAlignment="1" applyProtection="1"/>
    <xf numFmtId="4" fontId="120" fillId="19" borderId="30" xfId="0" applyNumberFormat="1" applyFont="1" applyFill="1" applyBorder="1" applyAlignment="1" applyProtection="1">
      <alignment horizontal="right"/>
    </xf>
    <xf numFmtId="4" fontId="120" fillId="19" borderId="37" xfId="0" applyNumberFormat="1" applyFont="1" applyFill="1" applyBorder="1" applyAlignment="1" applyProtection="1">
      <alignment horizontal="right"/>
    </xf>
    <xf numFmtId="0" fontId="41" fillId="19" borderId="7" xfId="0" applyFont="1" applyFill="1" applyBorder="1" applyAlignment="1" applyProtection="1"/>
    <xf numFmtId="2" fontId="41" fillId="19" borderId="26" xfId="0" applyNumberFormat="1" applyFont="1" applyFill="1" applyBorder="1" applyAlignment="1" applyProtection="1"/>
    <xf numFmtId="2" fontId="41" fillId="19" borderId="25" xfId="0" applyNumberFormat="1" applyFont="1" applyFill="1" applyBorder="1" applyAlignment="1" applyProtection="1"/>
    <xf numFmtId="2" fontId="41" fillId="19" borderId="38" xfId="0" applyNumberFormat="1" applyFont="1" applyFill="1" applyBorder="1" applyAlignment="1" applyProtection="1"/>
    <xf numFmtId="0" fontId="17" fillId="0" borderId="0" xfId="0" applyFont="1" applyAlignment="1" applyProtection="1"/>
    <xf numFmtId="0" fontId="17" fillId="0" borderId="6" xfId="0" applyFont="1" applyBorder="1" applyAlignment="1" applyProtection="1"/>
    <xf numFmtId="0" fontId="120" fillId="0" borderId="0" xfId="0" applyFont="1" applyFill="1" applyAlignment="1" applyProtection="1"/>
    <xf numFmtId="0" fontId="17" fillId="9" borderId="4" xfId="0" applyFont="1" applyFill="1" applyBorder="1" applyAlignment="1" applyProtection="1"/>
    <xf numFmtId="4" fontId="130" fillId="10" borderId="29" xfId="0" applyNumberFormat="1" applyFont="1" applyFill="1" applyBorder="1" applyAlignment="1" applyProtection="1">
      <protection locked="0"/>
    </xf>
    <xf numFmtId="167" fontId="41" fillId="10" borderId="29" xfId="0" applyNumberFormat="1" applyFont="1" applyFill="1" applyBorder="1" applyAlignment="1" applyProtection="1">
      <protection locked="0"/>
    </xf>
    <xf numFmtId="4" fontId="130" fillId="19" borderId="34" xfId="0" applyNumberFormat="1" applyFont="1" applyFill="1" applyBorder="1" applyAlignment="1" applyProtection="1">
      <alignment horizontal="right"/>
    </xf>
    <xf numFmtId="167" fontId="159" fillId="10" borderId="58" xfId="0" applyNumberFormat="1" applyFont="1" applyFill="1" applyBorder="1" applyAlignment="1" applyProtection="1">
      <alignment horizontal="right"/>
    </xf>
    <xf numFmtId="4" fontId="130" fillId="10" borderId="27" xfId="0" applyNumberFormat="1" applyFont="1" applyFill="1" applyBorder="1" applyAlignment="1" applyProtection="1"/>
    <xf numFmtId="164" fontId="159" fillId="10" borderId="27" xfId="0" applyNumberFormat="1" applyFont="1" applyFill="1" applyBorder="1" applyAlignment="1" applyProtection="1">
      <alignment horizontal="right"/>
    </xf>
    <xf numFmtId="0" fontId="16" fillId="9" borderId="7" xfId="0" applyFont="1" applyFill="1" applyBorder="1" applyAlignment="1" applyProtection="1"/>
    <xf numFmtId="0" fontId="16" fillId="0" borderId="0" xfId="0" applyFont="1" applyAlignment="1" applyProtection="1"/>
    <xf numFmtId="0" fontId="159" fillId="25" borderId="30" xfId="0" applyFont="1" applyFill="1" applyBorder="1" applyAlignment="1" applyProtection="1"/>
    <xf numFmtId="0" fontId="159" fillId="25" borderId="29" xfId="0" applyFont="1" applyFill="1" applyBorder="1" applyAlignment="1" applyProtection="1"/>
    <xf numFmtId="0" fontId="159" fillId="10" borderId="31" xfId="0" applyFont="1" applyFill="1" applyBorder="1" applyAlignment="1" applyProtection="1">
      <alignment horizontal="right"/>
    </xf>
    <xf numFmtId="0" fontId="159" fillId="10" borderId="27" xfId="0" applyFont="1" applyFill="1" applyBorder="1" applyAlignment="1" applyProtection="1">
      <alignment horizontal="right"/>
    </xf>
    <xf numFmtId="3" fontId="159" fillId="10" borderId="40" xfId="0" quotePrefix="1" applyNumberFormat="1" applyFont="1" applyFill="1" applyBorder="1" applyAlignment="1" applyProtection="1">
      <alignment horizontal="right"/>
    </xf>
    <xf numFmtId="0" fontId="15" fillId="0" borderId="25" xfId="0" applyFont="1" applyBorder="1" applyAlignment="1" applyProtection="1"/>
    <xf numFmtId="0" fontId="15" fillId="0" borderId="25" xfId="0" quotePrefix="1" applyFont="1" applyFill="1" applyBorder="1" applyAlignment="1" applyProtection="1"/>
    <xf numFmtId="0" fontId="41" fillId="0" borderId="25" xfId="0" applyFont="1" applyBorder="1" applyAlignment="1" applyProtection="1"/>
    <xf numFmtId="0" fontId="15" fillId="18" borderId="0" xfId="0" applyFont="1" applyFill="1" applyAlignment="1" applyProtection="1"/>
    <xf numFmtId="0" fontId="41" fillId="15" borderId="60" xfId="0" applyFont="1" applyFill="1" applyBorder="1" applyAlignment="1" applyProtection="1"/>
    <xf numFmtId="0" fontId="162" fillId="0" borderId="0" xfId="0" applyFont="1" applyAlignment="1">
      <alignment horizontal="left"/>
    </xf>
    <xf numFmtId="0" fontId="15" fillId="0" borderId="26" xfId="0" applyFont="1" applyBorder="1" applyAlignment="1" applyProtection="1"/>
    <xf numFmtId="4" fontId="41" fillId="0" borderId="31" xfId="0" applyNumberFormat="1" applyFont="1" applyBorder="1" applyAlignment="1" applyProtection="1"/>
    <xf numFmtId="4" fontId="41" fillId="0" borderId="27" xfId="0" applyNumberFormat="1" applyFont="1" applyBorder="1" applyAlignment="1" applyProtection="1"/>
    <xf numFmtId="0" fontId="14" fillId="0" borderId="25" xfId="0" applyFont="1" applyBorder="1" applyAlignment="1" applyProtection="1"/>
    <xf numFmtId="0" fontId="111" fillId="0" borderId="26" xfId="0" applyFont="1" applyBorder="1" applyAlignment="1">
      <alignment horizontal="left"/>
    </xf>
    <xf numFmtId="0" fontId="41" fillId="15" borderId="61" xfId="0" applyFont="1" applyFill="1" applyBorder="1" applyAlignment="1" applyProtection="1"/>
    <xf numFmtId="0" fontId="41" fillId="15" borderId="62" xfId="0" applyFont="1" applyFill="1" applyBorder="1" applyAlignment="1" applyProtection="1"/>
    <xf numFmtId="0" fontId="41" fillId="0" borderId="63" xfId="0" applyFont="1" applyBorder="1" applyAlignment="1" applyProtection="1"/>
    <xf numFmtId="0" fontId="41" fillId="0" borderId="59" xfId="0" applyFont="1" applyBorder="1" applyAlignment="1" applyProtection="1"/>
    <xf numFmtId="0" fontId="120" fillId="0" borderId="31" xfId="0" applyFont="1" applyBorder="1" applyAlignment="1" applyProtection="1"/>
    <xf numFmtId="0" fontId="111" fillId="0" borderId="0" xfId="0" applyFont="1" applyFill="1" applyBorder="1" applyAlignment="1">
      <alignment horizontal="left"/>
    </xf>
    <xf numFmtId="0" fontId="15" fillId="0" borderId="0" xfId="0" applyFont="1" applyFill="1" applyBorder="1" applyAlignment="1" applyProtection="1"/>
    <xf numFmtId="0" fontId="30" fillId="0" borderId="0" xfId="0" applyFont="1" applyFill="1" applyBorder="1" applyAlignment="1" applyProtection="1"/>
    <xf numFmtId="0" fontId="15" fillId="0" borderId="0" xfId="0" quotePrefix="1" applyFont="1" applyFill="1" applyBorder="1" applyAlignment="1" applyProtection="1"/>
    <xf numFmtId="4" fontId="120" fillId="0" borderId="0" xfId="0" applyNumberFormat="1" applyFont="1" applyFill="1" applyBorder="1" applyAlignment="1" applyProtection="1"/>
    <xf numFmtId="0" fontId="14" fillId="0" borderId="0" xfId="0" applyFont="1" applyBorder="1" applyAlignment="1" applyProtection="1"/>
    <xf numFmtId="4" fontId="41" fillId="0" borderId="0" xfId="0" applyNumberFormat="1" applyFont="1" applyBorder="1" applyAlignment="1" applyProtection="1"/>
    <xf numFmtId="0" fontId="41" fillId="0" borderId="64" xfId="0" applyFont="1" applyBorder="1" applyAlignment="1" applyProtection="1"/>
    <xf numFmtId="0" fontId="14" fillId="0" borderId="53" xfId="0" applyFont="1" applyBorder="1" applyAlignment="1" applyProtection="1"/>
    <xf numFmtId="0" fontId="41" fillId="0" borderId="53" xfId="0" applyFont="1" applyBorder="1" applyAlignment="1" applyProtection="1"/>
    <xf numFmtId="0" fontId="41" fillId="0" borderId="65" xfId="0" applyFont="1" applyBorder="1" applyAlignment="1" applyProtection="1"/>
    <xf numFmtId="0" fontId="41" fillId="15" borderId="67" xfId="0" applyFont="1" applyFill="1" applyBorder="1" applyAlignment="1" applyProtection="1"/>
    <xf numFmtId="0" fontId="41" fillId="0" borderId="66" xfId="0" applyFont="1" applyBorder="1" applyAlignment="1" applyProtection="1"/>
    <xf numFmtId="0" fontId="111" fillId="0" borderId="25" xfId="0" applyFont="1" applyBorder="1" applyAlignment="1">
      <alignment horizontal="left"/>
    </xf>
    <xf numFmtId="0" fontId="111" fillId="0" borderId="63" xfId="0" applyFont="1" applyBorder="1" applyAlignment="1">
      <alignment horizontal="left"/>
    </xf>
    <xf numFmtId="0" fontId="15" fillId="0" borderId="0" xfId="0" applyFont="1" applyFill="1" applyAlignment="1" applyProtection="1"/>
    <xf numFmtId="0" fontId="14" fillId="18" borderId="0" xfId="0" applyFont="1" applyFill="1" applyAlignment="1" applyProtection="1"/>
    <xf numFmtId="0" fontId="13" fillId="0" borderId="26" xfId="0" applyFont="1" applyFill="1" applyBorder="1" applyAlignment="1" applyProtection="1"/>
    <xf numFmtId="0" fontId="41" fillId="9" borderId="38" xfId="0" applyFont="1" applyFill="1" applyBorder="1" applyAlignment="1" applyProtection="1"/>
    <xf numFmtId="0" fontId="15" fillId="9" borderId="38" xfId="0" quotePrefix="1" applyFont="1" applyFill="1" applyBorder="1" applyAlignment="1" applyProtection="1"/>
    <xf numFmtId="0" fontId="15" fillId="19" borderId="7" xfId="0" applyFont="1" applyFill="1" applyBorder="1" applyAlignment="1" applyProtection="1"/>
    <xf numFmtId="0" fontId="41" fillId="19" borderId="0" xfId="0" applyFont="1" applyFill="1" applyAlignment="1" applyProtection="1"/>
    <xf numFmtId="0" fontId="41" fillId="20" borderId="0" xfId="0" applyFont="1" applyFill="1" applyAlignment="1" applyProtection="1"/>
    <xf numFmtId="4" fontId="120" fillId="20" borderId="36" xfId="0" applyNumberFormat="1" applyFont="1" applyFill="1" applyBorder="1" applyAlignment="1" applyProtection="1"/>
    <xf numFmtId="0" fontId="120" fillId="20" borderId="0" xfId="0" applyFont="1" applyFill="1" applyAlignment="1" applyProtection="1"/>
    <xf numFmtId="4" fontId="130" fillId="19" borderId="40" xfId="0" applyNumberFormat="1" applyFont="1" applyFill="1" applyBorder="1" applyAlignment="1" applyProtection="1">
      <alignment horizontal="right"/>
    </xf>
    <xf numFmtId="0" fontId="12" fillId="0" borderId="25" xfId="0" applyFont="1" applyBorder="1" applyAlignment="1" applyProtection="1"/>
    <xf numFmtId="3" fontId="15" fillId="10" borderId="33" xfId="0" applyNumberFormat="1" applyFont="1" applyFill="1" applyBorder="1" applyAlignment="1" applyProtection="1">
      <protection locked="0"/>
    </xf>
    <xf numFmtId="4" fontId="41" fillId="10" borderId="33" xfId="0" applyNumberFormat="1" applyFont="1" applyFill="1" applyBorder="1" applyAlignment="1" applyProtection="1">
      <protection locked="0"/>
    </xf>
    <xf numFmtId="0" fontId="12" fillId="0" borderId="0" xfId="0" applyFont="1" applyAlignment="1" applyProtection="1"/>
    <xf numFmtId="0" fontId="120" fillId="0" borderId="32" xfId="0" applyFont="1" applyBorder="1" applyAlignment="1" applyProtection="1"/>
    <xf numFmtId="0" fontId="41" fillId="0" borderId="32" xfId="0" applyFont="1" applyBorder="1" applyAlignment="1" applyProtection="1"/>
    <xf numFmtId="0" fontId="11" fillId="9" borderId="32" xfId="0" applyFont="1" applyFill="1" applyBorder="1" applyAlignment="1" applyProtection="1">
      <alignment horizontal="right"/>
    </xf>
    <xf numFmtId="0" fontId="12" fillId="9" borderId="32" xfId="0" applyFont="1" applyFill="1" applyBorder="1" applyAlignment="1" applyProtection="1">
      <alignment horizontal="right"/>
    </xf>
    <xf numFmtId="0" fontId="11" fillId="9" borderId="38" xfId="0" applyFont="1" applyFill="1" applyBorder="1" applyAlignment="1" applyProtection="1"/>
    <xf numFmtId="0" fontId="133" fillId="0" borderId="0" xfId="0" applyFont="1" applyFill="1" applyBorder="1" applyAlignment="1" applyProtection="1"/>
    <xf numFmtId="0" fontId="132" fillId="0" borderId="0" xfId="0" applyFont="1" applyFill="1" applyBorder="1" applyAlignment="1" applyProtection="1">
      <alignment vertical="center"/>
    </xf>
    <xf numFmtId="0" fontId="128" fillId="0" borderId="8" xfId="15" applyFont="1" applyBorder="1" applyProtection="1"/>
    <xf numFmtId="0" fontId="122" fillId="0" borderId="8" xfId="0" applyFont="1" applyBorder="1" applyAlignment="1" applyProtection="1">
      <alignment vertical="center"/>
    </xf>
    <xf numFmtId="0" fontId="41" fillId="0" borderId="8" xfId="0" applyFont="1" applyBorder="1" applyAlignment="1" applyProtection="1">
      <alignment vertical="center"/>
    </xf>
    <xf numFmtId="0" fontId="10" fillId="0" borderId="0" xfId="0" applyNumberFormat="1" applyFont="1" applyAlignment="1" applyProtection="1">
      <alignment horizontal="right"/>
    </xf>
    <xf numFmtId="0" fontId="120" fillId="9" borderId="25" xfId="0" applyFont="1" applyFill="1" applyBorder="1" applyAlignment="1" applyProtection="1"/>
    <xf numFmtId="0" fontId="30" fillId="9" borderId="25" xfId="0" applyFont="1" applyFill="1" applyBorder="1" applyAlignment="1" applyProtection="1"/>
    <xf numFmtId="0" fontId="122" fillId="9" borderId="25" xfId="0" applyFont="1" applyFill="1" applyBorder="1" applyAlignment="1" applyProtection="1"/>
    <xf numFmtId="4" fontId="120" fillId="19" borderId="40" xfId="0" applyNumberFormat="1" applyFont="1" applyFill="1" applyBorder="1" applyAlignment="1" applyProtection="1">
      <alignment vertical="center"/>
    </xf>
    <xf numFmtId="0" fontId="9" fillId="9" borderId="38" xfId="0" applyFont="1" applyFill="1" applyBorder="1" applyAlignment="1" applyProtection="1"/>
    <xf numFmtId="0" fontId="8" fillId="0" borderId="31" xfId="0" applyFont="1" applyBorder="1" applyAlignment="1">
      <alignment horizontal="right"/>
    </xf>
    <xf numFmtId="0" fontId="157" fillId="19" borderId="28" xfId="0" applyFont="1" applyFill="1" applyBorder="1" applyAlignment="1" applyProtection="1"/>
    <xf numFmtId="4" fontId="125" fillId="19" borderId="25" xfId="0" applyNumberFormat="1" applyFont="1" applyFill="1" applyBorder="1" applyAlignment="1" applyProtection="1"/>
    <xf numFmtId="4" fontId="125" fillId="19" borderId="26" xfId="0" applyNumberFormat="1" applyFont="1" applyFill="1" applyBorder="1" applyAlignment="1" applyProtection="1"/>
    <xf numFmtId="0" fontId="136" fillId="19" borderId="38" xfId="0" applyFont="1" applyFill="1" applyBorder="1" applyAlignment="1" applyProtection="1">
      <alignment horizontal="right"/>
    </xf>
    <xf numFmtId="0" fontId="163" fillId="0" borderId="0" xfId="0" applyFont="1" applyFill="1" applyBorder="1" applyAlignment="1" applyProtection="1"/>
    <xf numFmtId="0" fontId="120" fillId="0" borderId="38" xfId="0" applyFont="1" applyFill="1" applyBorder="1" applyAlignment="1" applyProtection="1"/>
    <xf numFmtId="0" fontId="7" fillId="0" borderId="38" xfId="0" applyFont="1" applyFill="1" applyBorder="1" applyAlignment="1" applyProtection="1"/>
    <xf numFmtId="0" fontId="6" fillId="9" borderId="38" xfId="0" applyFont="1" applyFill="1" applyBorder="1" applyAlignment="1" applyProtection="1">
      <alignment horizontal="right"/>
    </xf>
    <xf numFmtId="0" fontId="125" fillId="0" borderId="0" xfId="0" applyFont="1" applyFill="1" applyBorder="1" applyAlignment="1" applyProtection="1">
      <alignment horizontal="center"/>
    </xf>
    <xf numFmtId="0" fontId="130" fillId="19" borderId="38" xfId="0" applyFont="1" applyFill="1" applyBorder="1" applyAlignment="1" applyProtection="1">
      <alignment horizontal="center"/>
    </xf>
    <xf numFmtId="0" fontId="5" fillId="0" borderId="0" xfId="0" applyFont="1" applyAlignment="1" applyProtection="1">
      <alignment horizontal="right"/>
    </xf>
    <xf numFmtId="0" fontId="41" fillId="25" borderId="27" xfId="0" applyFont="1" applyFill="1" applyBorder="1" applyAlignment="1" applyProtection="1">
      <protection locked="0"/>
    </xf>
    <xf numFmtId="0" fontId="41" fillId="0" borderId="25" xfId="0" quotePrefix="1" applyFont="1" applyFill="1" applyBorder="1" applyAlignment="1" applyProtection="1">
      <alignment horizontal="left"/>
    </xf>
    <xf numFmtId="0" fontId="120" fillId="26" borderId="0" xfId="0" applyFont="1" applyFill="1" applyBorder="1" applyAlignment="1" applyProtection="1"/>
    <xf numFmtId="0" fontId="124" fillId="26" borderId="0" xfId="0" applyFont="1" applyFill="1" applyBorder="1" applyAlignment="1" applyProtection="1"/>
    <xf numFmtId="0" fontId="41" fillId="26" borderId="0" xfId="0" applyFont="1" applyFill="1" applyBorder="1" applyAlignment="1" applyProtection="1"/>
    <xf numFmtId="0" fontId="122" fillId="26" borderId="44" xfId="0" applyFont="1" applyFill="1" applyBorder="1" applyAlignment="1" applyProtection="1">
      <alignment horizontal="right"/>
    </xf>
    <xf numFmtId="0" fontId="143" fillId="26" borderId="46" xfId="0" applyFont="1" applyFill="1" applyBorder="1" applyAlignment="1" applyProtection="1">
      <alignment horizontal="right"/>
    </xf>
    <xf numFmtId="2" fontId="41" fillId="27" borderId="26" xfId="0" quotePrefix="1" applyNumberFormat="1" applyFont="1" applyFill="1" applyBorder="1" applyAlignment="1" applyProtection="1">
      <alignment horizontal="right"/>
    </xf>
    <xf numFmtId="2" fontId="41" fillId="27" borderId="31" xfId="0" quotePrefix="1" applyNumberFormat="1" applyFont="1" applyFill="1" applyBorder="1" applyAlignment="1" applyProtection="1"/>
    <xf numFmtId="2" fontId="130" fillId="26" borderId="32" xfId="0" applyNumberFormat="1" applyFont="1" applyFill="1" applyBorder="1" applyAlignment="1" applyProtection="1"/>
    <xf numFmtId="2" fontId="41" fillId="27" borderId="25" xfId="0" applyNumberFormat="1" applyFont="1" applyFill="1" applyBorder="1" applyAlignment="1" applyProtection="1">
      <alignment horizontal="right"/>
    </xf>
    <xf numFmtId="2" fontId="41" fillId="27" borderId="27" xfId="0" applyNumberFormat="1" applyFont="1" applyFill="1" applyBorder="1" applyAlignment="1" applyProtection="1"/>
    <xf numFmtId="2" fontId="130" fillId="26" borderId="33" xfId="0" applyNumberFormat="1" applyFont="1" applyFill="1" applyBorder="1" applyAlignment="1" applyProtection="1"/>
    <xf numFmtId="2" fontId="41" fillId="26" borderId="38" xfId="0" applyNumberFormat="1" applyFont="1" applyFill="1" applyBorder="1" applyAlignment="1" applyProtection="1"/>
    <xf numFmtId="2" fontId="125" fillId="26" borderId="39" xfId="0" applyNumberFormat="1" applyFont="1" applyFill="1" applyBorder="1" applyAlignment="1" applyProtection="1"/>
    <xf numFmtId="0" fontId="41" fillId="26" borderId="49" xfId="0" applyFont="1" applyFill="1" applyBorder="1" applyAlignment="1" applyProtection="1"/>
    <xf numFmtId="4" fontId="120" fillId="26" borderId="31" xfId="0" applyNumberFormat="1" applyFont="1" applyFill="1" applyBorder="1" applyAlignment="1" applyProtection="1">
      <alignment horizontal="right"/>
    </xf>
    <xf numFmtId="4" fontId="120" fillId="26" borderId="40" xfId="0" applyNumberFormat="1" applyFont="1" applyFill="1" applyBorder="1" applyAlignment="1" applyProtection="1">
      <alignment horizontal="right"/>
    </xf>
    <xf numFmtId="164" fontId="41" fillId="26" borderId="0" xfId="0" applyNumberFormat="1" applyFont="1" applyFill="1" applyBorder="1" applyAlignment="1" applyProtection="1">
      <alignment horizontal="right"/>
    </xf>
    <xf numFmtId="4" fontId="120" fillId="26" borderId="38" xfId="0" applyNumberFormat="1" applyFont="1" applyFill="1" applyBorder="1" applyAlignment="1" applyProtection="1">
      <alignment vertical="center"/>
    </xf>
    <xf numFmtId="4" fontId="120" fillId="26" borderId="26" xfId="0" applyNumberFormat="1" applyFont="1" applyFill="1" applyBorder="1" applyAlignment="1" applyProtection="1"/>
    <xf numFmtId="0" fontId="41" fillId="26" borderId="34" xfId="0" applyFont="1" applyFill="1" applyBorder="1" applyAlignment="1" applyProtection="1"/>
    <xf numFmtId="0" fontId="120" fillId="26" borderId="53" xfId="0" applyFont="1" applyFill="1" applyBorder="1" applyAlignment="1" applyProtection="1"/>
    <xf numFmtId="0" fontId="124" fillId="26" borderId="53" xfId="0" applyFont="1" applyFill="1" applyBorder="1" applyAlignment="1" applyProtection="1"/>
    <xf numFmtId="0" fontId="41" fillId="26" borderId="53" xfId="0" applyFont="1" applyFill="1" applyBorder="1" applyAlignment="1" applyProtection="1"/>
    <xf numFmtId="0" fontId="124" fillId="26" borderId="49" xfId="0" applyFont="1" applyFill="1" applyBorder="1" applyAlignment="1" applyProtection="1"/>
    <xf numFmtId="165" fontId="125" fillId="26" borderId="7" xfId="0" applyNumberFormat="1" applyFont="1" applyFill="1" applyBorder="1" applyAlignment="1" applyProtection="1"/>
    <xf numFmtId="165" fontId="125" fillId="26" borderId="37" xfId="0" applyNumberFormat="1" applyFont="1" applyFill="1" applyBorder="1" applyAlignment="1" applyProtection="1"/>
    <xf numFmtId="0" fontId="120" fillId="0" borderId="0" xfId="0" applyFont="1" applyAlignment="1" applyProtection="1">
      <alignment horizontal="center"/>
    </xf>
    <xf numFmtId="0" fontId="4" fillId="10" borderId="27" xfId="0" applyFont="1" applyFill="1" applyBorder="1" applyAlignment="1" applyProtection="1">
      <protection locked="0"/>
    </xf>
    <xf numFmtId="0" fontId="41" fillId="26" borderId="31" xfId="0" applyFont="1" applyFill="1" applyBorder="1" applyAlignment="1" applyProtection="1"/>
    <xf numFmtId="3" fontId="125" fillId="26" borderId="40" xfId="0" applyNumberFormat="1" applyFont="1" applyFill="1" applyBorder="1" applyAlignment="1" applyProtection="1"/>
    <xf numFmtId="4" fontId="120" fillId="26" borderId="40" xfId="0" applyNumberFormat="1" applyFont="1" applyFill="1" applyBorder="1" applyAlignment="1" applyProtection="1">
      <alignment vertical="center"/>
    </xf>
    <xf numFmtId="0" fontId="130" fillId="19" borderId="37" xfId="0" applyFont="1" applyFill="1" applyBorder="1" applyAlignment="1" applyProtection="1">
      <alignment horizontal="center"/>
    </xf>
    <xf numFmtId="0" fontId="3" fillId="19" borderId="53" xfId="0" applyFont="1" applyFill="1" applyBorder="1" applyAlignment="1" applyProtection="1">
      <alignment horizontal="center"/>
    </xf>
    <xf numFmtId="0" fontId="130" fillId="19" borderId="26" xfId="0" applyFont="1" applyFill="1" applyBorder="1" applyAlignment="1" applyProtection="1">
      <alignment horizontal="center"/>
    </xf>
    <xf numFmtId="0" fontId="2" fillId="0" borderId="26" xfId="0" applyFont="1" applyBorder="1" applyAlignment="1" applyProtection="1"/>
    <xf numFmtId="0" fontId="2" fillId="0" borderId="0" xfId="0" applyFont="1" applyAlignment="1" applyProtection="1"/>
    <xf numFmtId="0" fontId="41" fillId="0" borderId="26" xfId="0" applyFont="1" applyFill="1" applyBorder="1" applyAlignment="1" applyProtection="1">
      <alignment horizontal="left"/>
    </xf>
    <xf numFmtId="0" fontId="41" fillId="0" borderId="31" xfId="0" applyFont="1" applyFill="1" applyBorder="1" applyAlignment="1" applyProtection="1">
      <alignment horizontal="left"/>
    </xf>
    <xf numFmtId="0" fontId="134" fillId="26" borderId="35" xfId="0" applyFont="1" applyFill="1" applyBorder="1" applyAlignment="1" applyProtection="1">
      <alignment wrapText="1"/>
    </xf>
    <xf numFmtId="0" fontId="134" fillId="26" borderId="34" xfId="0" applyFont="1" applyFill="1" applyBorder="1" applyAlignment="1" applyProtection="1">
      <alignment wrapText="1"/>
    </xf>
    <xf numFmtId="0" fontId="134" fillId="26" borderId="31" xfId="0" applyFont="1" applyFill="1" applyBorder="1" applyAlignment="1" applyProtection="1">
      <alignment wrapText="1"/>
    </xf>
    <xf numFmtId="0" fontId="32" fillId="0" borderId="26" xfId="0" applyFont="1" applyBorder="1" applyAlignment="1" applyProtection="1"/>
    <xf numFmtId="0" fontId="32" fillId="0" borderId="31" xfId="0" applyFont="1" applyBorder="1" applyAlignment="1" applyProtection="1"/>
    <xf numFmtId="0" fontId="32" fillId="0" borderId="26" xfId="0" applyFont="1" applyBorder="1" applyAlignment="1" applyProtection="1">
      <alignment horizontal="left"/>
    </xf>
    <xf numFmtId="0" fontId="32" fillId="0" borderId="31" xfId="0" applyFont="1" applyBorder="1" applyAlignment="1" applyProtection="1">
      <alignment horizontal="left"/>
    </xf>
    <xf numFmtId="0" fontId="122" fillId="0" borderId="0" xfId="0" applyFont="1" applyBorder="1" applyAlignment="1" applyProtection="1">
      <alignment horizontal="left" vertical="top" wrapText="1"/>
    </xf>
    <xf numFmtId="0" fontId="130" fillId="0" borderId="26" xfId="0" applyFont="1" applyFill="1" applyBorder="1" applyAlignment="1" applyProtection="1">
      <alignment horizontal="left"/>
    </xf>
    <xf numFmtId="0" fontId="130" fillId="0" borderId="25" xfId="0" applyFont="1" applyFill="1" applyBorder="1" applyAlignment="1" applyProtection="1">
      <alignment horizontal="left"/>
    </xf>
    <xf numFmtId="0" fontId="134" fillId="26" borderId="49" xfId="0" applyFont="1" applyFill="1" applyBorder="1" applyAlignment="1" applyProtection="1">
      <alignment wrapText="1"/>
    </xf>
    <xf numFmtId="0" fontId="134" fillId="26" borderId="52" xfId="0" applyFont="1" applyFill="1" applyBorder="1" applyAlignment="1" applyProtection="1">
      <alignment wrapText="1"/>
    </xf>
    <xf numFmtId="0" fontId="134" fillId="26" borderId="0" xfId="0" applyFont="1" applyFill="1" applyBorder="1" applyAlignment="1" applyProtection="1">
      <alignment wrapText="1"/>
    </xf>
    <xf numFmtId="0" fontId="134" fillId="26" borderId="15" xfId="0" applyFont="1" applyFill="1" applyBorder="1" applyAlignment="1" applyProtection="1">
      <alignment wrapText="1"/>
    </xf>
    <xf numFmtId="0" fontId="134" fillId="26" borderId="7" xfId="0" applyFont="1" applyFill="1" applyBorder="1" applyAlignment="1" applyProtection="1">
      <alignment wrapText="1"/>
    </xf>
    <xf numFmtId="0" fontId="134" fillId="26" borderId="3" xfId="0" applyFont="1" applyFill="1" applyBorder="1" applyAlignment="1" applyProtection="1">
      <alignment wrapText="1"/>
    </xf>
    <xf numFmtId="2" fontId="122" fillId="0" borderId="0" xfId="0" applyNumberFormat="1" applyFont="1" applyFill="1" applyBorder="1" applyAlignment="1" applyProtection="1">
      <alignment horizontal="left" vertical="top" wrapText="1"/>
    </xf>
    <xf numFmtId="0" fontId="22" fillId="0" borderId="26" xfId="0" applyFont="1" applyFill="1" applyBorder="1" applyAlignment="1" applyProtection="1">
      <alignment horizontal="left"/>
    </xf>
    <xf numFmtId="0" fontId="41" fillId="25" borderId="29" xfId="0" applyFont="1" applyFill="1" applyBorder="1" applyAlignment="1" applyProtection="1">
      <protection locked="0"/>
    </xf>
    <xf numFmtId="0" fontId="41" fillId="25" borderId="27" xfId="0" applyFont="1" applyFill="1" applyBorder="1" applyAlignment="1" applyProtection="1">
      <protection locked="0"/>
    </xf>
    <xf numFmtId="0" fontId="31" fillId="0" borderId="0" xfId="0" applyFont="1" applyAlignment="1" applyProtection="1">
      <alignment horizontal="center" vertical="center"/>
    </xf>
    <xf numFmtId="0" fontId="41" fillId="0" borderId="0" xfId="0" applyFont="1" applyAlignment="1" applyProtection="1">
      <alignment horizontal="center" vertical="center"/>
    </xf>
    <xf numFmtId="0" fontId="130" fillId="0" borderId="27" xfId="0" applyFont="1" applyFill="1" applyBorder="1" applyAlignment="1" applyProtection="1">
      <alignment horizontal="left"/>
    </xf>
    <xf numFmtId="0" fontId="41" fillId="25" borderId="30" xfId="0" applyFont="1" applyFill="1" applyBorder="1" applyAlignment="1" applyProtection="1">
      <protection locked="0"/>
    </xf>
    <xf numFmtId="0" fontId="41" fillId="25" borderId="31" xfId="0" applyFont="1" applyFill="1" applyBorder="1" applyAlignment="1" applyProtection="1">
      <protection locked="0"/>
    </xf>
    <xf numFmtId="0" fontId="128" fillId="0" borderId="8" xfId="15" applyFont="1" applyBorder="1" applyProtection="1">
      <protection locked="0"/>
    </xf>
    <xf numFmtId="0" fontId="41" fillId="0" borderId="0" xfId="0" applyFont="1" applyAlignment="1" applyProtection="1">
      <alignment vertical="top" wrapText="1"/>
    </xf>
    <xf numFmtId="0" fontId="41" fillId="0" borderId="0" xfId="0" applyFont="1" applyFill="1" applyBorder="1" applyAlignment="1" applyProtection="1">
      <alignment horizontal="center"/>
    </xf>
    <xf numFmtId="0" fontId="41" fillId="0" borderId="25" xfId="0" quotePrefix="1" applyFont="1" applyFill="1" applyBorder="1" applyAlignment="1" applyProtection="1">
      <alignment horizontal="left"/>
    </xf>
    <xf numFmtId="0" fontId="149" fillId="0" borderId="26" xfId="0" applyFont="1" applyFill="1" applyBorder="1" applyAlignment="1">
      <alignment horizontal="right" vertical="center" wrapText="1"/>
    </xf>
    <xf numFmtId="0" fontId="149" fillId="0" borderId="43" xfId="0" applyFont="1" applyFill="1" applyBorder="1" applyAlignment="1">
      <alignment horizontal="right" vertical="center"/>
    </xf>
    <xf numFmtId="0" fontId="129" fillId="20" borderId="34" xfId="0" applyFont="1" applyFill="1" applyBorder="1" applyAlignment="1" applyProtection="1">
      <alignment wrapText="1"/>
    </xf>
    <xf numFmtId="0" fontId="129" fillId="20" borderId="31" xfId="0" applyFont="1" applyFill="1" applyBorder="1" applyAlignment="1" applyProtection="1">
      <alignment wrapText="1"/>
    </xf>
    <xf numFmtId="0" fontId="122" fillId="22" borderId="11" xfId="0" applyFont="1" applyFill="1" applyBorder="1" applyAlignment="1" applyProtection="1">
      <alignment horizontal="right"/>
      <protection locked="0"/>
    </xf>
    <xf numFmtId="0" fontId="122" fillId="22" borderId="5" xfId="0" applyFont="1" applyFill="1" applyBorder="1" applyAlignment="1" applyProtection="1">
      <alignment horizontal="right"/>
      <protection locked="0"/>
    </xf>
    <xf numFmtId="2" fontId="96" fillId="10" borderId="17" xfId="0" applyNumberFormat="1" applyFont="1" applyFill="1" applyBorder="1" applyProtection="1">
      <protection locked="0"/>
    </xf>
    <xf numFmtId="2" fontId="96" fillId="10" borderId="5" xfId="0" applyNumberFormat="1" applyFont="1" applyFill="1" applyBorder="1" applyProtection="1">
      <protection locked="0"/>
    </xf>
    <xf numFmtId="0" fontId="96" fillId="10" borderId="17" xfId="0" applyFont="1" applyFill="1" applyBorder="1" applyProtection="1">
      <protection locked="0"/>
    </xf>
    <xf numFmtId="0" fontId="96" fillId="10" borderId="5" xfId="0" applyFont="1" applyFill="1" applyBorder="1" applyProtection="1">
      <protection locked="0"/>
    </xf>
    <xf numFmtId="0" fontId="128" fillId="0" borderId="0" xfId="15" applyFont="1" applyAlignment="1" applyProtection="1">
      <alignment horizontal="right"/>
      <protection locked="0"/>
    </xf>
    <xf numFmtId="0" fontId="128" fillId="0" borderId="0" xfId="15" applyFont="1" applyProtection="1">
      <protection locked="0"/>
    </xf>
    <xf numFmtId="0" fontId="128" fillId="0" borderId="8" xfId="15" applyFont="1" applyBorder="1" applyAlignment="1" applyProtection="1">
      <alignment horizontal="right"/>
      <protection locked="0"/>
    </xf>
    <xf numFmtId="0" fontId="122" fillId="17" borderId="11" xfId="0" applyFont="1" applyFill="1" applyBorder="1" applyAlignment="1" applyProtection="1">
      <alignment horizontal="right"/>
    </xf>
    <xf numFmtId="0" fontId="122" fillId="17" borderId="5" xfId="0" applyFont="1" applyFill="1" applyBorder="1" applyAlignment="1" applyProtection="1">
      <alignment horizontal="right"/>
    </xf>
    <xf numFmtId="0" fontId="24" fillId="0" borderId="0" xfId="0" applyFont="1" applyBorder="1" applyAlignment="1" applyProtection="1">
      <alignment horizontal="left" vertical="top" wrapText="1"/>
    </xf>
    <xf numFmtId="0" fontId="53"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36" fillId="0" borderId="28" xfId="0" applyFont="1" applyBorder="1" applyAlignment="1" applyProtection="1">
      <alignment horizontal="left" vertical="top" wrapText="1"/>
    </xf>
    <xf numFmtId="0" fontId="59" fillId="0" borderId="0" xfId="0" applyFont="1" applyBorder="1" applyAlignment="1" applyProtection="1">
      <alignment horizontal="left" vertical="top" wrapText="1"/>
    </xf>
    <xf numFmtId="0" fontId="59" fillId="0" borderId="28" xfId="0" applyFont="1" applyBorder="1" applyAlignment="1" applyProtection="1">
      <alignment horizontal="left" vertical="top" wrapText="1"/>
    </xf>
    <xf numFmtId="0" fontId="101" fillId="0" borderId="0" xfId="0" applyFont="1" applyAlignment="1" applyProtection="1">
      <alignment horizontal="left" vertical="top" wrapText="1"/>
    </xf>
    <xf numFmtId="0" fontId="54" fillId="0" borderId="0" xfId="0" applyFont="1" applyBorder="1" applyAlignment="1" applyProtection="1">
      <alignment horizontal="left" vertical="top" wrapText="1"/>
    </xf>
    <xf numFmtId="0" fontId="36" fillId="0" borderId="0" xfId="0" applyFont="1" applyAlignment="1" applyProtection="1">
      <alignment horizontal="left" vertical="top" wrapText="1"/>
    </xf>
    <xf numFmtId="0" fontId="44" fillId="0" borderId="0" xfId="0" applyFont="1" applyAlignment="1" applyProtection="1">
      <alignment horizontal="left" vertical="top" wrapText="1"/>
    </xf>
    <xf numFmtId="0" fontId="49" fillId="0" borderId="0" xfId="0" applyFont="1" applyAlignment="1" applyProtection="1">
      <alignment horizontal="left" vertical="top" wrapText="1"/>
    </xf>
    <xf numFmtId="0" fontId="55" fillId="0" borderId="0" xfId="0" applyFont="1" applyBorder="1" applyAlignment="1" applyProtection="1">
      <alignment horizontal="left" vertical="top" wrapText="1"/>
    </xf>
    <xf numFmtId="0" fontId="26" fillId="0" borderId="0" xfId="0" applyFont="1" applyBorder="1" applyAlignment="1" applyProtection="1">
      <alignment horizontal="left" vertical="top" wrapText="1"/>
    </xf>
    <xf numFmtId="0" fontId="36" fillId="0" borderId="0" xfId="0" applyFont="1" applyBorder="1" applyAlignment="1" applyProtection="1">
      <alignment horizontal="left" vertical="top" wrapText="1"/>
    </xf>
    <xf numFmtId="0" fontId="45" fillId="0" borderId="0" xfId="0" applyFont="1" applyAlignment="1" applyProtection="1">
      <alignment horizontal="left" vertical="top" wrapText="1"/>
    </xf>
    <xf numFmtId="0" fontId="47" fillId="0" borderId="0" xfId="0" applyFont="1" applyAlignment="1" applyProtection="1">
      <alignment horizontal="left" vertical="top" wrapText="1"/>
    </xf>
    <xf numFmtId="0" fontId="43" fillId="0" borderId="0" xfId="0" applyFont="1" applyAlignment="1" applyProtection="1">
      <alignment horizontal="left" vertical="top" wrapText="1"/>
    </xf>
    <xf numFmtId="0" fontId="46" fillId="0" borderId="0" xfId="0" applyFont="1" applyAlignment="1" applyProtection="1">
      <alignment horizontal="left" vertical="top" wrapText="1"/>
    </xf>
  </cellXfs>
  <cellStyles count="20">
    <cellStyle name="Accent" xfId="7"/>
    <cellStyle name="Accent 1" xfId="8"/>
    <cellStyle name="Accent 2" xfId="9"/>
    <cellStyle name="Accent 3" xfId="10"/>
    <cellStyle name="Bad" xfId="4" builtinId="27" customBuiltin="1"/>
    <cellStyle name="Error" xfId="11"/>
    <cellStyle name="Excel Built-in Normal" xfId="12"/>
    <cellStyle name="Footnote" xfId="13"/>
    <cellStyle name="Good" xfId="3" builtinId="26" customBuiltin="1"/>
    <cellStyle name="Heading" xfId="14"/>
    <cellStyle name="Heading 1" xfId="1" builtinId="16" customBuiltin="1"/>
    <cellStyle name="Heading 2" xfId="2" builtinId="17" customBuiltin="1"/>
    <cellStyle name="Hyperlink" xfId="15"/>
    <cellStyle name="Neutral" xfId="5" builtinId="28" customBuiltin="1"/>
    <cellStyle name="Normal" xfId="0" builtinId="0" customBuiltin="1"/>
    <cellStyle name="Note" xfId="6" builtinId="10" customBuiltin="1"/>
    <cellStyle name="Percent" xfId="19" builtinId="5"/>
    <cellStyle name="Status" xfId="16"/>
    <cellStyle name="Text" xfId="17"/>
    <cellStyle name="Warning" xfId="18"/>
  </cellStyles>
  <dxfs count="99">
    <dxf>
      <fill>
        <patternFill>
          <bgColor rgb="FFFFDCDC"/>
        </patternFill>
      </fill>
    </dxf>
    <dxf>
      <fill>
        <patternFill>
          <bgColor rgb="FFFFDCDC"/>
        </patternFill>
      </fill>
    </dxf>
    <dxf>
      <fill>
        <patternFill>
          <bgColor rgb="FFFFDCDC"/>
        </patternFill>
      </fill>
    </dxf>
    <dxf>
      <font>
        <color theme="1" tint="0.499984740745262"/>
      </font>
    </dxf>
    <dxf>
      <font>
        <b val="0"/>
        <i/>
        <color rgb="FF0070C0"/>
      </font>
    </dxf>
    <dxf>
      <font>
        <b val="0"/>
        <i/>
        <color rgb="FF0070C0"/>
      </font>
    </dxf>
    <dxf>
      <font>
        <strike/>
        <color theme="1" tint="0.499984740745262"/>
      </font>
      <border>
        <vertical/>
        <horizontal/>
      </border>
    </dxf>
    <dxf>
      <font>
        <strike/>
        <color theme="1" tint="0.499984740745262"/>
      </font>
    </dxf>
    <dxf>
      <font>
        <color rgb="FFDCDCFF"/>
      </font>
    </dxf>
    <dxf>
      <font>
        <color rgb="FFDCFFDC"/>
      </font>
    </dxf>
    <dxf>
      <font>
        <color theme="1" tint="0.499984740745262"/>
      </font>
    </dxf>
    <dxf>
      <font>
        <b val="0"/>
        <i/>
        <color rgb="FF0070C0"/>
      </font>
    </dxf>
    <dxf>
      <font>
        <strike/>
        <color theme="1" tint="0.499984740745262"/>
      </font>
    </dxf>
    <dxf>
      <font>
        <b/>
        <i val="0"/>
      </font>
      <fill>
        <patternFill>
          <bgColor theme="0" tint="-0.24994659260841701"/>
        </patternFill>
      </fill>
    </dxf>
    <dxf>
      <font>
        <b/>
        <i val="0"/>
      </font>
      <fill>
        <patternFill>
          <bgColor theme="0" tint="-0.14996795556505021"/>
        </patternFill>
      </fill>
    </dxf>
    <dxf>
      <font>
        <strike/>
        <color theme="1" tint="0.499984740745262"/>
      </font>
      <border>
        <vertical/>
        <horizontal/>
      </border>
    </dxf>
    <dxf>
      <font>
        <b val="0"/>
        <i/>
        <color rgb="FF0070C0"/>
      </font>
    </dxf>
    <dxf>
      <font>
        <b val="0"/>
        <i/>
        <color rgb="FF0070C0"/>
      </font>
    </dxf>
    <dxf>
      <font>
        <strike/>
      </font>
    </dxf>
    <dxf>
      <font>
        <b val="0"/>
        <i/>
        <color rgb="FF0070C0"/>
      </font>
    </dxf>
    <dxf>
      <font>
        <b/>
        <i val="0"/>
      </font>
      <fill>
        <patternFill>
          <bgColor theme="0" tint="-0.24994659260841701"/>
        </patternFill>
      </fill>
    </dxf>
    <dxf>
      <font>
        <b/>
        <i val="0"/>
      </font>
      <fill>
        <patternFill>
          <bgColor theme="0" tint="-0.14996795556505021"/>
        </patternFill>
      </fill>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ill>
        <patternFill>
          <bgColor rgb="FFFFDCDC"/>
        </patternFill>
      </fill>
    </dxf>
    <dxf>
      <fill>
        <patternFill>
          <bgColor rgb="FFFFDCDC"/>
        </patternFill>
      </fill>
    </dxf>
    <dxf>
      <fill>
        <patternFill>
          <bgColor rgb="FFFFDCDC"/>
        </patternFill>
      </fill>
    </dxf>
    <dxf>
      <font>
        <color theme="1" tint="0.499984740745262"/>
      </font>
    </dxf>
    <dxf>
      <font>
        <b val="0"/>
        <i/>
        <color rgb="FF0070C0"/>
      </font>
    </dxf>
    <dxf>
      <font>
        <b val="0"/>
        <i/>
        <color rgb="FF0070C0"/>
      </font>
    </dxf>
    <dxf>
      <font>
        <strike/>
        <color theme="1" tint="0.499984740745262"/>
      </font>
      <border>
        <vertical/>
        <horizontal/>
      </border>
    </dxf>
    <dxf>
      <font>
        <strike/>
        <color theme="1" tint="0.499984740745262"/>
      </font>
    </dxf>
    <dxf>
      <font>
        <color rgb="FFDCDCFF"/>
      </font>
    </dxf>
    <dxf>
      <font>
        <color rgb="FFDCFFDC"/>
      </font>
    </dxf>
    <dxf>
      <font>
        <color theme="1" tint="0.499984740745262"/>
      </font>
    </dxf>
    <dxf>
      <font>
        <b val="0"/>
        <i/>
        <color rgb="FF0070C0"/>
      </font>
    </dxf>
    <dxf>
      <font>
        <strike/>
        <color theme="1" tint="0.499984740745262"/>
      </font>
    </dxf>
    <dxf>
      <font>
        <b/>
        <i val="0"/>
      </font>
      <fill>
        <patternFill>
          <bgColor theme="0" tint="-0.24994659260841701"/>
        </patternFill>
      </fill>
    </dxf>
    <dxf>
      <font>
        <b/>
        <i val="0"/>
      </font>
      <fill>
        <patternFill>
          <bgColor theme="0" tint="-0.14996795556505021"/>
        </patternFill>
      </fill>
    </dxf>
    <dxf>
      <font>
        <strike/>
        <color theme="1" tint="0.499984740745262"/>
      </font>
      <border>
        <vertical/>
        <horizontal/>
      </border>
    </dxf>
    <dxf>
      <font>
        <b val="0"/>
        <i/>
        <color rgb="FF0070C0"/>
      </font>
    </dxf>
    <dxf>
      <font>
        <b val="0"/>
        <i/>
        <color rgb="FF0070C0"/>
      </font>
    </dxf>
    <dxf>
      <font>
        <strike/>
      </font>
    </dxf>
    <dxf>
      <font>
        <b val="0"/>
        <i/>
        <color rgb="FF0070C0"/>
      </font>
    </dxf>
    <dxf>
      <font>
        <b/>
        <i val="0"/>
      </font>
      <fill>
        <patternFill>
          <bgColor theme="0" tint="-0.24994659260841701"/>
        </patternFill>
      </fill>
    </dxf>
    <dxf>
      <font>
        <b/>
        <i val="0"/>
      </font>
      <fill>
        <patternFill>
          <bgColor theme="0" tint="-0.14996795556505021"/>
        </patternFill>
      </fill>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ill>
        <patternFill>
          <bgColor rgb="FFFFDCDC"/>
        </patternFill>
      </fill>
    </dxf>
    <dxf>
      <fill>
        <patternFill>
          <bgColor rgb="FFFFDCDC"/>
        </patternFill>
      </fill>
    </dxf>
    <dxf>
      <fill>
        <patternFill>
          <bgColor rgb="FFFFDCDC"/>
        </patternFill>
      </fill>
    </dxf>
    <dxf>
      <font>
        <color theme="1" tint="0.499984740745262"/>
      </font>
    </dxf>
    <dxf>
      <font>
        <b val="0"/>
        <i/>
        <color rgb="FF0070C0"/>
      </font>
    </dxf>
    <dxf>
      <font>
        <b val="0"/>
        <i/>
        <color rgb="FF0070C0"/>
      </font>
    </dxf>
    <dxf>
      <font>
        <strike/>
        <color theme="1" tint="0.499984740745262"/>
      </font>
      <border>
        <vertical/>
        <horizontal/>
      </border>
    </dxf>
    <dxf>
      <font>
        <strike/>
        <color theme="1" tint="0.499984740745262"/>
      </font>
    </dxf>
    <dxf>
      <font>
        <color rgb="FFDCDCFF"/>
      </font>
    </dxf>
    <dxf>
      <font>
        <color rgb="FFDCFFDC"/>
      </font>
    </dxf>
    <dxf>
      <font>
        <color theme="1" tint="0.499984740745262"/>
      </font>
    </dxf>
    <dxf>
      <font>
        <b val="0"/>
        <i/>
        <color rgb="FF0070C0"/>
      </font>
    </dxf>
    <dxf>
      <font>
        <strike/>
        <color theme="1" tint="0.499984740745262"/>
      </font>
    </dxf>
    <dxf>
      <font>
        <b/>
        <i val="0"/>
      </font>
      <fill>
        <patternFill>
          <bgColor theme="0" tint="-0.24994659260841701"/>
        </patternFill>
      </fill>
    </dxf>
    <dxf>
      <font>
        <b/>
        <i val="0"/>
      </font>
      <fill>
        <patternFill>
          <bgColor theme="0" tint="-0.14996795556505021"/>
        </patternFill>
      </fill>
    </dxf>
    <dxf>
      <font>
        <strike/>
        <color theme="1" tint="0.499984740745262"/>
      </font>
      <border>
        <vertical/>
        <horizontal/>
      </border>
    </dxf>
    <dxf>
      <font>
        <b val="0"/>
        <i/>
        <color rgb="FF0070C0"/>
      </font>
    </dxf>
    <dxf>
      <font>
        <b val="0"/>
        <i/>
        <color rgb="FF0070C0"/>
      </font>
    </dxf>
    <dxf>
      <font>
        <strike/>
      </font>
    </dxf>
    <dxf>
      <font>
        <b val="0"/>
        <i/>
        <color rgb="FF0070C0"/>
      </font>
    </dxf>
    <dxf>
      <font>
        <b/>
        <i val="0"/>
      </font>
      <fill>
        <patternFill>
          <bgColor theme="0" tint="-0.24994659260841701"/>
        </patternFill>
      </fill>
    </dxf>
    <dxf>
      <font>
        <b/>
        <i val="0"/>
      </font>
      <fill>
        <patternFill>
          <bgColor theme="0" tint="-0.14996795556505021"/>
        </patternFill>
      </fill>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
      <font>
        <b val="0"/>
        <i/>
        <color rgb="FF0070C0"/>
      </font>
    </dxf>
  </dxfs>
  <tableStyles count="0" defaultTableStyle="TableStyleMedium2" defaultPivotStyle="PivotStyleLight16"/>
  <colors>
    <mruColors>
      <color rgb="FFDCDCFF"/>
      <color rgb="FFFFDCDC"/>
      <color rgb="FFFFFFDC"/>
      <color rgb="FFFFE6E6"/>
      <color rgb="FFF0F0FF"/>
      <color rgb="FFDCFFDC"/>
      <color rgb="FFFFFFCC"/>
      <color rgb="FFFFFF9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'Tools - Info'!$BI$70</c:f>
          <c:strCache>
            <c:ptCount val="1"/>
            <c:pt idx="0">
              <c:v>Expert tool to compare and optimise the retention duration; SBGx advantage 15.0%</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dLbls>
          <c:showLegendKey val="0"/>
          <c:showVal val="0"/>
          <c:showCatName val="0"/>
          <c:showSerName val="0"/>
          <c:showPercent val="0"/>
          <c:showBubbleSize val="0"/>
        </c:dLbls>
        <c:gapWidth val="100"/>
        <c:overlap val="100"/>
        <c:axId val="273595624"/>
        <c:axId val="272970016"/>
        <c:extLst>
          <c:ext xmlns:c15="http://schemas.microsoft.com/office/drawing/2012/chart" uri="{02D57815-91ED-43cb-92C2-25804820EDAC}">
            <c15:filteredBarSeries>
              <c15:ser>
                <c:idx val="15"/>
                <c:order val="8"/>
                <c:tx>
                  <c:strRef>
                    <c:extLst>
                      <c:ext uri="{02D57815-91ED-43cb-92C2-25804820EDAC}">
                        <c15:formulaRef>
                          <c15:sqref>'Tools - Info'!$CB$62</c15:sqref>
                        </c15:formulaRef>
                      </c:ext>
                    </c:extLst>
                    <c:strCache>
                      <c:ptCount val="1"/>
                      <c:pt idx="0">
                        <c:v>SBGx ret. end</c:v>
                      </c:pt>
                    </c:strCache>
                  </c:strRef>
                </c:tx>
                <c:spPr>
                  <a:solidFill>
                    <a:schemeClr val="bg1">
                      <a:lumMod val="85000"/>
                    </a:schemeClr>
                  </a:solidFill>
                  <a:ln w="12700">
                    <a:solidFill>
                      <a:srgbClr val="00FF00"/>
                    </a:solidFill>
                    <a:prstDash val="solid"/>
                  </a:ln>
                  <a:effectLst/>
                </c:spPr>
                <c:invertIfNegative val="0"/>
                <c:val>
                  <c:numRef>
                    <c:extLst>
                      <c:ext uri="{02D57815-91ED-43cb-92C2-25804820EDAC}">
                        <c15:formulaRef>
                          <c15:sqref>'Tools - Info'!$CB$64:$CB$103</c15:sqref>
                        </c15:formulaRef>
                      </c:ext>
                    </c:extLst>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1029.6905857856802</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15:ser>
            </c15:filteredBarSeries>
            <c15:filteredBarSeries>
              <c15:ser>
                <c:idx val="16"/>
                <c:order val="9"/>
                <c:tx>
                  <c:strRef>
                    <c:extLst xmlns:c15="http://schemas.microsoft.com/office/drawing/2012/chart">
                      <c:ext xmlns:c15="http://schemas.microsoft.com/office/drawing/2012/chart" uri="{02D57815-91ED-43cb-92C2-25804820EDAC}">
                        <c15:formulaRef>
                          <c15:sqref>'Tools - Info'!$CC$62</c15:sqref>
                        </c15:formulaRef>
                      </c:ext>
                    </c:extLst>
                    <c:strCache>
                      <c:ptCount val="1"/>
                      <c:pt idx="0">
                        <c:v>Standard ret. end</c:v>
                      </c:pt>
                    </c:strCache>
                  </c:strRef>
                </c:tx>
                <c:spPr>
                  <a:solidFill>
                    <a:schemeClr val="bg1">
                      <a:lumMod val="85000"/>
                    </a:schemeClr>
                  </a:solidFill>
                  <a:ln w="12700">
                    <a:solidFill>
                      <a:srgbClr val="0000FF"/>
                    </a:solidFill>
                    <a:prstDash val="solid"/>
                  </a:ln>
                  <a:effectLst/>
                </c:spPr>
                <c:invertIfNegative val="0"/>
                <c:val>
                  <c:numRef>
                    <c:extLst xmlns:c15="http://schemas.microsoft.com/office/drawing/2012/chart">
                      <c:ext xmlns:c15="http://schemas.microsoft.com/office/drawing/2012/chart" uri="{02D57815-91ED-43cb-92C2-25804820EDAC}">
                        <c15:formulaRef>
                          <c15:sqref>'Tools - Info'!$CC$64:$CC$103</c15:sqref>
                        </c15:formulaRef>
                      </c:ext>
                    </c:extLst>
                    <c:numCache>
                      <c:formatCode>General</c:formatCode>
                      <c:ptCount val="4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1029.6905857856802</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numCache>
                  </c:numRef>
                </c:val>
              </c15:ser>
            </c15:filteredBarSeries>
          </c:ext>
        </c:extLst>
      </c:barChart>
      <c:lineChart>
        <c:grouping val="standard"/>
        <c:varyColors val="0"/>
        <c:ser>
          <c:idx val="1"/>
          <c:order val="0"/>
          <c:tx>
            <c:strRef>
              <c:f>'Tools - Info'!$BM$62</c:f>
              <c:strCache>
                <c:ptCount val="1"/>
                <c:pt idx="0">
                  <c:v>SBGx vol./day</c:v>
                </c:pt>
              </c:strCache>
            </c:strRef>
          </c:tx>
          <c:spPr>
            <a:ln w="28575" cap="rnd">
              <a:solidFill>
                <a:srgbClr val="00FF00"/>
              </a:solidFill>
              <a:round/>
            </a:ln>
            <a:effectLst/>
          </c:spPr>
          <c:marker>
            <c:symbol val="none"/>
          </c:marker>
          <c:dLbls>
            <c:dLbl>
              <c:idx val="0"/>
              <c:tx>
                <c:rich>
                  <a:bodyPr/>
                  <a:lstStyle/>
                  <a:p>
                    <a:fld id="{891D6C4D-53B0-40C3-84AE-880461EE5DAF}" type="CELLRANGE">
                      <a:rPr lang="en-US"/>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AEFB841A-E785-41F5-948D-00B8949CE06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667A63D6-4F8A-40A1-88B4-3A8E5C8EDB42}"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77D7213C-EFA7-46FD-9999-D3FDBCFD2C10}"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6B06941A-1719-44CD-9E57-96FED13CB2F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5"/>
              <c:tx>
                <c:rich>
                  <a:bodyPr/>
                  <a:lstStyle/>
                  <a:p>
                    <a:fld id="{07B2F23C-F01E-4AC4-9C53-D29E87D919A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6"/>
              <c:tx>
                <c:rich>
                  <a:bodyPr/>
                  <a:lstStyle/>
                  <a:p>
                    <a:fld id="{616D2F6B-BFD3-4B4D-A0D2-8017330425E7}"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7"/>
              <c:tx>
                <c:rich>
                  <a:bodyPr/>
                  <a:lstStyle/>
                  <a:p>
                    <a:fld id="{ED26BDFD-0787-41A3-86BF-E9BA4BC3C71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8"/>
              <c:tx>
                <c:rich>
                  <a:bodyPr/>
                  <a:lstStyle/>
                  <a:p>
                    <a:fld id="{2F9CE72B-A24C-4919-9C45-81DF9DEC7961}"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9"/>
              <c:tx>
                <c:rich>
                  <a:bodyPr/>
                  <a:lstStyle/>
                  <a:p>
                    <a:fld id="{85644261-FA67-41D0-A878-410406B58F3A}"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0"/>
              <c:tx>
                <c:rich>
                  <a:bodyPr/>
                  <a:lstStyle/>
                  <a:p>
                    <a:fld id="{D55189F0-4435-4935-B625-A7D0993EF9BA}"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1"/>
              <c:tx>
                <c:rich>
                  <a:bodyPr/>
                  <a:lstStyle/>
                  <a:p>
                    <a:fld id="{02350F73-76C6-48E7-8D15-71C8E0EB7927}"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2"/>
              <c:tx>
                <c:rich>
                  <a:bodyPr/>
                  <a:lstStyle/>
                  <a:p>
                    <a:fld id="{7D52D9CA-DFFD-481B-9C9A-5722985A82A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3"/>
              <c:tx>
                <c:rich>
                  <a:bodyPr/>
                  <a:lstStyle/>
                  <a:p>
                    <a:fld id="{DC9BAFEA-AB96-4954-80BA-30119E11A3A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4"/>
              <c:tx>
                <c:rich>
                  <a:bodyPr/>
                  <a:lstStyle/>
                  <a:p>
                    <a:fld id="{905C00F2-AF71-4CC4-9DFE-4D8F836C2A5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5"/>
              <c:tx>
                <c:rich>
                  <a:bodyPr/>
                  <a:lstStyle/>
                  <a:p>
                    <a:fld id="{0BDB43FF-B9C1-4904-B87E-640616E218A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6"/>
              <c:tx>
                <c:rich>
                  <a:bodyPr/>
                  <a:lstStyle/>
                  <a:p>
                    <a:fld id="{D9AD5F86-CFEF-4F3A-971A-4E63ECB7BD8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7"/>
              <c:tx>
                <c:rich>
                  <a:bodyPr/>
                  <a:lstStyle/>
                  <a:p>
                    <a:fld id="{9D8F927D-DBD5-4A7A-9D8A-28B8A344C9ED}"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8"/>
              <c:tx>
                <c:rich>
                  <a:bodyPr/>
                  <a:lstStyle/>
                  <a:p>
                    <a:fld id="{05C2698F-8B14-4640-B39B-D00BFE968BD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9"/>
              <c:tx>
                <c:rich>
                  <a:bodyPr/>
                  <a:lstStyle/>
                  <a:p>
                    <a:fld id="{CD1CDA28-14E0-4A6A-A5FB-D1C56A2A9542}"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0"/>
              <c:tx>
                <c:rich>
                  <a:bodyPr/>
                  <a:lstStyle/>
                  <a:p>
                    <a:fld id="{F4AFC226-A297-45AA-B3A4-8FD4C00572A1}"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1"/>
              <c:tx>
                <c:rich>
                  <a:bodyPr/>
                  <a:lstStyle/>
                  <a:p>
                    <a:fld id="{13360B28-0022-4DD6-AB95-5FF22719C58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2"/>
              <c:tx>
                <c:rich>
                  <a:bodyPr/>
                  <a:lstStyle/>
                  <a:p>
                    <a:fld id="{B1130D27-2DC8-4103-A3C5-668E865EA12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3"/>
              <c:tx>
                <c:rich>
                  <a:bodyPr/>
                  <a:lstStyle/>
                  <a:p>
                    <a:fld id="{EA9C8A23-E95D-46CB-B8F8-F5ED5DFB14BE}"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4"/>
              <c:tx>
                <c:rich>
                  <a:bodyPr/>
                  <a:lstStyle/>
                  <a:p>
                    <a:fld id="{F272632A-3917-4012-A118-76AA1D9D40C7}"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5"/>
              <c:tx>
                <c:rich>
                  <a:bodyPr/>
                  <a:lstStyle/>
                  <a:p>
                    <a:fld id="{FA031B28-C2A9-4DD8-BA8C-4BF24E220F48}"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6"/>
              <c:tx>
                <c:rich>
                  <a:bodyPr/>
                  <a:lstStyle/>
                  <a:p>
                    <a:fld id="{9D43F5BE-B42A-4C87-BD06-C0C22E73365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7"/>
              <c:tx>
                <c:rich>
                  <a:bodyPr/>
                  <a:lstStyle/>
                  <a:p>
                    <a:fld id="{B471DBFD-1CF6-42E5-8B32-94647480BB4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8"/>
              <c:tx>
                <c:rich>
                  <a:bodyPr/>
                  <a:lstStyle/>
                  <a:p>
                    <a:fld id="{8BB9D0B7-2C7A-4250-8442-0CE0BEA5F67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9"/>
              <c:tx>
                <c:rich>
                  <a:bodyPr/>
                  <a:lstStyle/>
                  <a:p>
                    <a:fld id="{B523A504-D9AC-4E2D-B681-B5452D35F2DA}"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0"/>
              <c:tx>
                <c:rich>
                  <a:bodyPr/>
                  <a:lstStyle/>
                  <a:p>
                    <a:fld id="{D0C19620-C041-4B5F-8220-8A8792BC0FA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1"/>
              <c:tx>
                <c:rich>
                  <a:bodyPr/>
                  <a:lstStyle/>
                  <a:p>
                    <a:fld id="{96629FC2-F96B-485D-8BAA-D565FB1E383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2"/>
              <c:tx>
                <c:rich>
                  <a:bodyPr/>
                  <a:lstStyle/>
                  <a:p>
                    <a:fld id="{C2C2CBEB-339A-41C0-86B5-0CC0B78332F3}"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3"/>
              <c:tx>
                <c:rich>
                  <a:bodyPr/>
                  <a:lstStyle/>
                  <a:p>
                    <a:fld id="{6433606A-CC4D-4CBE-909A-23DA4AA14FFD}"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4"/>
              <c:tx>
                <c:rich>
                  <a:bodyPr/>
                  <a:lstStyle/>
                  <a:p>
                    <a:fld id="{54D15E76-51C1-4DDF-9C5F-828733C89C28}"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5"/>
              <c:tx>
                <c:rich>
                  <a:bodyPr/>
                  <a:lstStyle/>
                  <a:p>
                    <a:fld id="{B7F228B8-F7AB-4577-A93B-FD62D0D638C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6"/>
              <c:tx>
                <c:rich>
                  <a:bodyPr/>
                  <a:lstStyle/>
                  <a:p>
                    <a:fld id="{64C0EE59-DAC1-485D-942B-57BD817B002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7"/>
              <c:tx>
                <c:rich>
                  <a:bodyPr/>
                  <a:lstStyle/>
                  <a:p>
                    <a:fld id="{B480A637-8F62-41B6-ACF6-88449FEC8C10}"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8"/>
              <c:tx>
                <c:rich>
                  <a:bodyPr/>
                  <a:lstStyle/>
                  <a:p>
                    <a:fld id="{38833D64-4EE2-4966-AE3C-5ECB672617B7}"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9"/>
              <c:tx>
                <c:rich>
                  <a:bodyPr/>
                  <a:lstStyle/>
                  <a:p>
                    <a:fld id="{DED17244-490D-44E0-8AD0-95B1B9D46216}"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'Tools - Info'!$BM$64:$BM$103</c:f>
              <c:numCache>
                <c:formatCode>#,##0.000</c:formatCode>
                <c:ptCount val="40"/>
                <c:pt idx="0">
                  <c:v>11.339888248466147</c:v>
                </c:pt>
                <c:pt idx="1">
                  <c:v>52.957788926113871</c:v>
                </c:pt>
                <c:pt idx="2">
                  <c:v>133.35223314708082</c:v>
                </c:pt>
                <c:pt idx="3">
                  <c:v>266.70446629416165</c:v>
                </c:pt>
                <c:pt idx="4">
                  <c:v>470.97569649963964</c:v>
                </c:pt>
                <c:pt idx="5">
                  <c:v>691.13298636850948</c:v>
                </c:pt>
                <c:pt idx="6">
                  <c:v>857.1257086632022</c:v>
                </c:pt>
                <c:pt idx="7">
                  <c:v>945.82074675973558</c:v>
                </c:pt>
                <c:pt idx="8">
                  <c:v>980.65770074826685</c:v>
                </c:pt>
                <c:pt idx="9">
                  <c:v>980.22990091006454</c:v>
                </c:pt>
                <c:pt idx="10">
                  <c:v>942.13017502121454</c:v>
                </c:pt>
                <c:pt idx="11">
                  <c:v>852.37521493749341</c:v>
                </c:pt>
                <c:pt idx="12">
                  <c:v>706.83387893775387</c:v>
                </c:pt>
                <c:pt idx="13">
                  <c:v>535.99488683417269</c:v>
                </c:pt>
                <c:pt idx="14">
                  <c:v>385.48596465351727</c:v>
                </c:pt>
                <c:pt idx="15">
                  <c:v>272.68727895678137</c:v>
                </c:pt>
                <c:pt idx="16">
                  <c:v>194.14450567728696</c:v>
                </c:pt>
                <c:pt idx="17">
                  <c:v>142.5020416268398</c:v>
                </c:pt>
                <c:pt idx="18">
                  <c:v>111.82176964830386</c:v>
                </c:pt>
                <c:pt idx="19">
                  <c:v>90.725491059941149</c:v>
                </c:pt>
                <c:pt idx="20">
                  <c:v>74.916052263093079</c:v>
                </c:pt>
                <c:pt idx="21">
                  <c:v>62.043746683753128</c:v>
                </c:pt>
                <c:pt idx="22">
                  <c:v>51.38067608975625</c:v>
                </c:pt>
                <c:pt idx="23">
                  <c:v>42.313873548752902</c:v>
                </c:pt>
                <c:pt idx="24">
                  <c:v>34.747562977563504</c:v>
                </c:pt>
                <c:pt idx="25">
                  <c:v>28.190093815866017</c:v>
                </c:pt>
                <c:pt idx="26">
                  <c:v>22.558460124904784</c:v>
                </c:pt>
                <c:pt idx="27">
                  <c:v>17.724960460440329</c:v>
                </c:pt>
                <c:pt idx="28">
                  <c:v>13.587433667081061</c:v>
                </c:pt>
                <c:pt idx="29">
                  <c:v>10.062873806071311</c:v>
                </c:pt>
                <c:pt idx="30">
                  <c:v>7.1002002997152918</c:v>
                </c:pt>
                <c:pt idx="31">
                  <c:v>4.6419474981052309</c:v>
                </c:pt>
                <c:pt idx="32">
                  <c:v>2.6561900401812597</c:v>
                </c:pt>
                <c:pt idx="33">
                  <c:v>1.0982324204595593</c:v>
                </c:pt>
                <c:pt idx="34">
                  <c:v>0.63850722119741832</c:v>
                </c:pt>
                <c:pt idx="35">
                  <c:v>0.51080577695793461</c:v>
                </c:pt>
                <c:pt idx="36">
                  <c:v>0.3831043327184509</c:v>
                </c:pt>
                <c:pt idx="37">
                  <c:v>0.2554028884789673</c:v>
                </c:pt>
                <c:pt idx="38">
                  <c:v>0.12770144423948365</c:v>
                </c:pt>
                <c:pt idx="39">
                  <c:v>6.3850722119741826E-2</c:v>
                </c:pt>
              </c:numCache>
            </c:numRef>
          </c:val>
          <c:smooth val="1"/>
          <c:extLst>
            <c:ext xmlns:c15="http://schemas.microsoft.com/office/drawing/2012/chart" uri="{02D57815-91ED-43cb-92C2-25804820EDAC}">
              <c15:datalabelsRange>
                <c15:f>'Tools - Info'!$CH$64:$CH$103</c15:f>
                <c15:dlblRangeCache>
                  <c:ptCount val="40"/>
                  <c:pt idx="8">
                    <c:v>980.66</c:v>
                  </c:pt>
                  <c:pt idx="18">
                    <c:v>111.82</c:v>
                  </c:pt>
                  <c:pt idx="24">
                    <c:v>34.75</c:v>
                  </c:pt>
                </c15:dlblRangeCache>
              </c15:datalabelsRange>
            </c:ext>
          </c:extLst>
        </c:ser>
        <c:ser>
          <c:idx val="6"/>
          <c:order val="1"/>
          <c:tx>
            <c:strRef>
              <c:f>'Tools - Info'!$BS$62</c:f>
              <c:strCache>
                <c:ptCount val="1"/>
                <c:pt idx="0">
                  <c:v>Standard vol./day</c:v>
                </c:pt>
              </c:strCache>
            </c:strRef>
          </c:tx>
          <c:spPr>
            <a:ln w="28575" cap="rnd">
              <a:solidFill>
                <a:srgbClr val="0000FF"/>
              </a:solidFill>
              <a:round/>
            </a:ln>
            <a:effectLst/>
          </c:spPr>
          <c:marker>
            <c:symbol val="none"/>
          </c:marker>
          <c:dLbls>
            <c:dLbl>
              <c:idx val="0"/>
              <c:tx>
                <c:rich>
                  <a:bodyPr/>
                  <a:lstStyle/>
                  <a:p>
                    <a:fld id="{BE17C63E-899D-4C35-9F86-54A8919E5C94}" type="CELLRANGE">
                      <a:rPr lang="en-US"/>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
              <c:tx>
                <c:rich>
                  <a:bodyPr/>
                  <a:lstStyle/>
                  <a:p>
                    <a:fld id="{80D3958A-80CE-4195-B9A1-D80299E8A928}"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
              <c:tx>
                <c:rich>
                  <a:bodyPr/>
                  <a:lstStyle/>
                  <a:p>
                    <a:fld id="{1D02896A-249E-4436-9D85-C5F7A495B56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
              <c:tx>
                <c:rich>
                  <a:bodyPr/>
                  <a:lstStyle/>
                  <a:p>
                    <a:fld id="{EE8DA0AE-2253-4628-ACE1-181DC6F0DFF1}"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4"/>
              <c:tx>
                <c:rich>
                  <a:bodyPr/>
                  <a:lstStyle/>
                  <a:p>
                    <a:fld id="{6748F918-8005-4D6E-B09C-5BB42C688CE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5"/>
              <c:tx>
                <c:rich>
                  <a:bodyPr/>
                  <a:lstStyle/>
                  <a:p>
                    <a:fld id="{76B1360B-F9A7-4428-ADD6-9A98699EF0B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6"/>
              <c:tx>
                <c:rich>
                  <a:bodyPr/>
                  <a:lstStyle/>
                  <a:p>
                    <a:fld id="{E2265754-AE76-49D9-B5E0-DC64F240B27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7"/>
              <c:tx>
                <c:rich>
                  <a:bodyPr/>
                  <a:lstStyle/>
                  <a:p>
                    <a:fld id="{98FC06E7-6908-4C8F-82E3-770CE19AB6E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8"/>
              <c:tx>
                <c:rich>
                  <a:bodyPr/>
                  <a:lstStyle/>
                  <a:p>
                    <a:fld id="{9BC72D78-88CE-4851-9642-E8503AF35082}"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9"/>
              <c:tx>
                <c:rich>
                  <a:bodyPr/>
                  <a:lstStyle/>
                  <a:p>
                    <a:fld id="{CBED871D-916E-48FB-9466-987DCF59B1ED}"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0"/>
              <c:tx>
                <c:rich>
                  <a:bodyPr/>
                  <a:lstStyle/>
                  <a:p>
                    <a:fld id="{5BFA4E48-5188-4C2C-984E-68290F5DEEE6}"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1"/>
              <c:tx>
                <c:rich>
                  <a:bodyPr/>
                  <a:lstStyle/>
                  <a:p>
                    <a:fld id="{39D29519-78AA-4319-BAA1-B0F7110BEDB3}"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2"/>
              <c:tx>
                <c:rich>
                  <a:bodyPr/>
                  <a:lstStyle/>
                  <a:p>
                    <a:fld id="{B0A0937C-13DE-4E02-86C6-0A667905884A}"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3"/>
              <c:tx>
                <c:rich>
                  <a:bodyPr/>
                  <a:lstStyle/>
                  <a:p>
                    <a:fld id="{600D0946-7FA0-4A85-A624-CE1702F4B78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4"/>
              <c:tx>
                <c:rich>
                  <a:bodyPr/>
                  <a:lstStyle/>
                  <a:p>
                    <a:fld id="{4AF03F58-07FB-428C-A019-79B758445CC8}"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5"/>
              <c:tx>
                <c:rich>
                  <a:bodyPr/>
                  <a:lstStyle/>
                  <a:p>
                    <a:fld id="{69B0BB6D-5055-4400-A1F7-F31D25442AFC}"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6"/>
              <c:tx>
                <c:rich>
                  <a:bodyPr/>
                  <a:lstStyle/>
                  <a:p>
                    <a:fld id="{D60D72D8-2356-4676-8258-3DCD906FD681}"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7"/>
              <c:tx>
                <c:rich>
                  <a:bodyPr/>
                  <a:lstStyle/>
                  <a:p>
                    <a:fld id="{41CCF75F-A839-41C7-B184-5C85D8ADFA5C}"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18"/>
              <c:tx>
                <c:rich>
                  <a:bodyPr/>
                  <a:lstStyle/>
                  <a:p>
                    <a:fld id="{E7DC5AE2-C602-4FD8-8460-AB5D0063355A}"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19"/>
              <c:tx>
                <c:rich>
                  <a:bodyPr/>
                  <a:lstStyle/>
                  <a:p>
                    <a:fld id="{E8554690-F50F-4777-9824-1240109CC67E}"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0"/>
              <c:tx>
                <c:rich>
                  <a:bodyPr/>
                  <a:lstStyle/>
                  <a:p>
                    <a:fld id="{95F203BE-02CE-4D12-A3CF-06D05A56517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1"/>
              <c:tx>
                <c:rich>
                  <a:bodyPr/>
                  <a:lstStyle/>
                  <a:p>
                    <a:fld id="{99657FD2-1AB5-42C9-AC51-F1CB30BC9DA0}"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2"/>
              <c:tx>
                <c:rich>
                  <a:bodyPr/>
                  <a:lstStyle/>
                  <a:p>
                    <a:fld id="{90C0A0B0-7DD4-4ADC-8181-F91C10B10BD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3"/>
              <c:tx>
                <c:rich>
                  <a:bodyPr/>
                  <a:lstStyle/>
                  <a:p>
                    <a:fld id="{06797842-4A12-4366-9175-CA181B76C35C}"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4"/>
              <c:tx>
                <c:rich>
                  <a:bodyPr/>
                  <a:lstStyle/>
                  <a:p>
                    <a:fld id="{50994FA2-4FDD-477B-A3E7-E79A02F4318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Lst>
            </c:dLbl>
            <c:dLbl>
              <c:idx val="25"/>
              <c:tx>
                <c:rich>
                  <a:bodyPr/>
                  <a:lstStyle/>
                  <a:p>
                    <a:fld id="{1FC1C3E0-9E4D-428F-8DF9-3FA38BBA7CC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6"/>
              <c:tx>
                <c:rich>
                  <a:bodyPr/>
                  <a:lstStyle/>
                  <a:p>
                    <a:fld id="{17B3BAA6-03E4-477A-B22D-F0588BE9AA2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7"/>
              <c:tx>
                <c:rich>
                  <a:bodyPr/>
                  <a:lstStyle/>
                  <a:p>
                    <a:fld id="{AF7F7F66-B1F3-4A75-BC42-279E83C07A0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8"/>
              <c:tx>
                <c:rich>
                  <a:bodyPr/>
                  <a:lstStyle/>
                  <a:p>
                    <a:fld id="{2BF31B1B-EA77-4EB8-994F-FA2B49E43C1B}"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29"/>
              <c:tx>
                <c:rich>
                  <a:bodyPr/>
                  <a:lstStyle/>
                  <a:p>
                    <a:fld id="{BE7E6B02-F336-48D1-824F-14C9D33FAE42}"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0"/>
              <c:tx>
                <c:rich>
                  <a:bodyPr/>
                  <a:lstStyle/>
                  <a:p>
                    <a:fld id="{2CBC766B-23BB-4AE1-9EF1-16342437BDC4}"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1"/>
              <c:tx>
                <c:rich>
                  <a:bodyPr/>
                  <a:lstStyle/>
                  <a:p>
                    <a:fld id="{531F84B5-6C00-4F28-80A4-B573231C83CD}"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2"/>
              <c:tx>
                <c:rich>
                  <a:bodyPr/>
                  <a:lstStyle/>
                  <a:p>
                    <a:fld id="{D887CA92-85A8-4FC2-B200-6A4AA30CCA95}"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3"/>
              <c:tx>
                <c:rich>
                  <a:bodyPr/>
                  <a:lstStyle/>
                  <a:p>
                    <a:fld id="{B08B93DA-0613-47E4-ACB8-356A5E7C9180}"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4"/>
              <c:tx>
                <c:rich>
                  <a:bodyPr/>
                  <a:lstStyle/>
                  <a:p>
                    <a:fld id="{57A19A7D-B311-4C20-941F-756A479B5BB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5"/>
              <c:tx>
                <c:rich>
                  <a:bodyPr/>
                  <a:lstStyle/>
                  <a:p>
                    <a:fld id="{ECB2A7CA-09BF-40F7-90DA-2CDF8E5BACD2}"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6"/>
              <c:tx>
                <c:rich>
                  <a:bodyPr/>
                  <a:lstStyle/>
                  <a:p>
                    <a:fld id="{B0931534-7264-4630-95DE-6CBF050888D9}"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7"/>
              <c:tx>
                <c:rich>
                  <a:bodyPr/>
                  <a:lstStyle/>
                  <a:p>
                    <a:fld id="{9402A48B-3C70-46F6-B1F9-F24764E7D6D8}"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8"/>
              <c:tx>
                <c:rich>
                  <a:bodyPr/>
                  <a:lstStyle/>
                  <a:p>
                    <a:fld id="{FBF2F343-CDB0-4E7B-BF89-AFA5CE98402F}"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dLbl>
              <c:idx val="39"/>
              <c:tx>
                <c:rich>
                  <a:bodyPr/>
                  <a:lstStyle/>
                  <a:p>
                    <a:fld id="{99610DBE-C67E-4E4A-A27E-FDA47C83A717}" type="CELLRANGE">
                      <a:rPr lang="de-CH"/>
                      <a:pPr/>
                      <a:t>[CELLRANGE]</a:t>
                    </a:fld>
                    <a:endParaRPr lang="de-CH"/>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'Tools - Info'!$BS$64:$BS$103</c:f>
              <c:numCache>
                <c:formatCode>#,##0.000</c:formatCode>
                <c:ptCount val="40"/>
                <c:pt idx="0">
                  <c:v>4.6530798878596196</c:v>
                </c:pt>
                <c:pt idx="1">
                  <c:v>17.700503896645785</c:v>
                </c:pt>
                <c:pt idx="2">
                  <c:v>41.797817618924853</c:v>
                </c:pt>
                <c:pt idx="3">
                  <c:v>80.03297407118545</c:v>
                </c:pt>
                <c:pt idx="4">
                  <c:v>136.59374515250127</c:v>
                </c:pt>
                <c:pt idx="5">
                  <c:v>217.97094230240174</c:v>
                </c:pt>
                <c:pt idx="6">
                  <c:v>330.19476905232511</c:v>
                </c:pt>
                <c:pt idx="7">
                  <c:v>463.57365900957791</c:v>
                </c:pt>
                <c:pt idx="8">
                  <c:v>587.49598660887762</c:v>
                </c:pt>
                <c:pt idx="9">
                  <c:v>666.1941377627378</c:v>
                </c:pt>
                <c:pt idx="10">
                  <c:v>699.51300980822953</c:v>
                </c:pt>
                <c:pt idx="11">
                  <c:v>701.54814474908119</c:v>
                </c:pt>
                <c:pt idx="12">
                  <c:v>680.71268702899886</c:v>
                </c:pt>
                <c:pt idx="13">
                  <c:v>623.86991110599433</c:v>
                </c:pt>
                <c:pt idx="14">
                  <c:v>539.40476093960524</c:v>
                </c:pt>
                <c:pt idx="15">
                  <c:v>458.79837702365325</c:v>
                </c:pt>
                <c:pt idx="16">
                  <c:v>393.26985197664436</c:v>
                </c:pt>
                <c:pt idx="17">
                  <c:v>338.1943063948878</c:v>
                </c:pt>
                <c:pt idx="18">
                  <c:v>291.40030299738237</c:v>
                </c:pt>
                <c:pt idx="19">
                  <c:v>250.82920643980233</c:v>
                </c:pt>
                <c:pt idx="20">
                  <c:v>215.09919299787424</c:v>
                </c:pt>
                <c:pt idx="21">
                  <c:v>183.24674612916246</c:v>
                </c:pt>
                <c:pt idx="22">
                  <c:v>154.56685372944594</c:v>
                </c:pt>
                <c:pt idx="23">
                  <c:v>128.54720700299052</c:v>
                </c:pt>
                <c:pt idx="24">
                  <c:v>104.79769925212722</c:v>
                </c:pt>
                <c:pt idx="25">
                  <c:v>83.619135641323737</c:v>
                </c:pt>
                <c:pt idx="26">
                  <c:v>67.286355226866988</c:v>
                </c:pt>
                <c:pt idx="27">
                  <c:v>54.398733961704274</c:v>
                </c:pt>
                <c:pt idx="28">
                  <c:v>43.612048767120619</c:v>
                </c:pt>
                <c:pt idx="29">
                  <c:v>35.198904323414837</c:v>
                </c:pt>
                <c:pt idx="30">
                  <c:v>27.918479327157719</c:v>
                </c:pt>
                <c:pt idx="31">
                  <c:v>21.803674343212904</c:v>
                </c:pt>
                <c:pt idx="32">
                  <c:v>16.671186224482902</c:v>
                </c:pt>
                <c:pt idx="33">
                  <c:v>12.398812872902703</c:v>
                </c:pt>
                <c:pt idx="34">
                  <c:v>8.8784524324917395</c:v>
                </c:pt>
                <c:pt idx="35">
                  <c:v>6.0443037735226977</c:v>
                </c:pt>
                <c:pt idx="36">
                  <c:v>3.8399659276578877</c:v>
                </c:pt>
                <c:pt idx="37">
                  <c:v>2.2372384107284637</c:v>
                </c:pt>
                <c:pt idx="38">
                  <c:v>1.2314211420396166</c:v>
                </c:pt>
                <c:pt idx="39">
                  <c:v>0.85541468645500074</c:v>
                </c:pt>
              </c:numCache>
            </c:numRef>
          </c:val>
          <c:smooth val="1"/>
          <c:extLst>
            <c:ext xmlns:c15="http://schemas.microsoft.com/office/drawing/2012/chart" uri="{02D57815-91ED-43cb-92C2-25804820EDAC}">
              <c15:datalabelsRange>
                <c15:f>'Tools - Info'!$CI$64:$CI$103</c15:f>
                <c15:dlblRangeCache>
                  <c:ptCount val="40"/>
                  <c:pt idx="11">
                    <c:v>701.55</c:v>
                  </c:pt>
                  <c:pt idx="18">
                    <c:v>291.40</c:v>
                  </c:pt>
                  <c:pt idx="24">
                    <c:v>104.80</c:v>
                  </c:pt>
                </c15:dlblRangeCache>
              </c15:datalabelsRange>
            </c:ext>
          </c:extLst>
        </c:ser>
        <c:dLbls>
          <c:showLegendKey val="0"/>
          <c:showVal val="0"/>
          <c:showCatName val="0"/>
          <c:showSerName val="0"/>
          <c:showPercent val="0"/>
          <c:showBubbleSize val="0"/>
        </c:dLbls>
        <c:marker val="1"/>
        <c:smooth val="0"/>
        <c:axId val="273595624"/>
        <c:axId val="272970016"/>
        <c:extLst>
          <c:ext xmlns:c15="http://schemas.microsoft.com/office/drawing/2012/chart" uri="{02D57815-91ED-43cb-92C2-25804820EDAC}">
            <c15:filteredLineSeries>
              <c15:ser>
                <c:idx val="0"/>
                <c:order val="10"/>
                <c:tx>
                  <c:strRef>
                    <c:extLst>
                      <c:ext uri="{02D57815-91ED-43cb-92C2-25804820EDAC}">
                        <c15:formulaRef>
                          <c15:sqref>'Tools - Info'!$BK$62</c15:sqref>
                        </c15:formulaRef>
                      </c:ext>
                    </c:extLst>
                    <c:strCache>
                      <c:ptCount val="1"/>
                      <c:pt idx="0">
                        <c:v>day</c:v>
                      </c:pt>
                    </c:strCache>
                  </c:strRef>
                </c:tx>
                <c:spPr>
                  <a:ln w="28575" cap="rnd">
                    <a:solidFill>
                      <a:schemeClr val="accent1"/>
                    </a:solidFill>
                    <a:round/>
                  </a:ln>
                  <a:effectLst/>
                </c:spPr>
                <c:marker>
                  <c:symbol val="none"/>
                </c:marker>
                <c:val>
                  <c:numRef>
                    <c:extLst>
                      <c:ext uri="{02D57815-91ED-43cb-92C2-25804820EDAC}">
                        <c15:formulaRef>
                          <c15:sqref>'Tools - Info'!$BK$64:$BK$103</c15:sqref>
                        </c15:formulaRef>
                      </c:ext>
                    </c:extLst>
                    <c:numCache>
                      <c:formatCode>General</c:formatCode>
                      <c:ptCount val="4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numCache>
                  </c:numRef>
                </c:val>
                <c:smooth val="0"/>
              </c15:ser>
            </c15:filteredLineSeries>
            <c15:filteredLineSeries>
              <c15:ser>
                <c:idx val="3"/>
                <c:order val="11"/>
                <c:tx>
                  <c:strRef>
                    <c:extLst xmlns:c15="http://schemas.microsoft.com/office/drawing/2012/chart">
                      <c:ext xmlns:c15="http://schemas.microsoft.com/office/drawing/2012/chart" uri="{02D57815-91ED-43cb-92C2-25804820EDAC}">
                        <c15:formulaRef>
                          <c15:sqref>'Tools - Info'!$BO$62</c15:sqref>
                        </c15:formulaRef>
                      </c:ext>
                    </c:extLst>
                    <c:strCache>
                      <c:ptCount val="1"/>
                      <c:pt idx="0">
                        <c:v>%</c:v>
                      </c:pt>
                    </c:strCache>
                  </c:strRef>
                </c:tx>
                <c:spPr>
                  <a:ln w="28575" cap="rnd">
                    <a:solidFill>
                      <a:schemeClr val="accent4"/>
                    </a:solidFill>
                    <a:round/>
                  </a:ln>
                  <a:effectLst/>
                </c:spPr>
                <c:marker>
                  <c:symbol val="none"/>
                </c:marker>
                <c:val>
                  <c:numRef>
                    <c:extLst xmlns:c15="http://schemas.microsoft.com/office/drawing/2012/chart">
                      <c:ext xmlns:c15="http://schemas.microsoft.com/office/drawing/2012/chart" uri="{02D57815-91ED-43cb-92C2-25804820EDAC}">
                        <c15:formulaRef>
                          <c15:sqref>'Tools - Info'!$BO$64:$BO$103</c15:sqref>
                        </c15:formulaRef>
                      </c:ext>
                    </c:extLst>
                    <c:numCache>
                      <c:formatCode>#,##0.000</c:formatCode>
                      <c:ptCount val="40"/>
                      <c:pt idx="0">
                        <c:v>0.11339888248466147</c:v>
                      </c:pt>
                      <c:pt idx="1">
                        <c:v>0.52957788926113869</c:v>
                      </c:pt>
                      <c:pt idx="2">
                        <c:v>1.3335223314708082</c:v>
                      </c:pt>
                      <c:pt idx="3">
                        <c:v>2.6670446629416165</c:v>
                      </c:pt>
                      <c:pt idx="4">
                        <c:v>4.7097569649963962</c:v>
                      </c:pt>
                      <c:pt idx="5">
                        <c:v>6.9113298636850953</c:v>
                      </c:pt>
                      <c:pt idx="6">
                        <c:v>8.5712570866320235</c:v>
                      </c:pt>
                      <c:pt idx="7">
                        <c:v>9.4582074675973562</c:v>
                      </c:pt>
                      <c:pt idx="8">
                        <c:v>9.8065770074826677</c:v>
                      </c:pt>
                      <c:pt idx="9">
                        <c:v>9.8022990091006452</c:v>
                      </c:pt>
                      <c:pt idx="10">
                        <c:v>9.4213017502121446</c:v>
                      </c:pt>
                      <c:pt idx="11">
                        <c:v>8.5237521493749338</c:v>
                      </c:pt>
                      <c:pt idx="12">
                        <c:v>7.0683387893775391</c:v>
                      </c:pt>
                      <c:pt idx="13">
                        <c:v>5.3599488683417267</c:v>
                      </c:pt>
                      <c:pt idx="14">
                        <c:v>3.8548596465351728</c:v>
                      </c:pt>
                      <c:pt idx="15">
                        <c:v>2.7268727895678135</c:v>
                      </c:pt>
                      <c:pt idx="16">
                        <c:v>1.9414450567728698</c:v>
                      </c:pt>
                      <c:pt idx="17">
                        <c:v>1.4250204162683979</c:v>
                      </c:pt>
                      <c:pt idx="18">
                        <c:v>1.1182176964830386</c:v>
                      </c:pt>
                      <c:pt idx="19">
                        <c:v>0.90725491059941155</c:v>
                      </c:pt>
                      <c:pt idx="20">
                        <c:v>0.7491605226309308</c:v>
                      </c:pt>
                      <c:pt idx="21">
                        <c:v>0.62043746683753132</c:v>
                      </c:pt>
                      <c:pt idx="22">
                        <c:v>0.5138067608975625</c:v>
                      </c:pt>
                      <c:pt idx="23">
                        <c:v>0.42313873548752901</c:v>
                      </c:pt>
                      <c:pt idx="24">
                        <c:v>0.34747562977563501</c:v>
                      </c:pt>
                      <c:pt idx="25">
                        <c:v>0.28190093815866019</c:v>
                      </c:pt>
                      <c:pt idx="26">
                        <c:v>0.22558460124904783</c:v>
                      </c:pt>
                      <c:pt idx="27">
                        <c:v>0.17724960460440328</c:v>
                      </c:pt>
                      <c:pt idx="28">
                        <c:v>0.13587433667081061</c:v>
                      </c:pt>
                      <c:pt idx="29">
                        <c:v>0.10062873806071311</c:v>
                      </c:pt>
                      <c:pt idx="30">
                        <c:v>7.1002002997152924E-2</c:v>
                      </c:pt>
                      <c:pt idx="31">
                        <c:v>4.6419474981052311E-2</c:v>
                      </c:pt>
                      <c:pt idx="32">
                        <c:v>2.6561900401812596E-2</c:v>
                      </c:pt>
                      <c:pt idx="33">
                        <c:v>1.0982324204595594E-2</c:v>
                      </c:pt>
                      <c:pt idx="34">
                        <c:v>6.3850722119741833E-3</c:v>
                      </c:pt>
                      <c:pt idx="35">
                        <c:v>5.1080577695793465E-3</c:v>
                      </c:pt>
                      <c:pt idx="36">
                        <c:v>3.8310433271845088E-3</c:v>
                      </c:pt>
                      <c:pt idx="37">
                        <c:v>2.5540288847896732E-3</c:v>
                      </c:pt>
                      <c:pt idx="38">
                        <c:v>1.2770144423948366E-3</c:v>
                      </c:pt>
                      <c:pt idx="39">
                        <c:v>6.3850722119741831E-4</c:v>
                      </c:pt>
                    </c:numCache>
                  </c:numRef>
                </c:val>
                <c:smooth val="0"/>
              </c15:ser>
            </c15:filteredLineSeries>
            <c15:filteredLineSeries>
              <c15:ser>
                <c:idx val="4"/>
                <c:order val="12"/>
                <c:tx>
                  <c:strRef>
                    <c:extLst xmlns:c15="http://schemas.microsoft.com/office/drawing/2012/chart">
                      <c:ext xmlns:c15="http://schemas.microsoft.com/office/drawing/2012/chart" uri="{02D57815-91ED-43cb-92C2-25804820EDAC}">
                        <c15:formulaRef>
                          <c15:sqref>'Tools - Info'!$BP$62</c15:sqref>
                        </c15:formulaRef>
                      </c:ext>
                    </c:extLst>
                    <c:strCache>
                      <c:ptCount val="1"/>
                      <c:pt idx="0">
                        <c:v>sum_%</c:v>
                      </c:pt>
                    </c:strCache>
                  </c:strRef>
                </c:tx>
                <c:spPr>
                  <a:ln w="28575" cap="rnd">
                    <a:solidFill>
                      <a:schemeClr val="accent5"/>
                    </a:solidFill>
                    <a:round/>
                  </a:ln>
                  <a:effectLst/>
                </c:spPr>
                <c:marker>
                  <c:symbol val="none"/>
                </c:marker>
                <c:val>
                  <c:numRef>
                    <c:extLst xmlns:c15="http://schemas.microsoft.com/office/drawing/2012/chart">
                      <c:ext xmlns:c15="http://schemas.microsoft.com/office/drawing/2012/chart" uri="{02D57815-91ED-43cb-92C2-25804820EDAC}">
                        <c15:formulaRef>
                          <c15:sqref>'Tools - Info'!$BP$64:$BP$103</c15:sqref>
                        </c15:formulaRef>
                      </c:ext>
                    </c:extLst>
                    <c:numCache>
                      <c:formatCode>#,##0.000</c:formatCode>
                      <c:ptCount val="40"/>
                      <c:pt idx="0">
                        <c:v>0.11339888248466147</c:v>
                      </c:pt>
                      <c:pt idx="1">
                        <c:v>0.64297677174580015</c:v>
                      </c:pt>
                      <c:pt idx="2">
                        <c:v>1.9764991032166084</c:v>
                      </c:pt>
                      <c:pt idx="3">
                        <c:v>4.6435437661582251</c:v>
                      </c:pt>
                      <c:pt idx="4">
                        <c:v>9.3533007311546221</c:v>
                      </c:pt>
                      <c:pt idx="5">
                        <c:v>16.264630594839716</c:v>
                      </c:pt>
                      <c:pt idx="6">
                        <c:v>24.835887681471739</c:v>
                      </c:pt>
                      <c:pt idx="7">
                        <c:v>34.294095149069094</c:v>
                      </c:pt>
                      <c:pt idx="8">
                        <c:v>44.100672156551759</c:v>
                      </c:pt>
                      <c:pt idx="9">
                        <c:v>53.902971165652403</c:v>
                      </c:pt>
                      <c:pt idx="10">
                        <c:v>63.324272915864547</c:v>
                      </c:pt>
                      <c:pt idx="11">
                        <c:v>71.848025065239483</c:v>
                      </c:pt>
                      <c:pt idx="12">
                        <c:v>78.916363854617018</c:v>
                      </c:pt>
                      <c:pt idx="13">
                        <c:v>84.27631272295875</c:v>
                      </c:pt>
                      <c:pt idx="14">
                        <c:v>88.131172369493925</c:v>
                      </c:pt>
                      <c:pt idx="15">
                        <c:v>90.858045159061732</c:v>
                      </c:pt>
                      <c:pt idx="16">
                        <c:v>92.799490215834595</c:v>
                      </c:pt>
                      <c:pt idx="17">
                        <c:v>94.224510632102991</c:v>
                      </c:pt>
                      <c:pt idx="18">
                        <c:v>95.342728328586034</c:v>
                      </c:pt>
                      <c:pt idx="19">
                        <c:v>96.24998323918544</c:v>
                      </c:pt>
                      <c:pt idx="20">
                        <c:v>96.99914376181637</c:v>
                      </c:pt>
                      <c:pt idx="21">
                        <c:v>97.6195812286539</c:v>
                      </c:pt>
                      <c:pt idx="22">
                        <c:v>98.133387989551466</c:v>
                      </c:pt>
                      <c:pt idx="23">
                        <c:v>98.556526725038992</c:v>
                      </c:pt>
                      <c:pt idx="24">
                        <c:v>98.904002354814622</c:v>
                      </c:pt>
                      <c:pt idx="25">
                        <c:v>99.185903292973279</c:v>
                      </c:pt>
                      <c:pt idx="26">
                        <c:v>99.411487894222333</c:v>
                      </c:pt>
                      <c:pt idx="27">
                        <c:v>99.588737498826731</c:v>
                      </c:pt>
                      <c:pt idx="28">
                        <c:v>99.724611835497541</c:v>
                      </c:pt>
                      <c:pt idx="29">
                        <c:v>99.825240573558247</c:v>
                      </c:pt>
                      <c:pt idx="30">
                        <c:v>99.896242576555395</c:v>
                      </c:pt>
                      <c:pt idx="31">
                        <c:v>99.942662051536445</c:v>
                      </c:pt>
                      <c:pt idx="32">
                        <c:v>99.969223951938261</c:v>
                      </c:pt>
                      <c:pt idx="33">
                        <c:v>99.980206276142852</c:v>
                      </c:pt>
                      <c:pt idx="34">
                        <c:v>99.986591348354821</c:v>
                      </c:pt>
                      <c:pt idx="35">
                        <c:v>99.991699406124397</c:v>
                      </c:pt>
                      <c:pt idx="36">
                        <c:v>99.995530449451579</c:v>
                      </c:pt>
                      <c:pt idx="37">
                        <c:v>99.998084478336366</c:v>
                      </c:pt>
                      <c:pt idx="38">
                        <c:v>99.99936149277876</c:v>
                      </c:pt>
                      <c:pt idx="39">
                        <c:v>99.999999999999957</c:v>
                      </c:pt>
                    </c:numCache>
                  </c:numRef>
                </c:val>
                <c:smooth val="0"/>
              </c15:ser>
            </c15:filteredLineSeries>
            <c15:filteredLineSeries>
              <c15:ser>
                <c:idx val="5"/>
                <c:order val="13"/>
                <c:tx>
                  <c:strRef>
                    <c:extLst xmlns:c15="http://schemas.microsoft.com/office/drawing/2012/chart">
                      <c:ext xmlns:c15="http://schemas.microsoft.com/office/drawing/2012/chart" uri="{02D57815-91ED-43cb-92C2-25804820EDAC}">
                        <c15:formulaRef>
                          <c15:sqref>'Tools - Info'!$BQ$62</c15:sqref>
                        </c15:formulaRef>
                      </c:ext>
                    </c:extLst>
                    <c:strCache>
                      <c:ptCount val="1"/>
                    </c:strCache>
                  </c:strRef>
                </c:tx>
                <c:spPr>
                  <a:ln w="28575" cap="rnd">
                    <a:solidFill>
                      <a:schemeClr val="accent6"/>
                    </a:solidFill>
                    <a:round/>
                  </a:ln>
                  <a:effectLst/>
                </c:spPr>
                <c:marker>
                  <c:symbol val="none"/>
                </c:marker>
                <c:val>
                  <c:numRef>
                    <c:extLst xmlns:c15="http://schemas.microsoft.com/office/drawing/2012/chart">
                      <c:ext xmlns:c15="http://schemas.microsoft.com/office/drawing/2012/chart" uri="{02D57815-91ED-43cb-92C2-25804820EDAC}">
                        <c15:formulaRef>
                          <c15:sqref>'Tools - Info'!$BQ$64:$BQ$103</c15:sqref>
                        </c15:formulaRef>
                      </c:ext>
                    </c:extLst>
                    <c:numCache>
                      <c:formatCode>General</c:formatCode>
                      <c:ptCount val="40"/>
                    </c:numCache>
                  </c:numRef>
                </c:val>
                <c:smooth val="0"/>
              </c15:ser>
            </c15:filteredLineSeries>
            <c15:filteredLineSeries>
              <c15:ser>
                <c:idx val="8"/>
                <c:order val="14"/>
                <c:tx>
                  <c:strRef>
                    <c:extLst xmlns:c15="http://schemas.microsoft.com/office/drawing/2012/chart">
                      <c:ext xmlns:c15="http://schemas.microsoft.com/office/drawing/2012/chart" uri="{02D57815-91ED-43cb-92C2-25804820EDAC}">
                        <c15:formulaRef>
                          <c15:sqref>'Tools - Info'!$BU$62</c15:sqref>
                        </c15:formulaRef>
                      </c:ext>
                    </c:extLst>
                    <c:strCache>
                      <c:ptCount val="1"/>
                      <c:pt idx="0">
                        <c:v>%</c:v>
                      </c:pt>
                    </c:strCache>
                  </c:strRef>
                </c:tx>
                <c:spPr>
                  <a:ln w="28575" cap="rnd">
                    <a:solidFill>
                      <a:schemeClr val="accent3">
                        <a:lumMod val="6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Info'!$BU$64:$BU$103</c15:sqref>
                        </c15:formulaRef>
                      </c:ext>
                    </c:extLst>
                    <c:numCache>
                      <c:formatCode>#,##0.000</c:formatCode>
                      <c:ptCount val="40"/>
                      <c:pt idx="0">
                        <c:v>5.350827837925045E-2</c:v>
                      </c:pt>
                      <c:pt idx="1">
                        <c:v>0.20354765290531029</c:v>
                      </c:pt>
                      <c:pt idx="2">
                        <c:v>0.48065567639058016</c:v>
                      </c:pt>
                      <c:pt idx="3">
                        <c:v>0.92034238812310787</c:v>
                      </c:pt>
                      <c:pt idx="4">
                        <c:v>1.570765238644219</c:v>
                      </c:pt>
                      <c:pt idx="5">
                        <c:v>2.5065655738546657</c:v>
                      </c:pt>
                      <c:pt idx="6">
                        <c:v>3.7970879605833154</c:v>
                      </c:pt>
                      <c:pt idx="7">
                        <c:v>5.3308838432564158</c:v>
                      </c:pt>
                      <c:pt idx="8">
                        <c:v>6.7559336086577462</c:v>
                      </c:pt>
                      <c:pt idx="9">
                        <c:v>7.6609261472255952</c:v>
                      </c:pt>
                      <c:pt idx="10">
                        <c:v>8.0440778496806509</c:v>
                      </c:pt>
                      <c:pt idx="11">
                        <c:v>8.0674809653758182</c:v>
                      </c:pt>
                      <c:pt idx="12">
                        <c:v>7.827882785522065</c:v>
                      </c:pt>
                      <c:pt idx="13">
                        <c:v>7.1742170090385731</c:v>
                      </c:pt>
                      <c:pt idx="14">
                        <c:v>6.2029066345400787</c:v>
                      </c:pt>
                      <c:pt idx="15">
                        <c:v>5.2759702969601339</c:v>
                      </c:pt>
                      <c:pt idx="16">
                        <c:v>4.5224224008353771</c:v>
                      </c:pt>
                      <c:pt idx="17">
                        <c:v>3.8890789603827942</c:v>
                      </c:pt>
                      <c:pt idx="18">
                        <c:v>3.3509694456920696</c:v>
                      </c:pt>
                      <c:pt idx="19">
                        <c:v>2.8844204972378376</c:v>
                      </c:pt>
                      <c:pt idx="20">
                        <c:v>2.4735417778044417</c:v>
                      </c:pt>
                      <c:pt idx="21">
                        <c:v>2.107253290353754</c:v>
                      </c:pt>
                      <c:pt idx="22">
                        <c:v>1.7774477199798289</c:v>
                      </c:pt>
                      <c:pt idx="23">
                        <c:v>1.4782337511843435</c:v>
                      </c:pt>
                      <c:pt idx="24">
                        <c:v>1.2051253363860075</c:v>
                      </c:pt>
                      <c:pt idx="25">
                        <c:v>0.96158159661135845</c:v>
                      </c:pt>
                      <c:pt idx="26">
                        <c:v>0.77376213462358545</c:v>
                      </c:pt>
                      <c:pt idx="27">
                        <c:v>0.62556041814287344</c:v>
                      </c:pt>
                      <c:pt idx="28">
                        <c:v>0.50151850008188381</c:v>
                      </c:pt>
                      <c:pt idx="29">
                        <c:v>0.40477120887091583</c:v>
                      </c:pt>
                      <c:pt idx="30">
                        <c:v>0.32104967027550274</c:v>
                      </c:pt>
                      <c:pt idx="31">
                        <c:v>0.25073222565792208</c:v>
                      </c:pt>
                      <c:pt idx="32">
                        <c:v>0.19171097314262767</c:v>
                      </c:pt>
                      <c:pt idx="33">
                        <c:v>0.14258064481258859</c:v>
                      </c:pt>
                      <c:pt idx="34">
                        <c:v>0.10209811904889304</c:v>
                      </c:pt>
                      <c:pt idx="35">
                        <c:v>6.9506713126985947E-2</c:v>
                      </c:pt>
                      <c:pt idx="36">
                        <c:v>4.4157841854391533E-2</c:v>
                      </c:pt>
                      <c:pt idx="37">
                        <c:v>2.5727212634871936E-2</c:v>
                      </c:pt>
                      <c:pt idx="38">
                        <c:v>1.4160776702387495E-2</c:v>
                      </c:pt>
                      <c:pt idx="39">
                        <c:v>9.8368754192157386E-3</c:v>
                      </c:pt>
                    </c:numCache>
                  </c:numRef>
                </c:val>
                <c:smooth val="0"/>
              </c15:ser>
            </c15:filteredLineSeries>
            <c15:filteredLineSeries>
              <c15:ser>
                <c:idx val="9"/>
                <c:order val="15"/>
                <c:tx>
                  <c:strRef>
                    <c:extLst xmlns:c15="http://schemas.microsoft.com/office/drawing/2012/chart">
                      <c:ext xmlns:c15="http://schemas.microsoft.com/office/drawing/2012/chart" uri="{02D57815-91ED-43cb-92C2-25804820EDAC}">
                        <c15:formulaRef>
                          <c15:sqref>'Tools - Info'!$BV$62</c15:sqref>
                        </c15:formulaRef>
                      </c:ext>
                    </c:extLst>
                    <c:strCache>
                      <c:ptCount val="1"/>
                      <c:pt idx="0">
                        <c:v>sum_%</c:v>
                      </c:pt>
                    </c:strCache>
                  </c:strRef>
                </c:tx>
                <c:spPr>
                  <a:ln w="28575" cap="rnd">
                    <a:solidFill>
                      <a:schemeClr val="accent4">
                        <a:lumMod val="6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Info'!$BV$64:$BV$103</c15:sqref>
                        </c15:formulaRef>
                      </c:ext>
                    </c:extLst>
                    <c:numCache>
                      <c:formatCode>#,##0.000</c:formatCode>
                      <c:ptCount val="40"/>
                      <c:pt idx="0">
                        <c:v>5.350827837925045E-2</c:v>
                      </c:pt>
                      <c:pt idx="1">
                        <c:v>0.25705593128456072</c:v>
                      </c:pt>
                      <c:pt idx="2">
                        <c:v>0.73771160767514088</c:v>
                      </c:pt>
                      <c:pt idx="3">
                        <c:v>1.6580539957982487</c:v>
                      </c:pt>
                      <c:pt idx="4">
                        <c:v>3.2288192344424678</c:v>
                      </c:pt>
                      <c:pt idx="5">
                        <c:v>5.7353848082971339</c:v>
                      </c:pt>
                      <c:pt idx="6">
                        <c:v>9.5324727688804494</c:v>
                      </c:pt>
                      <c:pt idx="7">
                        <c:v>14.863356612136865</c:v>
                      </c:pt>
                      <c:pt idx="8">
                        <c:v>21.61929022079461</c:v>
                      </c:pt>
                      <c:pt idx="9">
                        <c:v>29.280216368020206</c:v>
                      </c:pt>
                      <c:pt idx="10">
                        <c:v>37.324294217700853</c:v>
                      </c:pt>
                      <c:pt idx="11">
                        <c:v>45.391775183076675</c:v>
                      </c:pt>
                      <c:pt idx="12">
                        <c:v>53.219657968598739</c:v>
                      </c:pt>
                      <c:pt idx="13">
                        <c:v>60.39387497763731</c:v>
                      </c:pt>
                      <c:pt idx="14">
                        <c:v>66.596781612177395</c:v>
                      </c:pt>
                      <c:pt idx="15">
                        <c:v>71.872751909137534</c:v>
                      </c:pt>
                      <c:pt idx="16">
                        <c:v>76.395174309972916</c:v>
                      </c:pt>
                      <c:pt idx="17">
                        <c:v>80.284253270355705</c:v>
                      </c:pt>
                      <c:pt idx="18">
                        <c:v>83.635222716047778</c:v>
                      </c:pt>
                      <c:pt idx="19">
                        <c:v>86.519643213285619</c:v>
                      </c:pt>
                      <c:pt idx="20">
                        <c:v>88.993184991090061</c:v>
                      </c:pt>
                      <c:pt idx="21">
                        <c:v>91.100438281443815</c:v>
                      </c:pt>
                      <c:pt idx="22">
                        <c:v>92.877886001423647</c:v>
                      </c:pt>
                      <c:pt idx="23">
                        <c:v>94.356119752607995</c:v>
                      </c:pt>
                      <c:pt idx="24">
                        <c:v>95.561245088993999</c:v>
                      </c:pt>
                      <c:pt idx="25">
                        <c:v>96.522826685605352</c:v>
                      </c:pt>
                      <c:pt idx="26">
                        <c:v>97.296588820228934</c:v>
                      </c:pt>
                      <c:pt idx="27">
                        <c:v>97.922149238371802</c:v>
                      </c:pt>
                      <c:pt idx="28">
                        <c:v>98.423667738453688</c:v>
                      </c:pt>
                      <c:pt idx="29">
                        <c:v>98.828438947324599</c:v>
                      </c:pt>
                      <c:pt idx="30">
                        <c:v>99.149488617600099</c:v>
                      </c:pt>
                      <c:pt idx="31">
                        <c:v>99.400220843258026</c:v>
                      </c:pt>
                      <c:pt idx="32">
                        <c:v>99.59193181640066</c:v>
                      </c:pt>
                      <c:pt idx="33">
                        <c:v>99.734512461213242</c:v>
                      </c:pt>
                      <c:pt idx="34">
                        <c:v>99.836610580262132</c:v>
                      </c:pt>
                      <c:pt idx="35">
                        <c:v>99.906117293389116</c:v>
                      </c:pt>
                      <c:pt idx="36">
                        <c:v>99.950275135243501</c:v>
                      </c:pt>
                      <c:pt idx="37">
                        <c:v>99.976002347878378</c:v>
                      </c:pt>
                      <c:pt idx="38">
                        <c:v>99.990163124580761</c:v>
                      </c:pt>
                      <c:pt idx="39">
                        <c:v>99.999999999999972</c:v>
                      </c:pt>
                    </c:numCache>
                  </c:numRef>
                </c:val>
                <c:smooth val="0"/>
              </c15:ser>
            </c15:filteredLineSeries>
            <c15:filteredLineSeries>
              <c15:ser>
                <c:idx val="10"/>
                <c:order val="16"/>
                <c:tx>
                  <c:strRef>
                    <c:extLst xmlns:c15="http://schemas.microsoft.com/office/drawing/2012/chart">
                      <c:ext xmlns:c15="http://schemas.microsoft.com/office/drawing/2012/chart" uri="{02D57815-91ED-43cb-92C2-25804820EDAC}">
                        <c15:formulaRef>
                          <c15:sqref>'Tools - Info'!$BW$62</c15:sqref>
                        </c15:formulaRef>
                      </c:ext>
                    </c:extLst>
                    <c:strCache>
                      <c:ptCount val="1"/>
                    </c:strCache>
                  </c:strRef>
                </c:tx>
                <c:spPr>
                  <a:ln w="28575" cap="rnd">
                    <a:solidFill>
                      <a:schemeClr val="accent5">
                        <a:lumMod val="6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Info'!$BW$64:$BW$103</c15:sqref>
                        </c15:formulaRef>
                      </c:ext>
                    </c:extLst>
                    <c:numCache>
                      <c:formatCode>General</c:formatCode>
                      <c:ptCount val="40"/>
                    </c:numCache>
                  </c:numRef>
                </c:val>
                <c:smooth val="0"/>
              </c15:ser>
            </c15:filteredLineSeries>
            <c15:filteredLineSeries>
              <c15:ser>
                <c:idx val="11"/>
                <c:order val="17"/>
                <c:tx>
                  <c:strRef>
                    <c:extLst xmlns:c15="http://schemas.microsoft.com/office/drawing/2012/chart">
                      <c:ext xmlns:c15="http://schemas.microsoft.com/office/drawing/2012/chart" uri="{02D57815-91ED-43cb-92C2-25804820EDAC}">
                        <c15:formulaRef>
                          <c15:sqref>'Tools - Info'!$BX$62</c15:sqref>
                        </c15:formulaRef>
                      </c:ext>
                    </c:extLst>
                    <c:strCache>
                      <c:ptCount val="1"/>
                      <c:pt idx="0">
                        <c:v>diff_sum_vol</c:v>
                      </c:pt>
                    </c:strCache>
                  </c:strRef>
                </c:tx>
                <c:spPr>
                  <a:ln w="28575" cap="rnd">
                    <a:solidFill>
                      <a:schemeClr val="accent6">
                        <a:lumMod val="6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Info'!$BX$64:$BX$103</c15:sqref>
                        </c15:formulaRef>
                      </c:ext>
                    </c:extLst>
                    <c:numCache>
                      <c:formatCode>#,##0.000</c:formatCode>
                      <c:ptCount val="40"/>
                      <c:pt idx="0">
                        <c:v>6.6868083606065278</c:v>
                      </c:pt>
                      <c:pt idx="1">
                        <c:v>41.944093390074613</c:v>
                      </c:pt>
                      <c:pt idx="2">
                        <c:v>133.49850891823058</c:v>
                      </c:pt>
                      <c:pt idx="3">
                        <c:v>320.1700011412068</c:v>
                      </c:pt>
                      <c:pt idx="4">
                        <c:v>654.55195248834514</c:v>
                      </c:pt>
                      <c:pt idx="5">
                        <c:v>1127.7139965544529</c:v>
                      </c:pt>
                      <c:pt idx="6">
                        <c:v>1654.6449361653301</c:v>
                      </c:pt>
                      <c:pt idx="7">
                        <c:v>2136.8920239154882</c:v>
                      </c:pt>
                      <c:pt idx="8">
                        <c:v>2530.0537380548772</c:v>
                      </c:pt>
                      <c:pt idx="9">
                        <c:v>2844.0895012022038</c:v>
                      </c:pt>
                      <c:pt idx="10">
                        <c:v>3086.7066664151885</c:v>
                      </c:pt>
                      <c:pt idx="11">
                        <c:v>3237.5337366036006</c:v>
                      </c:pt>
                      <c:pt idx="12">
                        <c:v>3263.6549285123556</c:v>
                      </c:pt>
                      <c:pt idx="13">
                        <c:v>3175.779904240535</c:v>
                      </c:pt>
                      <c:pt idx="14">
                        <c:v>3021.8611079544462</c:v>
                      </c:pt>
                      <c:pt idx="15">
                        <c:v>2835.7500098875735</c:v>
                      </c:pt>
                      <c:pt idx="16">
                        <c:v>2636.6246635882153</c:v>
                      </c:pt>
                      <c:pt idx="17">
                        <c:v>2440.9323988201677</c:v>
                      </c:pt>
                      <c:pt idx="18">
                        <c:v>2261.3538654710901</c:v>
                      </c:pt>
                      <c:pt idx="19">
                        <c:v>2101.2501500912285</c:v>
                      </c:pt>
                      <c:pt idx="20">
                        <c:v>1961.0670093564477</c:v>
                      </c:pt>
                      <c:pt idx="21">
                        <c:v>1839.8640099110389</c:v>
                      </c:pt>
                      <c:pt idx="22">
                        <c:v>1736.6778322713499</c:v>
                      </c:pt>
                      <c:pt idx="23">
                        <c:v>1650.4444988171126</c:v>
                      </c:pt>
                      <c:pt idx="24">
                        <c:v>1580.3943625425491</c:v>
                      </c:pt>
                      <c:pt idx="25">
                        <c:v>1524.9653207170904</c:v>
                      </c:pt>
                      <c:pt idx="26">
                        <c:v>1480.2374256151288</c:v>
                      </c:pt>
                      <c:pt idx="27">
                        <c:v>1443.563652113864</c:v>
                      </c:pt>
                      <c:pt idx="28">
                        <c:v>1413.539037013823</c:v>
                      </c:pt>
                      <c:pt idx="29">
                        <c:v>1388.4030064964791</c:v>
                      </c:pt>
                      <c:pt idx="30">
                        <c:v>1367.5847274690368</c:v>
                      </c:pt>
                      <c:pt idx="31">
                        <c:v>1350.4230006239286</c:v>
                      </c:pt>
                      <c:pt idx="32">
                        <c:v>1336.4080044396269</c:v>
                      </c:pt>
                      <c:pt idx="33">
                        <c:v>1325.1074239871832</c:v>
                      </c:pt>
                      <c:pt idx="34">
                        <c:v>1316.86747877589</c:v>
                      </c:pt>
                      <c:pt idx="35">
                        <c:v>1311.3339807793254</c:v>
                      </c:pt>
                      <c:pt idx="36">
                        <c:v>1307.8771191843862</c:v>
                      </c:pt>
                      <c:pt idx="37">
                        <c:v>1305.8952836621356</c:v>
                      </c:pt>
                      <c:pt idx="38">
                        <c:v>1304.7915639643361</c:v>
                      </c:pt>
                      <c:pt idx="39">
                        <c:v>1304</c:v>
                      </c:pt>
                    </c:numCache>
                  </c:numRef>
                </c:val>
                <c:smooth val="0"/>
              </c15:ser>
            </c15:filteredLineSeries>
            <c15:filteredLineSeries>
              <c15:ser>
                <c:idx val="12"/>
                <c:order val="18"/>
                <c:tx>
                  <c:strRef>
                    <c:extLst xmlns:c15="http://schemas.microsoft.com/office/drawing/2012/chart">
                      <c:ext xmlns:c15="http://schemas.microsoft.com/office/drawing/2012/chart" uri="{02D57815-91ED-43cb-92C2-25804820EDAC}">
                        <c15:formulaRef>
                          <c15:sqref>'Tools - Info'!$BY$62</c15:sqref>
                        </c15:formulaRef>
                      </c:ext>
                    </c:extLst>
                    <c:strCache>
                      <c:ptCount val="1"/>
                      <c:pt idx="0">
                        <c:v>%_diff_sum_vol</c:v>
                      </c:pt>
                    </c:strCache>
                  </c:strRef>
                </c:tx>
                <c:spPr>
                  <a:ln w="28575" cap="rnd">
                    <a:solidFill>
                      <a:schemeClr val="accent1">
                        <a:lumMod val="80000"/>
                        <a:lumOff val="2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Info'!$BY$64:$BY$103</c15:sqref>
                        </c15:formulaRef>
                      </c:ext>
                    </c:extLst>
                    <c:numCache>
                      <c:formatCode>#,##0.000</c:formatCode>
                      <c:ptCount val="40"/>
                      <c:pt idx="0">
                        <c:v>143.70714713179805</c:v>
                      </c:pt>
                      <c:pt idx="1">
                        <c:v>187.63923402362246</c:v>
                      </c:pt>
                      <c:pt idx="2">
                        <c:v>208.09913111437072</c:v>
                      </c:pt>
                      <c:pt idx="3">
                        <c:v>222.05596139477271</c:v>
                      </c:pt>
                      <c:pt idx="4">
                        <c:v>233.12071148079684</c:v>
                      </c:pt>
                      <c:pt idx="5">
                        <c:v>226.10849430584636</c:v>
                      </c:pt>
                      <c:pt idx="6">
                        <c:v>199.60881212052632</c:v>
                      </c:pt>
                      <c:pt idx="7">
                        <c:v>165.32789991695907</c:v>
                      </c:pt>
                      <c:pt idx="8">
                        <c:v>134.57636172291208</c:v>
                      </c:pt>
                      <c:pt idx="9">
                        <c:v>111.69904150949195</c:v>
                      </c:pt>
                      <c:pt idx="10">
                        <c:v>95.100811896042742</c:v>
                      </c:pt>
                      <c:pt idx="11">
                        <c:v>82.019591908076009</c:v>
                      </c:pt>
                      <c:pt idx="12">
                        <c:v>70.520051968049117</c:v>
                      </c:pt>
                      <c:pt idx="13">
                        <c:v>60.469721659630004</c:v>
                      </c:pt>
                      <c:pt idx="14">
                        <c:v>52.179717847825188</c:v>
                      </c:pt>
                      <c:pt idx="15">
                        <c:v>45.371604474118399</c:v>
                      </c:pt>
                      <c:pt idx="16">
                        <c:v>39.688332550179283</c:v>
                      </c:pt>
                      <c:pt idx="17">
                        <c:v>34.962771227274153</c:v>
                      </c:pt>
                      <c:pt idx="18">
                        <c:v>31.092796105816987</c:v>
                      </c:pt>
                      <c:pt idx="19">
                        <c:v>27.928236053949778</c:v>
                      </c:pt>
                      <c:pt idx="20">
                        <c:v>25.340556757368404</c:v>
                      </c:pt>
                      <c:pt idx="21">
                        <c:v>23.224465446610381</c:v>
                      </c:pt>
                      <c:pt idx="22">
                        <c:v>21.502423333542666</c:v>
                      </c:pt>
                      <c:pt idx="23">
                        <c:v>20.114596289097317</c:v>
                      </c:pt>
                      <c:pt idx="24">
                        <c:v>19.017969261478111</c:v>
                      </c:pt>
                      <c:pt idx="25">
                        <c:v>18.168137356127069</c:v>
                      </c:pt>
                      <c:pt idx="26">
                        <c:v>17.495011612426055</c:v>
                      </c:pt>
                      <c:pt idx="27">
                        <c:v>16.952567029732808</c:v>
                      </c:pt>
                      <c:pt idx="28">
                        <c:v>16.515386082649751</c:v>
                      </c:pt>
                      <c:pt idx="29">
                        <c:v>16.155264724339077</c:v>
                      </c:pt>
                      <c:pt idx="30">
                        <c:v>15.861499157838518</c:v>
                      </c:pt>
                      <c:pt idx="31">
                        <c:v>15.622946514303418</c:v>
                      </c:pt>
                      <c:pt idx="32">
                        <c:v>15.431046519203873</c:v>
                      </c:pt>
                      <c:pt idx="33">
                        <c:v>15.278688865847394</c:v>
                      </c:pt>
                      <c:pt idx="34">
                        <c:v>15.168153428984454</c:v>
                      </c:pt>
                      <c:pt idx="35">
                        <c:v>15.093908158971663</c:v>
                      </c:pt>
                      <c:pt idx="36">
                        <c:v>15.047467604125018</c:v>
                      </c:pt>
                      <c:pt idx="37">
                        <c:v>15.02079971357273</c:v>
                      </c:pt>
                      <c:pt idx="38">
                        <c:v>15.005978924929922</c:v>
                      </c:pt>
                      <c:pt idx="39">
                        <c:v>14.995400183992638</c:v>
                      </c:pt>
                    </c:numCache>
                  </c:numRef>
                </c:val>
                <c:smooth val="0"/>
              </c15:ser>
            </c15:filteredLineSeries>
            <c15:filteredLineSeries>
              <c15:ser>
                <c:idx val="13"/>
                <c:order val="19"/>
                <c:tx>
                  <c:strRef>
                    <c:extLst xmlns:c15="http://schemas.microsoft.com/office/drawing/2012/chart">
                      <c:ext xmlns:c15="http://schemas.microsoft.com/office/drawing/2012/chart" uri="{02D57815-91ED-43cb-92C2-25804820EDAC}">
                        <c15:formulaRef>
                          <c15:sqref>'Tools - Info'!$BZ$62</c15:sqref>
                        </c15:formulaRef>
                      </c:ext>
                    </c:extLst>
                    <c:strCache>
                      <c:ptCount val="1"/>
                    </c:strCache>
                  </c:strRef>
                </c:tx>
                <c:spPr>
                  <a:ln w="28575" cap="rnd">
                    <a:solidFill>
                      <a:schemeClr val="accent2">
                        <a:lumMod val="80000"/>
                        <a:lumOff val="2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Info'!$BZ$64:$BZ$103</c15:sqref>
                        </c15:formulaRef>
                      </c:ext>
                    </c:extLst>
                    <c:numCache>
                      <c:formatCode>General</c:formatCode>
                      <c:ptCount val="40"/>
                    </c:numCache>
                  </c:numRef>
                </c:val>
                <c:smooth val="0"/>
              </c15:ser>
            </c15:filteredLineSeries>
            <c15:filteredLineSeries>
              <c15:ser>
                <c:idx val="14"/>
                <c:order val="20"/>
                <c:tx>
                  <c:strRef>
                    <c:extLst xmlns:c15="http://schemas.microsoft.com/office/drawing/2012/chart">
                      <c:ext xmlns:c15="http://schemas.microsoft.com/office/drawing/2012/chart" uri="{02D57815-91ED-43cb-92C2-25804820EDAC}">
                        <c15:formulaRef>
                          <c15:sqref>'Tools - Info'!$CA$62</c15:sqref>
                        </c15:formulaRef>
                      </c:ext>
                    </c:extLst>
                    <c:strCache>
                      <c:ptCount val="1"/>
                    </c:strCache>
                  </c:strRef>
                </c:tx>
                <c:spPr>
                  <a:ln w="28575" cap="rnd">
                    <a:solidFill>
                      <a:schemeClr val="accent3">
                        <a:lumMod val="80000"/>
                        <a:lumOff val="20000"/>
                      </a:schemeClr>
                    </a:solidFill>
                    <a:round/>
                  </a:ln>
                  <a:effectLst/>
                </c:spPr>
                <c:marker>
                  <c:symbol val="none"/>
                </c:marker>
                <c:val>
                  <c:numRef>
                    <c:extLst xmlns:c15="http://schemas.microsoft.com/office/drawing/2012/chart">
                      <c:ext xmlns:c15="http://schemas.microsoft.com/office/drawing/2012/chart" uri="{02D57815-91ED-43cb-92C2-25804820EDAC}">
                        <c15:formulaRef>
                          <c15:sqref>'Tools - Info'!$CA$64:$CA$103</c15:sqref>
                        </c15:formulaRef>
                      </c:ext>
                    </c:extLst>
                    <c:numCache>
                      <c:formatCode>General</c:formatCode>
                      <c:ptCount val="40"/>
                    </c:numCache>
                  </c:numRef>
                </c:val>
                <c:smooth val="0"/>
              </c15:ser>
            </c15:filteredLineSeries>
          </c:ext>
        </c:extLst>
      </c:lineChart>
      <c:lineChart>
        <c:grouping val="standard"/>
        <c:varyColors val="0"/>
        <c:ser>
          <c:idx val="2"/>
          <c:order val="2"/>
          <c:tx>
            <c:strRef>
              <c:f>'Tools - Info'!$BN$62</c:f>
              <c:strCache>
                <c:ptCount val="1"/>
                <c:pt idx="0">
                  <c:v>SBGx vol. accum.</c:v>
                </c:pt>
              </c:strCache>
            </c:strRef>
          </c:tx>
          <c:spPr>
            <a:ln w="28575" cap="rnd">
              <a:solidFill>
                <a:srgbClr val="00FF00"/>
              </a:solidFill>
              <a:prstDash val="sysDash"/>
              <a:round/>
            </a:ln>
            <a:effectLst/>
          </c:spPr>
          <c:marker>
            <c:symbol val="none"/>
          </c:marker>
          <c:dLbls>
            <c:dLbl>
              <c:idx val="39"/>
              <c:dLblPos val="b"/>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0"/>
              </c:ext>
            </c:extLst>
          </c:dLbls>
          <c:val>
            <c:numRef>
              <c:f>'Tools - Info'!$BN$64:$BN$103</c:f>
              <c:numCache>
                <c:formatCode>#,##0.000</c:formatCode>
                <c:ptCount val="40"/>
                <c:pt idx="0">
                  <c:v>11.339888248466147</c:v>
                </c:pt>
                <c:pt idx="1">
                  <c:v>64.297677174580016</c:v>
                </c:pt>
                <c:pt idx="2">
                  <c:v>197.64991032166085</c:v>
                </c:pt>
                <c:pt idx="3">
                  <c:v>464.3543766158225</c:v>
                </c:pt>
                <c:pt idx="4">
                  <c:v>935.33007311546214</c:v>
                </c:pt>
                <c:pt idx="5">
                  <c:v>1626.4630594839716</c:v>
                </c:pt>
                <c:pt idx="6">
                  <c:v>2483.5887681471741</c:v>
                </c:pt>
                <c:pt idx="7">
                  <c:v>3429.4095149069099</c:v>
                </c:pt>
                <c:pt idx="8">
                  <c:v>4410.0672156551764</c:v>
                </c:pt>
                <c:pt idx="9">
                  <c:v>5390.2971165652407</c:v>
                </c:pt>
                <c:pt idx="10">
                  <c:v>6332.4272915864549</c:v>
                </c:pt>
                <c:pt idx="11">
                  <c:v>7184.8025065239481</c:v>
                </c:pt>
                <c:pt idx="12">
                  <c:v>7891.636385461702</c:v>
                </c:pt>
                <c:pt idx="13">
                  <c:v>8427.6312722958755</c:v>
                </c:pt>
                <c:pt idx="14">
                  <c:v>8813.1172369493925</c:v>
                </c:pt>
                <c:pt idx="15">
                  <c:v>9085.804515906173</c:v>
                </c:pt>
                <c:pt idx="16">
                  <c:v>9279.9490215834594</c:v>
                </c:pt>
                <c:pt idx="17">
                  <c:v>9422.4510632102993</c:v>
                </c:pt>
                <c:pt idx="18">
                  <c:v>9534.2728328586036</c:v>
                </c:pt>
                <c:pt idx="19">
                  <c:v>9624.998323918544</c:v>
                </c:pt>
                <c:pt idx="20">
                  <c:v>9699.9143761816376</c:v>
                </c:pt>
                <c:pt idx="21">
                  <c:v>9761.9581228653915</c:v>
                </c:pt>
                <c:pt idx="22">
                  <c:v>9813.3387989551484</c:v>
                </c:pt>
                <c:pt idx="23">
                  <c:v>9855.6526725039021</c:v>
                </c:pt>
                <c:pt idx="24">
                  <c:v>9890.4002354814656</c:v>
                </c:pt>
                <c:pt idx="25">
                  <c:v>9918.5903292973308</c:v>
                </c:pt>
                <c:pt idx="26">
                  <c:v>9941.1487894222355</c:v>
                </c:pt>
                <c:pt idx="27">
                  <c:v>9958.8737498826758</c:v>
                </c:pt>
                <c:pt idx="28">
                  <c:v>9972.4611835497562</c:v>
                </c:pt>
                <c:pt idx="29">
                  <c:v>9982.5240573558276</c:v>
                </c:pt>
                <c:pt idx="30">
                  <c:v>9989.6242576555433</c:v>
                </c:pt>
                <c:pt idx="31">
                  <c:v>9994.2662051536481</c:v>
                </c:pt>
                <c:pt idx="32">
                  <c:v>9996.9223951938293</c:v>
                </c:pt>
                <c:pt idx="33">
                  <c:v>9998.020627614289</c:v>
                </c:pt>
                <c:pt idx="34">
                  <c:v>9998.6591348354868</c:v>
                </c:pt>
                <c:pt idx="35">
                  <c:v>9999.1699406124444</c:v>
                </c:pt>
                <c:pt idx="36">
                  <c:v>9999.5530449451635</c:v>
                </c:pt>
                <c:pt idx="37">
                  <c:v>9999.8084478336423</c:v>
                </c:pt>
                <c:pt idx="38">
                  <c:v>9999.9361492778826</c:v>
                </c:pt>
                <c:pt idx="39">
                  <c:v>10000.000000000002</c:v>
                </c:pt>
              </c:numCache>
            </c:numRef>
          </c:val>
          <c:smooth val="1"/>
          <c:extLst/>
        </c:ser>
        <c:ser>
          <c:idx val="7"/>
          <c:order val="3"/>
          <c:tx>
            <c:strRef>
              <c:f>'Tools - Info'!$BT$62</c:f>
              <c:strCache>
                <c:ptCount val="1"/>
                <c:pt idx="0">
                  <c:v>Standard vol. accum.</c:v>
                </c:pt>
              </c:strCache>
            </c:strRef>
          </c:tx>
          <c:spPr>
            <a:ln w="28575" cap="rnd">
              <a:solidFill>
                <a:srgbClr val="0000FF"/>
              </a:solidFill>
              <a:prstDash val="sysDash"/>
              <a:round/>
            </a:ln>
            <a:effectLst/>
          </c:spPr>
          <c:marker>
            <c:symbol val="none"/>
          </c:marker>
          <c:dLbls>
            <c:dLbl>
              <c:idx val="39"/>
              <c:dLblPos val="b"/>
              <c:showLegendKey val="0"/>
              <c:showVal val="1"/>
              <c:showCatName val="0"/>
              <c:showSerName val="0"/>
              <c:showPercent val="0"/>
              <c:showBubbleSize val="0"/>
              <c:extLst>
                <c:ext xmlns:c15="http://schemas.microsoft.com/office/drawing/2012/chart" uri="{CE6537A1-D6FC-4f65-9D91-7224C49458BB}"/>
              </c:extLst>
            </c:dLbl>
            <c:numFmt formatCode="#,##0.0" sourceLinked="0"/>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b"/>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'Tools - Info'!$BT$64:$BT$103</c:f>
              <c:numCache>
                <c:formatCode>#,##0.000</c:formatCode>
                <c:ptCount val="40"/>
                <c:pt idx="0">
                  <c:v>4.6530798878596196</c:v>
                </c:pt>
                <c:pt idx="1">
                  <c:v>22.353583784505403</c:v>
                </c:pt>
                <c:pt idx="2">
                  <c:v>64.151401403430256</c:v>
                </c:pt>
                <c:pt idx="3">
                  <c:v>144.18437547461571</c:v>
                </c:pt>
                <c:pt idx="4">
                  <c:v>280.778120627117</c:v>
                </c:pt>
                <c:pt idx="5">
                  <c:v>498.74906292951874</c:v>
                </c:pt>
                <c:pt idx="6">
                  <c:v>828.94383198184391</c:v>
                </c:pt>
                <c:pt idx="7">
                  <c:v>1292.5174909914217</c:v>
                </c:pt>
                <c:pt idx="8">
                  <c:v>1880.0134776002992</c:v>
                </c:pt>
                <c:pt idx="9">
                  <c:v>2546.2076153630369</c:v>
                </c:pt>
                <c:pt idx="10">
                  <c:v>3245.7206251712664</c:v>
                </c:pt>
                <c:pt idx="11">
                  <c:v>3947.2687699203475</c:v>
                </c:pt>
                <c:pt idx="12">
                  <c:v>4627.9814569493465</c:v>
                </c:pt>
                <c:pt idx="13">
                  <c:v>5251.8513680553406</c:v>
                </c:pt>
                <c:pt idx="14">
                  <c:v>5791.2561289949463</c:v>
                </c:pt>
                <c:pt idx="15">
                  <c:v>6250.0545060185996</c:v>
                </c:pt>
                <c:pt idx="16">
                  <c:v>6643.3243579952441</c:v>
                </c:pt>
                <c:pt idx="17">
                  <c:v>6981.5186643901316</c:v>
                </c:pt>
                <c:pt idx="18">
                  <c:v>7272.9189673875135</c:v>
                </c:pt>
                <c:pt idx="19">
                  <c:v>7523.7481738273154</c:v>
                </c:pt>
                <c:pt idx="20">
                  <c:v>7738.84736682519</c:v>
                </c:pt>
                <c:pt idx="21">
                  <c:v>7922.0941129543526</c:v>
                </c:pt>
                <c:pt idx="22">
                  <c:v>8076.6609666837985</c:v>
                </c:pt>
                <c:pt idx="23">
                  <c:v>8205.2081736867895</c:v>
                </c:pt>
                <c:pt idx="24">
                  <c:v>8310.0058729389166</c:v>
                </c:pt>
                <c:pt idx="25">
                  <c:v>8393.6250085802403</c:v>
                </c:pt>
                <c:pt idx="26">
                  <c:v>8460.9113638071067</c:v>
                </c:pt>
                <c:pt idx="27">
                  <c:v>8515.3100977688118</c:v>
                </c:pt>
                <c:pt idx="28">
                  <c:v>8558.9221465359333</c:v>
                </c:pt>
                <c:pt idx="29">
                  <c:v>8594.1210508593485</c:v>
                </c:pt>
                <c:pt idx="30">
                  <c:v>8622.0395301865065</c:v>
                </c:pt>
                <c:pt idx="31">
                  <c:v>8643.8432045297195</c:v>
                </c:pt>
                <c:pt idx="32">
                  <c:v>8660.5143907542024</c:v>
                </c:pt>
                <c:pt idx="33">
                  <c:v>8672.9132036271058</c:v>
                </c:pt>
                <c:pt idx="34">
                  <c:v>8681.7916560595968</c:v>
                </c:pt>
                <c:pt idx="35">
                  <c:v>8687.835959833119</c:v>
                </c:pt>
                <c:pt idx="36">
                  <c:v>8691.6759257607773</c:v>
                </c:pt>
                <c:pt idx="37">
                  <c:v>8693.9131641715067</c:v>
                </c:pt>
                <c:pt idx="38">
                  <c:v>8695.1445853135465</c:v>
                </c:pt>
                <c:pt idx="39">
                  <c:v>8696.0000000000018</c:v>
                </c:pt>
              </c:numCache>
            </c:numRef>
          </c:val>
          <c:smooth val="1"/>
        </c:ser>
        <c:ser>
          <c:idx val="17"/>
          <c:order val="4"/>
          <c:tx>
            <c:strRef>
              <c:f>'Tools - Info'!$CD$62</c:f>
              <c:strCache>
                <c:ptCount val="1"/>
                <c:pt idx="0">
                  <c:v>SBGx vol., 95.3% TGP</c:v>
                </c:pt>
              </c:strCache>
              <c:extLst xmlns:c15="http://schemas.microsoft.com/office/drawing/2012/chart"/>
            </c:strRef>
          </c:tx>
          <c:spPr>
            <a:ln w="12700" cap="rnd">
              <a:solidFill>
                <a:srgbClr val="00FF00"/>
              </a:solidFill>
              <a:prstDash val="solid"/>
              <a:round/>
              <a:headEnd type="none"/>
              <a:tailEnd type="none"/>
            </a:ln>
            <a:effectLst/>
          </c:spPr>
          <c:marker>
            <c:symbol val="circle"/>
            <c:size val="6"/>
            <c:spPr>
              <a:solidFill>
                <a:srgbClr val="00FF00"/>
              </a:solidFill>
              <a:ln w="12700">
                <a:solidFill>
                  <a:schemeClr val="tx1"/>
                </a:solidFill>
                <a:headEnd type="none"/>
                <a:tailEnd type="none"/>
              </a:ln>
              <a:effectLst/>
            </c:spPr>
          </c:marker>
          <c:dLbls>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'Tools - Info'!$CD$64:$CD$103</c:f>
              <c:numCache>
                <c:formatCode>#,##0.0</c:formatCode>
                <c:ptCount val="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-100000000</c:v>
                </c:pt>
                <c:pt idx="18">
                  <c:v>9534.2728328586036</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numCache>
              <c:extLst xmlns:c15="http://schemas.microsoft.com/office/drawing/2012/chart"/>
            </c:numRef>
          </c:val>
          <c:smooth val="0"/>
        </c:ser>
        <c:ser>
          <c:idx val="19"/>
          <c:order val="5"/>
          <c:tx>
            <c:strRef>
              <c:f>'Tools - Info'!$CE$62</c:f>
              <c:strCache>
                <c:ptCount val="1"/>
                <c:pt idx="0">
                  <c:v>Standard vol., day 19</c:v>
                </c:pt>
              </c:strCache>
            </c:strRef>
          </c:tx>
          <c:spPr>
            <a:ln w="28575" cap="rnd">
              <a:noFill/>
              <a:round/>
            </a:ln>
            <a:effectLst/>
          </c:spPr>
          <c:marker>
            <c:symbol val="triangle"/>
            <c:size val="6"/>
            <c:spPr>
              <a:solidFill>
                <a:srgbClr val="0000FF"/>
              </a:solidFill>
              <a:ln w="12700">
                <a:solidFill>
                  <a:schemeClr val="tx1"/>
                </a:solidFill>
              </a:ln>
              <a:effectLst/>
            </c:spPr>
          </c:marker>
          <c:dLbls>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'Tools - Info'!$CE$64:$CE$103</c:f>
              <c:numCache>
                <c:formatCode>#,##0.0</c:formatCode>
                <c:ptCount val="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7272.9189673875135</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numCache>
            </c:numRef>
          </c:val>
          <c:smooth val="0"/>
        </c:ser>
        <c:ser>
          <c:idx val="18"/>
          <c:order val="6"/>
          <c:tx>
            <c:strRef>
              <c:f>'Tools - Info'!$CF$62</c:f>
              <c:strCache>
                <c:ptCount val="1"/>
                <c:pt idx="0">
                  <c:v>Standard vol., 95.6% TGP</c:v>
                </c:pt>
              </c:strCache>
              <c:extLst xmlns:c15="http://schemas.microsoft.com/office/drawing/2012/chart"/>
            </c:strRef>
          </c:tx>
          <c:spPr>
            <a:ln w="12700" cap="rnd">
              <a:solidFill>
                <a:srgbClr val="0000FF"/>
              </a:solidFill>
              <a:round/>
            </a:ln>
            <a:effectLst/>
          </c:spPr>
          <c:marker>
            <c:symbol val="circle"/>
            <c:size val="6"/>
            <c:spPr>
              <a:solidFill>
                <a:srgbClr val="0000FF"/>
              </a:solidFill>
              <a:ln w="12700">
                <a:solidFill>
                  <a:schemeClr val="tx1"/>
                </a:solidFill>
              </a:ln>
              <a:effectLst/>
            </c:spPr>
          </c:marker>
          <c:dLbls>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'Tools - Info'!$CF$64:$CF$103</c:f>
              <c:numCache>
                <c:formatCode>#,##0.0</c:formatCode>
                <c:ptCount val="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-100000000</c:v>
                </c:pt>
                <c:pt idx="24">
                  <c:v>8310.0058729389166</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numCache>
              <c:extLst xmlns:c15="http://schemas.microsoft.com/office/drawing/2012/chart"/>
            </c:numRef>
          </c:val>
          <c:smooth val="0"/>
        </c:ser>
        <c:ser>
          <c:idx val="20"/>
          <c:order val="7"/>
          <c:tx>
            <c:strRef>
              <c:f>'Tools - Info'!$CG$62</c:f>
              <c:strCache>
                <c:ptCount val="1"/>
                <c:pt idx="0">
                  <c:v>SBGx vol., day 25</c:v>
                </c:pt>
              </c:strCache>
            </c:strRef>
          </c:tx>
          <c:spPr>
            <a:ln w="12700" cap="rnd">
              <a:noFill/>
              <a:prstDash val="lgDash"/>
              <a:round/>
            </a:ln>
            <a:effectLst/>
          </c:spPr>
          <c:marker>
            <c:symbol val="triangle"/>
            <c:size val="6"/>
            <c:spPr>
              <a:solidFill>
                <a:srgbClr val="00FF00"/>
              </a:solidFill>
              <a:ln w="12700">
                <a:solidFill>
                  <a:schemeClr val="tx1"/>
                </a:solidFill>
              </a:ln>
              <a:effectLst/>
            </c:spPr>
          </c:marker>
          <c:dLbls>
            <c:spPr>
              <a:solidFill>
                <a:schemeClr val="bg1"/>
              </a:solidFill>
              <a:ln w="3175">
                <a:solidFill>
                  <a:schemeClr val="tx1">
                    <a:lumMod val="75000"/>
                    <a:lumOff val="2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'Tools - Info'!$CG$64:$CG$103</c:f>
              <c:numCache>
                <c:formatCode>#,##0.0</c:formatCode>
                <c:ptCount val="4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9890.4002354814656</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numCache>
            </c:numRef>
          </c:val>
          <c:smooth val="0"/>
        </c:ser>
        <c:ser>
          <c:idx val="21"/>
          <c:order val="21"/>
          <c:tx>
            <c:strRef>
              <c:f>'Tools - Info'!$CK$62</c:f>
              <c:strCache>
                <c:ptCount val="1"/>
                <c:pt idx="0">
                  <c:v>TGP(Standard) surpassed
88.1%</c:v>
                </c:pt>
              </c:strCache>
            </c:strRef>
          </c:tx>
          <c:spPr>
            <a:ln w="12700" cap="rnd">
              <a:solidFill>
                <a:srgbClr val="C00000"/>
              </a:solidFill>
              <a:prstDash val="solid"/>
              <a:round/>
            </a:ln>
            <a:effectLst/>
          </c:spPr>
          <c:marker>
            <c:symbol val="x"/>
            <c:size val="6"/>
            <c:spPr>
              <a:noFill/>
              <a:ln w="12700">
                <a:solidFill>
                  <a:srgbClr val="C00000"/>
                </a:solidFill>
              </a:ln>
              <a:effectLst/>
            </c:spPr>
          </c:marker>
          <c:dPt>
            <c:idx val="39"/>
            <c:marker>
              <c:symbol val="none"/>
            </c:marker>
            <c:bubble3D val="0"/>
          </c:dPt>
          <c:dLbls>
            <c:dLbl>
              <c:idx val="39"/>
              <c:delete val="1"/>
              <c:extLst>
                <c:ext xmlns:c15="http://schemas.microsoft.com/office/drawing/2012/chart" uri="{CE6537A1-D6FC-4f65-9D91-7224C49458BB}"/>
              </c:extLst>
            </c:dLbl>
            <c:numFmt formatCode="#,##0.0" sourceLinked="0"/>
            <c:spPr>
              <a:solidFill>
                <a:schemeClr val="bg1">
                  <a:alpha val="70000"/>
                </a:schemeClr>
              </a:solidFill>
              <a:ln w="12700">
                <a:solidFill>
                  <a:srgbClr val="C00000"/>
                </a:solidFill>
              </a:ln>
              <a:effectLst/>
            </c:spPr>
            <c:txPr>
              <a:bodyPr rot="0" spcFirstLastPara="1" vertOverflow="clip" horzOverflow="clip" vert="horz" wrap="none" lIns="38100" tIns="19050" rIns="38100" bIns="19050" anchor="ctr" anchorCtr="1">
                <a:spAutoFit/>
              </a:bodyPr>
              <a:lstStyle/>
              <a:p>
                <a:pPr>
                  <a:defRPr sz="900" b="0" i="0" u="none" strike="noStrike" kern="1200" baseline="0">
                    <a:ln w="3175">
                      <a:noFill/>
                    </a:ln>
                    <a:solidFill>
                      <a:srgbClr val="C00000"/>
                    </a:solidFill>
                    <a:effectLst/>
                    <a:latin typeface="+mn-lt"/>
                    <a:ea typeface="+mn-ea"/>
                    <a:cs typeface="+mn-cs"/>
                  </a:defRPr>
                </a:pPr>
                <a:endParaRPr lang="de-DE"/>
              </a:p>
            </c:txPr>
            <c:dLblPos val="l"/>
            <c:showLegendKey val="0"/>
            <c:showVal val="1"/>
            <c:showCatName val="0"/>
            <c:showSerName val="1"/>
            <c:showPercent val="0"/>
            <c:showBubbleSize val="0"/>
            <c:showLeaderLines val="0"/>
            <c:extLst>
              <c:ext xmlns:c15="http://schemas.microsoft.com/office/drawing/2012/chart" uri="{CE6537A1-D6FC-4f65-9D91-7224C49458BB}">
                <c15:spPr xmlns:c15="http://schemas.microsoft.com/office/drawing/2012/chart">
                  <a:prstGeom prst="roundRect">
                    <a:avLst/>
                  </a:prstGeom>
                  <a:noFill/>
                  <a:ln>
                    <a:noFill/>
                  </a:ln>
                </c15:spPr>
                <c15:showLeaderLines val="0"/>
              </c:ext>
            </c:extLst>
          </c:dLbls>
          <c:val>
            <c:numRef>
              <c:f>'Tools - Info'!$CK$64:$CK$103</c:f>
              <c:numCache>
                <c:formatCode>#,##0.00</c:formatCode>
                <c:ptCount val="40"/>
                <c:pt idx="0">
                  <c:v>#N/A</c:v>
                </c:pt>
                <c:pt idx="1">
                  <c:v>#N/A</c:v>
                </c:pt>
                <c:pt idx="2">
                  <c:v>#N/A</c:v>
                </c:pt>
                <c:pt idx="3">
                  <c:v>#N/A</c:v>
                </c:pt>
                <c:pt idx="4">
                  <c:v>#N/A</c:v>
                </c:pt>
                <c:pt idx="5">
                  <c:v>#N/A</c:v>
                </c:pt>
                <c:pt idx="6">
                  <c:v>#N/A</c:v>
                </c:pt>
                <c:pt idx="7">
                  <c:v>#N/A</c:v>
                </c:pt>
                <c:pt idx="8">
                  <c:v>#N/A</c:v>
                </c:pt>
                <c:pt idx="9">
                  <c:v>#N/A</c:v>
                </c:pt>
                <c:pt idx="10">
                  <c:v>#N/A</c:v>
                </c:pt>
                <c:pt idx="11">
                  <c:v>#N/A</c:v>
                </c:pt>
                <c:pt idx="12">
                  <c:v>#N/A</c:v>
                </c:pt>
                <c:pt idx="13">
                  <c:v>-100000000</c:v>
                </c:pt>
                <c:pt idx="14">
                  <c:v>8813.1172369493925</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8813.1172369493925</c:v>
                </c:pt>
              </c:numCache>
            </c:numRef>
          </c:val>
          <c:smooth val="0"/>
          <c:extLst/>
        </c:ser>
        <c:dLbls>
          <c:showLegendKey val="0"/>
          <c:showVal val="0"/>
          <c:showCatName val="0"/>
          <c:showSerName val="0"/>
          <c:showPercent val="0"/>
          <c:showBubbleSize val="0"/>
        </c:dLbls>
        <c:marker val="1"/>
        <c:smooth val="0"/>
        <c:axId val="80550808"/>
        <c:axId val="80550416"/>
      </c:lineChart>
      <c:catAx>
        <c:axId val="27359562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de-CH" b="1"/>
                  <a:t>day</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title>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72970016"/>
        <c:crosses val="autoZero"/>
        <c:auto val="1"/>
        <c:lblAlgn val="ctr"/>
        <c:lblOffset val="100"/>
        <c:noMultiLvlLbl val="0"/>
      </c:catAx>
      <c:valAx>
        <c:axId val="272970016"/>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de-CH" b="1"/>
                  <a:t>volume per day [m³/day]</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73595624"/>
        <c:crosses val="autoZero"/>
        <c:crossBetween val="between"/>
        <c:majorUnit val="100"/>
      </c:valAx>
      <c:valAx>
        <c:axId val="80550416"/>
        <c:scaling>
          <c:orientation val="minMax"/>
          <c:min val="0"/>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de-CH" b="1"/>
                  <a:t>volume accumulated [</a:t>
                </a:r>
                <a:r>
                  <a:rPr lang="de-CH" sz="1000" b="1" i="0" u="none" strike="noStrike" baseline="0">
                    <a:effectLst/>
                  </a:rPr>
                  <a:t>m³</a:t>
                </a:r>
                <a:r>
                  <a:rPr lang="de-CH"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550808"/>
        <c:crosses val="max"/>
        <c:crossBetween val="between"/>
        <c:majorUnit val="1000"/>
      </c:valAx>
      <c:catAx>
        <c:axId val="80550808"/>
        <c:scaling>
          <c:orientation val="minMax"/>
        </c:scaling>
        <c:delete val="1"/>
        <c:axPos val="t"/>
        <c:majorTickMark val="out"/>
        <c:minorTickMark val="none"/>
        <c:tickLblPos val="nextTo"/>
        <c:crossAx val="80550416"/>
        <c:crosses val="max"/>
        <c:auto val="1"/>
        <c:lblAlgn val="ctr"/>
        <c:lblOffset val="100"/>
        <c:noMultiLvlLbl val="0"/>
      </c:catAx>
      <c:spPr>
        <a:noFill/>
        <a:ln>
          <a:noFill/>
        </a:ln>
        <a:effectLst/>
      </c:spPr>
    </c:plotArea>
    <c:legend>
      <c:legendPos val="t"/>
      <c:legendEntry>
        <c:idx val="8"/>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12</xdr:col>
      <xdr:colOff>521878</xdr:colOff>
      <xdr:row>71</xdr:row>
      <xdr:rowOff>177568</xdr:rowOff>
    </xdr:from>
    <xdr:to>
      <xdr:col>12</xdr:col>
      <xdr:colOff>777125</xdr:colOff>
      <xdr:row>73</xdr:row>
      <xdr:rowOff>12568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2303" y="8988193"/>
          <a:ext cx="255247" cy="21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521878</xdr:colOff>
      <xdr:row>71</xdr:row>
      <xdr:rowOff>177568</xdr:rowOff>
    </xdr:from>
    <xdr:to>
      <xdr:col>12</xdr:col>
      <xdr:colOff>777125</xdr:colOff>
      <xdr:row>73</xdr:row>
      <xdr:rowOff>12568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32303" y="8988193"/>
          <a:ext cx="255247" cy="21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521878</xdr:colOff>
      <xdr:row>71</xdr:row>
      <xdr:rowOff>177568</xdr:rowOff>
    </xdr:from>
    <xdr:to>
      <xdr:col>12</xdr:col>
      <xdr:colOff>777125</xdr:colOff>
      <xdr:row>73</xdr:row>
      <xdr:rowOff>12568</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7583" y="18132193"/>
          <a:ext cx="255247" cy="216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24309</xdr:colOff>
      <xdr:row>46</xdr:row>
      <xdr:rowOff>60442</xdr:rowOff>
    </xdr:from>
    <xdr:ext cx="4232176" cy="336361"/>
    <mc:AlternateContent xmlns:mc="http://schemas.openxmlformats.org/markup-compatibility/2006" xmlns:a14="http://schemas.microsoft.com/office/drawing/2010/main">
      <mc:Choice Requires="a14">
        <xdr:sp macro="" textlink="">
          <xdr:nvSpPr>
            <xdr:cNvPr id="7" name="TextBox 6"/>
            <xdr:cNvSpPr txBox="1"/>
          </xdr:nvSpPr>
          <xdr:spPr>
            <a:xfrm>
              <a:off x="710109" y="7947142"/>
              <a:ext cx="4232176"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 xmlns:m="http://schemas.openxmlformats.org/officeDocument/2006/math">
                  <m:r>
                    <m:rPr>
                      <m:sty m:val="p"/>
                    </m:rPr>
                    <a:rPr lang="de-CH" sz="1100">
                      <a:solidFill>
                        <a:schemeClr val="tx1"/>
                      </a:solidFill>
                      <a:effectLst/>
                      <a:latin typeface="Cambria Math" panose="02040503050406030204" pitchFamily="18" charset="0"/>
                      <a:ea typeface="Cambria Math" panose="02040503050406030204" pitchFamily="18" charset="0"/>
                      <a:cs typeface="+mn-cs"/>
                    </a:rPr>
                    <m:t>Fe</m:t>
                  </m:r>
                  <m:r>
                    <a:rPr lang="de-CH" sz="1100">
                      <a:solidFill>
                        <a:schemeClr val="tx1"/>
                      </a:solidFill>
                      <a:effectLst/>
                      <a:latin typeface="Cambria Math" panose="02040503050406030204" pitchFamily="18" charset="0"/>
                      <a:ea typeface="Cambria Math" panose="02040503050406030204" pitchFamily="18" charset="0"/>
                      <a:cs typeface="+mn-cs"/>
                    </a:rPr>
                    <m:t>=</m:t>
                  </m:r>
                  <m:r>
                    <m:rPr>
                      <m:sty m:val="p"/>
                    </m:rPr>
                    <a:rPr lang="el-GR" sz="1100" i="1">
                      <a:solidFill>
                        <a:schemeClr val="tx1"/>
                      </a:solidFill>
                      <a:effectLst/>
                      <a:latin typeface="Cambria Math" panose="02040503050406030204" pitchFamily="18" charset="0"/>
                      <a:ea typeface="Cambria Math" panose="02040503050406030204" pitchFamily="18" charset="0"/>
                      <a:cs typeface="+mn-cs"/>
                    </a:rPr>
                    <m:t>β</m:t>
                  </m:r>
                  <m:r>
                    <a:rPr lang="de-CH" sz="1100" i="1">
                      <a:solidFill>
                        <a:schemeClr val="tx1"/>
                      </a:solidFill>
                      <a:effectLst/>
                      <a:latin typeface="Cambria Math" panose="02040503050406030204" pitchFamily="18" charset="0"/>
                      <a:ea typeface="Cambria Math" panose="02040503050406030204" pitchFamily="18" charset="0"/>
                      <a:cs typeface="+mn-cs"/>
                    </a:rPr>
                    <m:t>·</m:t>
                  </m:r>
                  <m:f>
                    <m:fPr>
                      <m:ctrlPr>
                        <a:rPr lang="de-CH" sz="1100" i="1">
                          <a:solidFill>
                            <a:schemeClr val="tx1"/>
                          </a:solidFill>
                          <a:effectLst/>
                          <a:latin typeface="Cambria Math" panose="02040503050406030204" pitchFamily="18" charset="0"/>
                          <a:ea typeface="Cambria Math" panose="02040503050406030204" pitchFamily="18" charset="0"/>
                          <a:cs typeface="+mn-cs"/>
                        </a:rPr>
                      </m:ctrlPr>
                    </m:fPr>
                    <m:num>
                      <m:r>
                        <m:rPr>
                          <m:sty m:val="p"/>
                        </m:rPr>
                        <a:rPr lang="de-CH" sz="1100">
                          <a:solidFill>
                            <a:schemeClr val="tx1"/>
                          </a:solidFill>
                          <a:effectLst/>
                          <a:latin typeface="Cambria Math" panose="02040503050406030204" pitchFamily="18" charset="0"/>
                          <a:ea typeface="Cambria Math" panose="02040503050406030204" pitchFamily="18" charset="0"/>
                          <a:cs typeface="+mn-cs"/>
                        </a:rPr>
                        <m:t>M</m:t>
                      </m:r>
                      <m:r>
                        <m:rPr>
                          <m:sty m:val="p"/>
                        </m:rPr>
                        <a:rPr lang="de-CH" sz="1100" baseline="-25000">
                          <a:solidFill>
                            <a:schemeClr val="tx1"/>
                          </a:solidFill>
                          <a:effectLst/>
                          <a:latin typeface="Cambria Math" panose="02040503050406030204" pitchFamily="18" charset="0"/>
                          <a:ea typeface="Cambria Math" panose="02040503050406030204" pitchFamily="18" charset="0"/>
                          <a:cs typeface="+mn-cs"/>
                        </a:rPr>
                        <m:t>Fe</m:t>
                      </m:r>
                    </m:num>
                    <m:den>
                      <m:r>
                        <m:rPr>
                          <m:sty m:val="p"/>
                        </m:rPr>
                        <a:rPr lang="de-CH" sz="1100">
                          <a:solidFill>
                            <a:srgbClr val="FF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H</m:t>
                      </m:r>
                      <m:r>
                        <a:rPr lang="de-CH" sz="1100" i="1" baseline="-25000">
                          <a:solidFill>
                            <a:srgbClr val="FF0000"/>
                          </a:solidFill>
                          <a:effectLst/>
                          <a:latin typeface="Cambria Math" panose="02040503050406030204" pitchFamily="18" charset="0"/>
                          <a:ea typeface="Cambria Math" panose="02040503050406030204" pitchFamily="18" charset="0"/>
                          <a:cs typeface="+mn-cs"/>
                        </a:rPr>
                        <m:t>₂</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S</m:t>
                      </m:r>
                    </m:den>
                  </m:f>
                  <m:r>
                    <a:rPr lang="de-CH" sz="1100" i="1" baseline="0">
                      <a:solidFill>
                        <a:schemeClr val="tx1"/>
                      </a:solidFill>
                      <a:effectLst/>
                      <a:latin typeface="Cambria Math" panose="02040503050406030204" pitchFamily="18" charset="0"/>
                      <a:ea typeface="Cambria Math" panose="02040503050406030204" pitchFamily="18" charset="0"/>
                      <a:cs typeface="+mn-cs"/>
                    </a:rPr>
                    <m:t>·</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f>
                        <m:f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fPr>
                        <m:num>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H</m:t>
                          </m:r>
                          <m:r>
                            <a:rPr lang="de-CH" sz="1100" i="1" baseline="0">
                              <a:solidFill>
                                <a:schemeClr val="tx1"/>
                              </a:solidFill>
                              <a:effectLst/>
                              <a:latin typeface="Cambria Math" panose="02040503050406030204" pitchFamily="18" charset="0"/>
                              <a:ea typeface="Cambria Math" panose="02040503050406030204" pitchFamily="18" charset="0"/>
                              <a:cs typeface="+mn-cs"/>
                            </a:rPr>
                            <m:t>₂</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S</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aq</m:t>
                              </m:r>
                            </m:e>
                          </m:d>
                        </m:num>
                        <m:den>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fH</m:t>
                          </m:r>
                          <m:r>
                            <a:rPr lang="de-CH" sz="1100" i="1" baseline="0">
                              <a:solidFill>
                                <a:schemeClr val="tx1"/>
                              </a:solidFill>
                              <a:effectLst/>
                              <a:latin typeface="Cambria Math" panose="02040503050406030204" pitchFamily="18" charset="0"/>
                              <a:ea typeface="Cambria Math" panose="02040503050406030204" pitchFamily="18" charset="0"/>
                              <a:cs typeface="+mn-cs"/>
                            </a:rPr>
                            <m:t>₂</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S</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aq</m:t>
                              </m:r>
                            </m:e>
                          </m:d>
                        </m:den>
                      </m:f>
                      <m:r>
                        <a:rPr lang="de-CH" sz="1100" i="1" baseline="0">
                          <a:solidFill>
                            <a:schemeClr val="tx1"/>
                          </a:solidFill>
                          <a:effectLst/>
                          <a:latin typeface="Cambria Math" panose="02040503050406030204" pitchFamily="18" charset="0"/>
                          <a:ea typeface="Cambria Math" panose="02040503050406030204" pitchFamily="18" charset="0"/>
                          <a:cs typeface="+mn-cs"/>
                        </a:rPr>
                        <m:t>·</m:t>
                      </m:r>
                      <m:acc>
                        <m:accPr>
                          <m:chr m:val="̇"/>
                          <m:ctrlPr>
                            <a:rPr lang="de-CH" sz="1100" i="1" baseline="0">
                              <a:solidFill>
                                <a:schemeClr val="tx1"/>
                              </a:solidFill>
                              <a:effectLst/>
                              <a:latin typeface="Cambria Math" panose="02040503050406030204" pitchFamily="18" charset="0"/>
                              <a:ea typeface="Cambria Math" panose="02040503050406030204" pitchFamily="18" charset="0"/>
                              <a:cs typeface="+mn-cs"/>
                            </a:rPr>
                          </m:ctrlPr>
                        </m:accPr>
                        <m:e>
                          <m:r>
                            <m:rPr>
                              <m:sty m:val="p"/>
                            </m:rPr>
                            <a:rPr lang="de-CH" sz="1100" baseline="0">
                              <a:solidFill>
                                <a:schemeClr val="tx1"/>
                              </a:solidFill>
                              <a:effectLst/>
                              <a:latin typeface="Cambria Math" panose="02040503050406030204" pitchFamily="18" charset="0"/>
                              <a:ea typeface="+mn-ea"/>
                              <a:cs typeface="+mn-cs"/>
                            </a:rPr>
                            <m:t>V</m:t>
                          </m:r>
                        </m:e>
                      </m:acc>
                      <m:r>
                        <m:rPr>
                          <m:sty m:val="p"/>
                        </m:rPr>
                        <a:rPr lang="de-CH" sz="1100" baseline="-25000">
                          <a:solidFill>
                            <a:schemeClr val="tx1"/>
                          </a:solidFill>
                          <a:effectLst/>
                          <a:latin typeface="Cambria Math" panose="02040503050406030204" pitchFamily="18" charset="0"/>
                          <a:ea typeface="Cambria Math" panose="02040503050406030204" pitchFamily="18" charset="0"/>
                          <a:cs typeface="+mn-cs"/>
                        </a:rPr>
                        <m:t>Substrate</m:t>
                      </m:r>
                      <m:r>
                        <a:rPr lang="de-CH" sz="1100" baseline="0">
                          <a:solidFill>
                            <a:schemeClr val="tx1"/>
                          </a:solidFill>
                          <a:effectLst/>
                          <a:latin typeface="Cambria Math" panose="02040503050406030204" pitchFamily="18" charset="0"/>
                          <a:ea typeface="Cambria Math" panose="02040503050406030204" pitchFamily="18" charset="0"/>
                          <a:cs typeface="+mn-cs"/>
                        </a:rPr>
                        <m:t>+</m:t>
                      </m:r>
                      <m:f>
                        <m:f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fPr>
                        <m:num>
                          <m:r>
                            <m:rPr>
                              <m:sty m:val="p"/>
                            </m:rPr>
                            <a:rPr lang="el-GR" sz="1100" i="1" baseline="0">
                              <a:solidFill>
                                <a:schemeClr val="tx1"/>
                              </a:solidFill>
                              <a:effectLst/>
                              <a:latin typeface="Cambria Math" panose="02040503050406030204" pitchFamily="18" charset="0"/>
                              <a:ea typeface="Cambria Math" panose="02040503050406030204" pitchFamily="18" charset="0"/>
                              <a:cs typeface="+mn-cs"/>
                            </a:rPr>
                            <m:t>Δ</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H</m:t>
                          </m:r>
                          <m:r>
                            <a:rPr lang="de-CH" sz="1100" i="1" baseline="0">
                              <a:solidFill>
                                <a:schemeClr val="tx1"/>
                              </a:solidFill>
                              <a:effectLst/>
                              <a:latin typeface="Cambria Math" panose="02040503050406030204" pitchFamily="18" charset="0"/>
                              <a:ea typeface="Cambria Math" panose="02040503050406030204" pitchFamily="18" charset="0"/>
                              <a:cs typeface="+mn-cs"/>
                            </a:rPr>
                            <m:t>₂</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S</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g</m:t>
                              </m:r>
                            </m:e>
                          </m:d>
                        </m:num>
                        <m:den>
                          <m:r>
                            <a:rPr lang="de-CH" sz="1100" baseline="0">
                              <a:solidFill>
                                <a:schemeClr val="tx1"/>
                              </a:solidFill>
                              <a:effectLst/>
                              <a:latin typeface="Cambria Math" panose="02040503050406030204" pitchFamily="18" charset="0"/>
                              <a:ea typeface="Cambria Math" panose="02040503050406030204" pitchFamily="18" charset="0"/>
                              <a:cs typeface="+mn-cs"/>
                            </a:rPr>
                            <m:t>1000</m:t>
                          </m:r>
                          <m:r>
                            <a:rPr lang="de-CH" sz="1100" b="0" i="0" baseline="0">
                              <a:solidFill>
                                <a:schemeClr val="tx1"/>
                              </a:solidFill>
                              <a:effectLst/>
                              <a:latin typeface="Cambria Math" panose="02040503050406030204" pitchFamily="18" charset="0"/>
                              <a:ea typeface="Cambria Math" panose="02040503050406030204" pitchFamily="18" charset="0"/>
                              <a:cs typeface="+mn-cs"/>
                            </a:rPr>
                            <m:t> </m:t>
                          </m:r>
                          <m:r>
                            <a:rPr lang="de-CH" sz="1100" i="1" baseline="0">
                              <a:solidFill>
                                <a:schemeClr val="tx1"/>
                              </a:solidFill>
                              <a:effectLst/>
                              <a:latin typeface="Cambria Math" panose="02040503050406030204" pitchFamily="18" charset="0"/>
                              <a:ea typeface="Cambria Math" panose="02040503050406030204" pitchFamily="18" charset="0"/>
                              <a:cs typeface="+mn-cs"/>
                            </a:rPr>
                            <m:t>·</m:t>
                          </m:r>
                          <m:r>
                            <a:rPr lang="de-CH" sz="1100" b="0" i="1" baseline="0">
                              <a:solidFill>
                                <a:schemeClr val="tx1"/>
                              </a:solidFill>
                              <a:effectLst/>
                              <a:latin typeface="Cambria Math" panose="02040503050406030204" pitchFamily="18" charset="0"/>
                              <a:ea typeface="Cambria Math" panose="02040503050406030204" pitchFamily="18" charset="0"/>
                              <a:cs typeface="+mn-cs"/>
                            </a:rPr>
                            <m:t> </m:t>
                          </m:r>
                          <m:r>
                            <a:rPr lang="de-CH" sz="1100" baseline="0">
                              <a:solidFill>
                                <a:srgbClr val="FF0000"/>
                              </a:solidFill>
                              <a:effectLst/>
                              <a:latin typeface="Cambria Math" panose="02040503050406030204" pitchFamily="18" charset="0"/>
                              <a:ea typeface="Cambria Math" panose="02040503050406030204" pitchFamily="18" charset="0"/>
                              <a:cs typeface="+mn-cs"/>
                            </a:rPr>
                            <m:t>24.45</m:t>
                          </m:r>
                        </m:den>
                      </m:f>
                      <m:r>
                        <a:rPr lang="de-CH" sz="1100" i="1" baseline="0">
                          <a:solidFill>
                            <a:schemeClr val="tx1"/>
                          </a:solidFill>
                          <a:effectLst/>
                          <a:latin typeface="Cambria Math" panose="02040503050406030204" pitchFamily="18" charset="0"/>
                          <a:ea typeface="Cambria Math" panose="02040503050406030204" pitchFamily="18" charset="0"/>
                          <a:cs typeface="+mn-cs"/>
                        </a:rPr>
                        <m:t>·</m:t>
                      </m:r>
                      <m:r>
                        <m:rPr>
                          <m:sty m:val="p"/>
                        </m:rPr>
                        <a:rPr lang="de-CH" sz="1100" baseline="0">
                          <a:solidFill>
                            <a:srgbClr val="FF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H</m:t>
                      </m:r>
                      <m:r>
                        <a:rPr lang="de-CH" sz="1100" i="1" baseline="-25000">
                          <a:solidFill>
                            <a:srgbClr val="FF0000"/>
                          </a:solidFill>
                          <a:effectLst/>
                          <a:latin typeface="Cambria Math" panose="02040503050406030204" pitchFamily="18" charset="0"/>
                          <a:ea typeface="Cambria Math" panose="02040503050406030204" pitchFamily="18" charset="0"/>
                          <a:cs typeface="+mn-cs"/>
                        </a:rPr>
                        <m:t>₂</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S</m:t>
                      </m:r>
                      <m:r>
                        <a:rPr lang="de-CH" sz="1100" i="1" baseline="0">
                          <a:solidFill>
                            <a:schemeClr val="tx1"/>
                          </a:solidFill>
                          <a:effectLst/>
                          <a:latin typeface="Cambria Math" panose="02040503050406030204" pitchFamily="18" charset="0"/>
                          <a:ea typeface="Cambria Math" panose="02040503050406030204" pitchFamily="18" charset="0"/>
                          <a:cs typeface="+mn-cs"/>
                        </a:rPr>
                        <m:t>·</m:t>
                      </m:r>
                      <m:acc>
                        <m:accPr>
                          <m:chr m:val="̇"/>
                          <m:ctrlPr>
                            <a:rPr lang="de-CH" sz="1100" i="1" baseline="0">
                              <a:solidFill>
                                <a:schemeClr val="tx1"/>
                              </a:solidFill>
                              <a:effectLst/>
                              <a:latin typeface="Cambria Math" panose="02040503050406030204" pitchFamily="18" charset="0"/>
                              <a:ea typeface="Cambria Math" panose="02040503050406030204" pitchFamily="18" charset="0"/>
                              <a:cs typeface="+mn-cs"/>
                            </a:rPr>
                          </m:ctrlPr>
                        </m:accPr>
                        <m:e>
                          <m:r>
                            <m:rPr>
                              <m:sty m:val="p"/>
                            </m:rPr>
                            <a:rPr lang="de-CH" sz="1100" b="0" i="0" baseline="0">
                              <a:solidFill>
                                <a:schemeClr val="tx1"/>
                              </a:solidFill>
                              <a:effectLst/>
                              <a:latin typeface="Cambria Math" panose="02040503050406030204" pitchFamily="18" charset="0"/>
                              <a:ea typeface="Cambria Math" panose="02040503050406030204" pitchFamily="18" charset="0"/>
                              <a:cs typeface="+mn-cs"/>
                            </a:rPr>
                            <m:t>V</m:t>
                          </m:r>
                        </m:e>
                      </m:acc>
                      <m:r>
                        <m:rPr>
                          <m:sty m:val="p"/>
                        </m:rPr>
                        <a:rPr lang="de-CH" sz="1100" baseline="-25000">
                          <a:solidFill>
                            <a:schemeClr val="tx1"/>
                          </a:solidFill>
                          <a:effectLst/>
                          <a:latin typeface="Cambria Math" panose="02040503050406030204" pitchFamily="18" charset="0"/>
                          <a:ea typeface="Cambria Math" panose="02040503050406030204" pitchFamily="18" charset="0"/>
                          <a:cs typeface="+mn-cs"/>
                        </a:rPr>
                        <m:t>Biogas</m:t>
                      </m:r>
                    </m:e>
                  </m:d>
                </m:oMath>
              </a14:m>
              <a:r>
                <a:rPr lang="de-CH" sz="1100">
                  <a:effectLst/>
                  <a:latin typeface="+mn-lt"/>
                  <a:ea typeface="Cambria Math" panose="02040503050406030204" pitchFamily="18" charset="0"/>
                </a:rPr>
                <a:t>  [g/d]</a:t>
              </a:r>
            </a:p>
          </xdr:txBody>
        </xdr:sp>
      </mc:Choice>
      <mc:Fallback xmlns="">
        <xdr:sp macro="" textlink="">
          <xdr:nvSpPr>
            <xdr:cNvPr id="7" name="TextBox 6"/>
            <xdr:cNvSpPr txBox="1"/>
          </xdr:nvSpPr>
          <xdr:spPr>
            <a:xfrm>
              <a:off x="710109" y="7947142"/>
              <a:ext cx="4232176"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de-CH" sz="1100" i="0">
                  <a:solidFill>
                    <a:schemeClr val="tx1"/>
                  </a:solidFill>
                  <a:effectLst/>
                  <a:latin typeface="+mn-lt"/>
                  <a:ea typeface="Cambria Math" panose="02040503050406030204" pitchFamily="18" charset="0"/>
                  <a:cs typeface="+mn-cs"/>
                </a:rPr>
                <a:t>Fe=</a:t>
              </a:r>
              <a:r>
                <a:rPr lang="el-GR" sz="1100" i="0">
                  <a:solidFill>
                    <a:schemeClr val="tx1"/>
                  </a:solidFill>
                  <a:effectLst/>
                  <a:latin typeface="+mn-lt"/>
                  <a:ea typeface="Cambria Math" panose="02040503050406030204" pitchFamily="18" charset="0"/>
                  <a:cs typeface="+mn-cs"/>
                </a:rPr>
                <a:t>β</a:t>
              </a:r>
              <a:r>
                <a:rPr lang="de-CH" sz="1100" i="0">
                  <a:solidFill>
                    <a:schemeClr val="tx1"/>
                  </a:solidFill>
                  <a:effectLst/>
                  <a:latin typeface="+mn-lt"/>
                  <a:ea typeface="Cambria Math" panose="02040503050406030204" pitchFamily="18" charset="0"/>
                  <a:cs typeface="+mn-cs"/>
                </a:rPr>
                <a:t>·M</a:t>
              </a:r>
              <a:r>
                <a:rPr lang="de-CH" sz="1100" i="0" baseline="-25000">
                  <a:solidFill>
                    <a:schemeClr val="tx1"/>
                  </a:solidFill>
                  <a:effectLst/>
                  <a:latin typeface="+mn-lt"/>
                  <a:ea typeface="Cambria Math" panose="02040503050406030204" pitchFamily="18" charset="0"/>
                  <a:cs typeface="+mn-cs"/>
                </a:rPr>
                <a:t>Fe/(</a:t>
              </a:r>
              <a:r>
                <a:rPr lang="de-CH" sz="1100" i="0">
                  <a:solidFill>
                    <a:srgbClr val="FF0000"/>
                  </a:solidFill>
                  <a:effectLst/>
                  <a:latin typeface="+mn-lt"/>
                  <a:ea typeface="Cambria Math" panose="02040503050406030204" pitchFamily="18" charset="0"/>
                  <a:cs typeface="+mn-cs"/>
                </a:rPr>
                <a:t>M</a:t>
              </a:r>
              <a:r>
                <a:rPr lang="de-CH" sz="1100" i="0" baseline="-25000">
                  <a:solidFill>
                    <a:srgbClr val="FF0000"/>
                  </a:solidFill>
                  <a:effectLst/>
                  <a:latin typeface="+mn-lt"/>
                  <a:ea typeface="Cambria Math" panose="02040503050406030204" pitchFamily="18" charset="0"/>
                  <a:cs typeface="+mn-cs"/>
                </a:rPr>
                <a:t>H₂S</a:t>
              </a:r>
              <a:r>
                <a:rPr lang="de-CH" sz="1100" i="0" baseline="-25000">
                  <a:solidFill>
                    <a:schemeClr val="tx1"/>
                  </a:solidFill>
                  <a:effectLst/>
                  <a:latin typeface="+mn-lt"/>
                  <a:ea typeface="Cambria Math" panose="02040503050406030204" pitchFamily="18" charset="0"/>
                  <a:cs typeface="+mn-cs"/>
                </a:rPr>
                <a:t>)</a:t>
              </a:r>
              <a:r>
                <a:rPr lang="de-CH" sz="1100" i="0" baseline="0">
                  <a:solidFill>
                    <a:schemeClr val="tx1"/>
                  </a:solidFill>
                  <a:effectLst/>
                  <a:latin typeface="+mn-lt"/>
                  <a:ea typeface="Cambria Math" panose="02040503050406030204" pitchFamily="18" charset="0"/>
                  <a:cs typeface="+mn-cs"/>
                </a:rPr>
                <a:t>·((H₂S(aq))/(fH₂S(aq) )·</a:t>
              </a:r>
              <a:r>
                <a:rPr lang="de-CH" sz="1100" i="0" baseline="0">
                  <a:solidFill>
                    <a:schemeClr val="tx1"/>
                  </a:solidFill>
                  <a:effectLst/>
                  <a:latin typeface="+mn-lt"/>
                  <a:ea typeface="+mn-ea"/>
                  <a:cs typeface="+mn-cs"/>
                </a:rPr>
                <a:t>V</a:t>
              </a:r>
              <a:r>
                <a:rPr lang="de-CH" sz="1100" i="0" baseline="0">
                  <a:solidFill>
                    <a:schemeClr val="tx1"/>
                  </a:solidFill>
                  <a:effectLst/>
                  <a:latin typeface="+mn-lt"/>
                  <a:ea typeface="Cambria Math" panose="02040503050406030204" pitchFamily="18" charset="0"/>
                  <a:cs typeface="+mn-cs"/>
                </a:rPr>
                <a:t> ̇</a:t>
              </a:r>
              <a:r>
                <a:rPr lang="de-CH" sz="1100" i="0" baseline="-25000">
                  <a:solidFill>
                    <a:schemeClr val="tx1"/>
                  </a:solidFill>
                  <a:effectLst/>
                  <a:latin typeface="+mn-lt"/>
                  <a:ea typeface="Cambria Math" panose="02040503050406030204" pitchFamily="18" charset="0"/>
                  <a:cs typeface="+mn-cs"/>
                </a:rPr>
                <a:t>Substrate</a:t>
              </a:r>
              <a:r>
                <a:rPr lang="de-CH" sz="1100" i="0" baseline="0">
                  <a:solidFill>
                    <a:schemeClr val="tx1"/>
                  </a:solidFill>
                  <a:effectLst/>
                  <a:latin typeface="+mn-lt"/>
                  <a:ea typeface="Cambria Math" panose="02040503050406030204" pitchFamily="18" charset="0"/>
                  <a:cs typeface="+mn-cs"/>
                </a:rPr>
                <a:t>+(</a:t>
              </a:r>
              <a:r>
                <a:rPr lang="el-GR" sz="1100" i="0" baseline="0">
                  <a:solidFill>
                    <a:schemeClr val="tx1"/>
                  </a:solidFill>
                  <a:effectLst/>
                  <a:latin typeface="+mn-lt"/>
                  <a:ea typeface="Cambria Math" panose="02040503050406030204" pitchFamily="18" charset="0"/>
                  <a:cs typeface="+mn-cs"/>
                </a:rPr>
                <a:t>Δ</a:t>
              </a:r>
              <a:r>
                <a:rPr lang="de-CH" sz="1100" i="0" baseline="0">
                  <a:solidFill>
                    <a:schemeClr val="tx1"/>
                  </a:solidFill>
                  <a:effectLst/>
                  <a:latin typeface="+mn-lt"/>
                  <a:ea typeface="Cambria Math" panose="02040503050406030204" pitchFamily="18" charset="0"/>
                  <a:cs typeface="+mn-cs"/>
                </a:rPr>
                <a:t>H₂S(g))/(1000</a:t>
              </a:r>
              <a:r>
                <a:rPr lang="de-CH" sz="1100" b="0" i="0" baseline="0">
                  <a:solidFill>
                    <a:schemeClr val="tx1"/>
                  </a:solidFill>
                  <a:effectLst/>
                  <a:latin typeface="Cambria Math" panose="02040503050406030204" pitchFamily="18" charset="0"/>
                  <a:ea typeface="Cambria Math" panose="02040503050406030204" pitchFamily="18" charset="0"/>
                  <a:cs typeface="+mn-cs"/>
                </a:rPr>
                <a:t> </a:t>
              </a:r>
              <a:r>
                <a:rPr lang="de-CH" sz="1100" i="0" baseline="0">
                  <a:solidFill>
                    <a:schemeClr val="tx1"/>
                  </a:solidFill>
                  <a:effectLst/>
                  <a:latin typeface="+mn-lt"/>
                  <a:ea typeface="Cambria Math" panose="02040503050406030204" pitchFamily="18" charset="0"/>
                  <a:cs typeface="+mn-cs"/>
                </a:rPr>
                <a:t>·</a:t>
              </a:r>
              <a:r>
                <a:rPr lang="de-CH" sz="1100" b="0" i="0" baseline="0">
                  <a:solidFill>
                    <a:schemeClr val="tx1"/>
                  </a:solidFill>
                  <a:effectLst/>
                  <a:latin typeface="Cambria Math" panose="02040503050406030204" pitchFamily="18" charset="0"/>
                  <a:ea typeface="Cambria Math" panose="02040503050406030204" pitchFamily="18" charset="0"/>
                  <a:cs typeface="+mn-cs"/>
                </a:rPr>
                <a:t> </a:t>
              </a:r>
              <a:r>
                <a:rPr lang="de-CH" sz="1100" i="0" baseline="0">
                  <a:solidFill>
                    <a:srgbClr val="FF0000"/>
                  </a:solidFill>
                  <a:effectLst/>
                  <a:latin typeface="+mn-lt"/>
                  <a:ea typeface="Cambria Math" panose="02040503050406030204" pitchFamily="18" charset="0"/>
                  <a:cs typeface="+mn-cs"/>
                </a:rPr>
                <a:t>24.45</a:t>
              </a:r>
              <a:r>
                <a:rPr lang="de-CH" sz="1100" i="0" baseline="0">
                  <a:solidFill>
                    <a:schemeClr val="tx1"/>
                  </a:solidFill>
                  <a:effectLst/>
                  <a:latin typeface="+mn-lt"/>
                  <a:ea typeface="Cambria Math" panose="02040503050406030204" pitchFamily="18" charset="0"/>
                  <a:cs typeface="+mn-cs"/>
                </a:rPr>
                <a:t>)·</a:t>
              </a:r>
              <a:r>
                <a:rPr lang="de-CH" sz="1100" i="0" baseline="0">
                  <a:solidFill>
                    <a:srgbClr val="FF0000"/>
                  </a:solidFill>
                  <a:effectLst/>
                  <a:latin typeface="+mn-lt"/>
                  <a:ea typeface="Cambria Math" panose="02040503050406030204" pitchFamily="18" charset="0"/>
                  <a:cs typeface="+mn-cs"/>
                </a:rPr>
                <a:t>M</a:t>
              </a:r>
              <a:r>
                <a:rPr lang="de-CH" sz="1100" i="0" baseline="-25000">
                  <a:solidFill>
                    <a:srgbClr val="FF0000"/>
                  </a:solidFill>
                  <a:effectLst/>
                  <a:latin typeface="+mn-lt"/>
                  <a:ea typeface="Cambria Math" panose="02040503050406030204" pitchFamily="18" charset="0"/>
                  <a:cs typeface="+mn-cs"/>
                </a:rPr>
                <a:t>H₂S</a:t>
              </a:r>
              <a:r>
                <a:rPr lang="de-CH" sz="1100" i="0" baseline="0">
                  <a:solidFill>
                    <a:schemeClr val="tx1"/>
                  </a:solidFill>
                  <a:effectLst/>
                  <a:latin typeface="+mn-lt"/>
                  <a:ea typeface="Cambria Math" panose="02040503050406030204" pitchFamily="18" charset="0"/>
                  <a:cs typeface="+mn-cs"/>
                </a:rPr>
                <a:t>·</a:t>
              </a:r>
              <a:r>
                <a:rPr lang="de-CH" sz="1100" b="0" i="0" baseline="0">
                  <a:solidFill>
                    <a:schemeClr val="tx1"/>
                  </a:solidFill>
                  <a:effectLst/>
                  <a:latin typeface="+mn-lt"/>
                  <a:ea typeface="Cambria Math" panose="02040503050406030204" pitchFamily="18" charset="0"/>
                  <a:cs typeface="+mn-cs"/>
                </a:rPr>
                <a:t>V ̇</a:t>
              </a:r>
              <a:r>
                <a:rPr lang="de-CH" sz="1100" i="0" baseline="-25000">
                  <a:solidFill>
                    <a:schemeClr val="tx1"/>
                  </a:solidFill>
                  <a:effectLst/>
                  <a:latin typeface="+mn-lt"/>
                  <a:ea typeface="Cambria Math" panose="02040503050406030204" pitchFamily="18" charset="0"/>
                  <a:cs typeface="+mn-cs"/>
                </a:rPr>
                <a:t>Biogas)</a:t>
              </a:r>
              <a:r>
                <a:rPr lang="de-CH" sz="1100">
                  <a:effectLst/>
                  <a:latin typeface="+mn-lt"/>
                  <a:ea typeface="Cambria Math" panose="02040503050406030204" pitchFamily="18" charset="0"/>
                </a:rPr>
                <a:t>  [g/d]</a:t>
              </a:r>
            </a:p>
          </xdr:txBody>
        </xdr:sp>
      </mc:Fallback>
    </mc:AlternateContent>
    <xdr:clientData/>
  </xdr:oneCellAnchor>
  <xdr:oneCellAnchor>
    <xdr:from>
      <xdr:col>1</xdr:col>
      <xdr:colOff>29766</xdr:colOff>
      <xdr:row>41</xdr:row>
      <xdr:rowOff>47625</xdr:rowOff>
    </xdr:from>
    <xdr:ext cx="4232176" cy="336361"/>
    <mc:AlternateContent xmlns:mc="http://schemas.openxmlformats.org/markup-compatibility/2006" xmlns:a14="http://schemas.microsoft.com/office/drawing/2010/main">
      <mc:Choice Requires="a14">
        <xdr:sp macro="" textlink="">
          <xdr:nvSpPr>
            <xdr:cNvPr id="8" name="TextBox 7"/>
            <xdr:cNvSpPr txBox="1"/>
          </xdr:nvSpPr>
          <xdr:spPr>
            <a:xfrm>
              <a:off x="714375" y="6977063"/>
              <a:ext cx="4232176"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 xmlns:m="http://schemas.openxmlformats.org/officeDocument/2006/math">
                  <m:r>
                    <m:rPr>
                      <m:sty m:val="p"/>
                    </m:rPr>
                    <a:rPr lang="de-CH" sz="1100">
                      <a:solidFill>
                        <a:sysClr val="windowText" lastClr="000000"/>
                      </a:solidFill>
                      <a:effectLst/>
                      <a:latin typeface="Cambria Math" panose="02040503050406030204" pitchFamily="18" charset="0"/>
                      <a:ea typeface="Cambria Math" panose="02040503050406030204" pitchFamily="18" charset="0"/>
                      <a:cs typeface="+mn-cs"/>
                    </a:rPr>
                    <m:t>Fe</m:t>
                  </m:r>
                  <m:r>
                    <a:rPr lang="de-CH" sz="1100">
                      <a:solidFill>
                        <a:sysClr val="windowText" lastClr="000000"/>
                      </a:solidFill>
                      <a:effectLst/>
                      <a:latin typeface="Cambria Math" panose="02040503050406030204" pitchFamily="18" charset="0"/>
                      <a:ea typeface="Cambria Math" panose="02040503050406030204" pitchFamily="18" charset="0"/>
                      <a:cs typeface="+mn-cs"/>
                    </a:rPr>
                    <m:t>=</m:t>
                  </m:r>
                  <m:r>
                    <m:rPr>
                      <m:sty m:val="p"/>
                    </m:rPr>
                    <a:rPr lang="el-GR" sz="1100" i="1">
                      <a:solidFill>
                        <a:sysClr val="windowText" lastClr="000000"/>
                      </a:solidFill>
                      <a:effectLst/>
                      <a:latin typeface="Cambria Math" panose="02040503050406030204" pitchFamily="18" charset="0"/>
                      <a:ea typeface="Cambria Math" panose="02040503050406030204" pitchFamily="18" charset="0"/>
                      <a:cs typeface="+mn-cs"/>
                    </a:rPr>
                    <m:t>β</m:t>
                  </m:r>
                  <m:r>
                    <a:rPr lang="de-CH" sz="1100" i="1">
                      <a:solidFill>
                        <a:sysClr val="windowText" lastClr="000000"/>
                      </a:solidFill>
                      <a:effectLst/>
                      <a:latin typeface="Cambria Math" panose="02040503050406030204" pitchFamily="18" charset="0"/>
                      <a:ea typeface="Cambria Math" panose="02040503050406030204" pitchFamily="18" charset="0"/>
                      <a:cs typeface="+mn-cs"/>
                    </a:rPr>
                    <m:t>·</m:t>
                  </m:r>
                  <m:f>
                    <m:f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fPr>
                    <m:num>
                      <m:r>
                        <m:rPr>
                          <m:sty m:val="p"/>
                        </m:rPr>
                        <a:rPr lang="de-CH" sz="1100">
                          <a:solidFill>
                            <a:sysClr val="windowText" lastClr="00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Fe</m:t>
                      </m:r>
                    </m:num>
                    <m:den>
                      <m:r>
                        <m:rPr>
                          <m:sty m:val="p"/>
                        </m:rPr>
                        <a:rPr lang="de-CH" sz="1100">
                          <a:solidFill>
                            <a:sysClr val="windowText" lastClr="00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S</m:t>
                      </m:r>
                    </m:den>
                  </m:f>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m:t>
                  </m:r>
                  <m:d>
                    <m:d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dPr>
                    <m:e>
                      <m:f>
                        <m:f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fPr>
                        <m:num>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H</m:t>
                          </m:r>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₂</m:t>
                          </m:r>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aq</m:t>
                              </m:r>
                            </m:e>
                          </m:d>
                        </m:num>
                        <m:den>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fH</m:t>
                          </m:r>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₂</m:t>
                          </m:r>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aq</m:t>
                              </m:r>
                            </m:e>
                          </m:d>
                        </m:den>
                      </m:f>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m:t>
                      </m:r>
                      <m:acc>
                        <m:accPr>
                          <m:chr m:val="̇"/>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accPr>
                        <m:e>
                          <m:r>
                            <m:rPr>
                              <m:sty m:val="p"/>
                            </m:rPr>
                            <a:rPr lang="de-CH" sz="1100" b="0" i="0" baseline="0">
                              <a:solidFill>
                                <a:sysClr val="windowText" lastClr="000000"/>
                              </a:solidFill>
                              <a:effectLst/>
                              <a:latin typeface="Cambria Math" panose="02040503050406030204" pitchFamily="18" charset="0"/>
                              <a:ea typeface="Cambria Math" panose="02040503050406030204" pitchFamily="18" charset="0"/>
                              <a:cs typeface="+mn-cs"/>
                            </a:rPr>
                            <m:t>V</m:t>
                          </m:r>
                        </m:e>
                      </m:acc>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Substrate</m:t>
                      </m:r>
                      <m:r>
                        <a:rPr lang="de-CH" sz="1100" baseline="0">
                          <a:solidFill>
                            <a:sysClr val="windowText" lastClr="000000"/>
                          </a:solidFill>
                          <a:effectLst/>
                          <a:latin typeface="Cambria Math" panose="02040503050406030204" pitchFamily="18" charset="0"/>
                          <a:ea typeface="Cambria Math" panose="02040503050406030204" pitchFamily="18" charset="0"/>
                          <a:cs typeface="+mn-cs"/>
                        </a:rPr>
                        <m:t>+</m:t>
                      </m:r>
                      <m:f>
                        <m:f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fPr>
                        <m:num>
                          <m:r>
                            <m:rPr>
                              <m:sty m:val="p"/>
                            </m:rPr>
                            <a:rPr lang="el-GR" sz="1100" i="1" baseline="0">
                              <a:solidFill>
                                <a:sysClr val="windowText" lastClr="000000"/>
                              </a:solidFill>
                              <a:effectLst/>
                              <a:latin typeface="Cambria Math" panose="02040503050406030204" pitchFamily="18" charset="0"/>
                              <a:ea typeface="Cambria Math" panose="02040503050406030204" pitchFamily="18" charset="0"/>
                              <a:cs typeface="+mn-cs"/>
                            </a:rPr>
                            <m:t>Δ</m:t>
                          </m:r>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H</m:t>
                          </m:r>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₂</m:t>
                          </m:r>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ysClr val="windowText" lastClr="000000"/>
                                  </a:solidFill>
                                  <a:effectLst/>
                                  <a:latin typeface="Cambria Math" panose="02040503050406030204" pitchFamily="18" charset="0"/>
                                  <a:ea typeface="Cambria Math" panose="02040503050406030204" pitchFamily="18" charset="0"/>
                                  <a:cs typeface="+mn-cs"/>
                                </a:rPr>
                                <m:t>g</m:t>
                              </m:r>
                            </m:e>
                          </m:d>
                        </m:num>
                        <m:den>
                          <m:r>
                            <a:rPr lang="de-CH" sz="1100" baseline="0">
                              <a:solidFill>
                                <a:sysClr val="windowText" lastClr="000000"/>
                              </a:solidFill>
                              <a:effectLst/>
                              <a:latin typeface="Cambria Math" panose="02040503050406030204" pitchFamily="18" charset="0"/>
                              <a:ea typeface="Cambria Math" panose="02040503050406030204" pitchFamily="18" charset="0"/>
                              <a:cs typeface="+mn-cs"/>
                            </a:rPr>
                            <m:t>1000</m:t>
                          </m:r>
                        </m:den>
                      </m:f>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m:t>
                      </m:r>
                      <m:r>
                        <m:rPr>
                          <m:sty m:val="p"/>
                        </m:rPr>
                        <a:rPr lang="el-GR" sz="1100" i="1" baseline="0">
                          <a:solidFill>
                            <a:sysClr val="windowText" lastClr="000000"/>
                          </a:solidFill>
                          <a:effectLst/>
                          <a:latin typeface="Cambria Math" panose="02040503050406030204" pitchFamily="18" charset="0"/>
                          <a:ea typeface="Cambria Math" panose="02040503050406030204" pitchFamily="18" charset="0"/>
                          <a:cs typeface="+mn-cs"/>
                        </a:rPr>
                        <m:t>ρ</m:t>
                      </m:r>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H</m:t>
                      </m:r>
                      <m:r>
                        <a:rPr lang="de-CH" sz="1100" i="1" baseline="-25000">
                          <a:solidFill>
                            <a:sysClr val="windowText" lastClr="000000"/>
                          </a:solidFill>
                          <a:effectLst/>
                          <a:latin typeface="Cambria Math" panose="02040503050406030204" pitchFamily="18" charset="0"/>
                          <a:ea typeface="Cambria Math" panose="02040503050406030204" pitchFamily="18" charset="0"/>
                          <a:cs typeface="+mn-cs"/>
                        </a:rPr>
                        <m:t>₂</m:t>
                      </m:r>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S</m:t>
                      </m:r>
                      <m: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t>·</m:t>
                      </m:r>
                      <m:acc>
                        <m:accPr>
                          <m:chr m:val="̇"/>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accPr>
                        <m:e>
                          <m:r>
                            <m:rPr>
                              <m:sty m:val="p"/>
                            </m:rPr>
                            <a:rPr lang="de-CH" sz="1100" b="0" i="0" baseline="0">
                              <a:solidFill>
                                <a:sysClr val="windowText" lastClr="000000"/>
                              </a:solidFill>
                              <a:effectLst/>
                              <a:latin typeface="Cambria Math" panose="02040503050406030204" pitchFamily="18" charset="0"/>
                              <a:ea typeface="Cambria Math" panose="02040503050406030204" pitchFamily="18" charset="0"/>
                              <a:cs typeface="+mn-cs"/>
                            </a:rPr>
                            <m:t>V</m:t>
                          </m:r>
                        </m:e>
                      </m:acc>
                      <m:r>
                        <m:rPr>
                          <m:sty m:val="p"/>
                        </m:rPr>
                        <a:rPr lang="de-CH" sz="1100" baseline="-25000">
                          <a:solidFill>
                            <a:sysClr val="windowText" lastClr="000000"/>
                          </a:solidFill>
                          <a:effectLst/>
                          <a:latin typeface="Cambria Math" panose="02040503050406030204" pitchFamily="18" charset="0"/>
                          <a:ea typeface="Cambria Math" panose="02040503050406030204" pitchFamily="18" charset="0"/>
                          <a:cs typeface="+mn-cs"/>
                        </a:rPr>
                        <m:t>Biogas</m:t>
                      </m:r>
                    </m:e>
                  </m:d>
                </m:oMath>
              </a14:m>
              <a:r>
                <a:rPr lang="de-CH" sz="1100">
                  <a:solidFill>
                    <a:sysClr val="windowText" lastClr="000000"/>
                  </a:solidFill>
                  <a:effectLst/>
                  <a:latin typeface="+mn-lt"/>
                  <a:ea typeface="Cambria Math" panose="02040503050406030204" pitchFamily="18" charset="0"/>
                </a:rPr>
                <a:t>  [g/d]</a:t>
              </a:r>
            </a:p>
          </xdr:txBody>
        </xdr:sp>
      </mc:Choice>
      <mc:Fallback xmlns="">
        <xdr:sp macro="" textlink="">
          <xdr:nvSpPr>
            <xdr:cNvPr id="8" name="TextBox 7"/>
            <xdr:cNvSpPr txBox="1"/>
          </xdr:nvSpPr>
          <xdr:spPr>
            <a:xfrm>
              <a:off x="714375" y="6977063"/>
              <a:ext cx="4232176"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de-CH" sz="1100" i="0">
                  <a:solidFill>
                    <a:sysClr val="windowText" lastClr="000000"/>
                  </a:solidFill>
                  <a:effectLst/>
                  <a:latin typeface="+mn-lt"/>
                  <a:ea typeface="Cambria Math" panose="02040503050406030204" pitchFamily="18" charset="0"/>
                  <a:cs typeface="+mn-cs"/>
                </a:rPr>
                <a:t>Fe=</a:t>
              </a:r>
              <a:r>
                <a:rPr lang="el-GR" sz="1100" i="0">
                  <a:solidFill>
                    <a:sysClr val="windowText" lastClr="000000"/>
                  </a:solidFill>
                  <a:effectLst/>
                  <a:latin typeface="+mn-lt"/>
                  <a:ea typeface="Cambria Math" panose="02040503050406030204" pitchFamily="18" charset="0"/>
                  <a:cs typeface="+mn-cs"/>
                </a:rPr>
                <a:t>β</a:t>
              </a:r>
              <a:r>
                <a:rPr lang="de-CH" sz="1100" i="0">
                  <a:solidFill>
                    <a:sysClr val="windowText" lastClr="000000"/>
                  </a:solidFill>
                  <a:effectLst/>
                  <a:latin typeface="+mn-lt"/>
                  <a:ea typeface="Cambria Math" panose="02040503050406030204" pitchFamily="18" charset="0"/>
                  <a:cs typeface="+mn-cs"/>
                </a:rPr>
                <a:t>·M</a:t>
              </a:r>
              <a:r>
                <a:rPr lang="de-CH" sz="1100" i="0" baseline="-25000">
                  <a:solidFill>
                    <a:sysClr val="windowText" lastClr="000000"/>
                  </a:solidFill>
                  <a:effectLst/>
                  <a:latin typeface="+mn-lt"/>
                  <a:ea typeface="Cambria Math" panose="02040503050406030204" pitchFamily="18" charset="0"/>
                  <a:cs typeface="+mn-cs"/>
                </a:rPr>
                <a:t>Fe/</a:t>
              </a:r>
              <a:r>
                <a:rPr lang="de-CH" sz="1100" i="0">
                  <a:solidFill>
                    <a:sysClr val="windowText" lastClr="000000"/>
                  </a:solidFill>
                  <a:effectLst/>
                  <a:latin typeface="+mn-lt"/>
                  <a:ea typeface="Cambria Math" panose="02040503050406030204" pitchFamily="18" charset="0"/>
                  <a:cs typeface="+mn-cs"/>
                </a:rPr>
                <a:t>M</a:t>
              </a:r>
              <a:r>
                <a:rPr lang="de-CH" sz="1100" i="0" baseline="-25000">
                  <a:solidFill>
                    <a:sysClr val="windowText" lastClr="000000"/>
                  </a:solidFill>
                  <a:effectLst/>
                  <a:latin typeface="+mn-lt"/>
                  <a:ea typeface="Cambria Math" panose="02040503050406030204" pitchFamily="18" charset="0"/>
                  <a:cs typeface="+mn-cs"/>
                </a:rPr>
                <a:t>S</a:t>
              </a:r>
              <a:r>
                <a:rPr lang="de-CH" sz="1100" i="0" baseline="0">
                  <a:solidFill>
                    <a:sysClr val="windowText" lastClr="000000"/>
                  </a:solidFill>
                  <a:effectLst/>
                  <a:latin typeface="+mn-lt"/>
                  <a:ea typeface="Cambria Math" panose="02040503050406030204" pitchFamily="18" charset="0"/>
                  <a:cs typeface="+mn-cs"/>
                </a:rPr>
                <a:t>·((H₂S(aq))/(fH₂S(aq) )·</a:t>
              </a:r>
              <a:r>
                <a:rPr lang="de-CH" sz="1100" b="0" i="0" baseline="0">
                  <a:solidFill>
                    <a:sysClr val="windowText" lastClr="000000"/>
                  </a:solidFill>
                  <a:effectLst/>
                  <a:latin typeface="+mn-lt"/>
                  <a:ea typeface="Cambria Math" panose="02040503050406030204" pitchFamily="18" charset="0"/>
                  <a:cs typeface="+mn-cs"/>
                </a:rPr>
                <a:t>V ̇</a:t>
              </a:r>
              <a:r>
                <a:rPr lang="de-CH" sz="1100" i="0" baseline="-25000">
                  <a:solidFill>
                    <a:sysClr val="windowText" lastClr="000000"/>
                  </a:solidFill>
                  <a:effectLst/>
                  <a:latin typeface="+mn-lt"/>
                  <a:ea typeface="Cambria Math" panose="02040503050406030204" pitchFamily="18" charset="0"/>
                  <a:cs typeface="+mn-cs"/>
                </a:rPr>
                <a:t>Substrate</a:t>
              </a:r>
              <a:r>
                <a:rPr lang="de-CH" sz="1100" i="0" baseline="0">
                  <a:solidFill>
                    <a:sysClr val="windowText" lastClr="000000"/>
                  </a:solidFill>
                  <a:effectLst/>
                  <a:latin typeface="+mn-lt"/>
                  <a:ea typeface="Cambria Math" panose="02040503050406030204" pitchFamily="18" charset="0"/>
                  <a:cs typeface="+mn-cs"/>
                </a:rPr>
                <a:t>+(</a:t>
              </a:r>
              <a:r>
                <a:rPr lang="el-GR" sz="1100" i="0" baseline="0">
                  <a:solidFill>
                    <a:sysClr val="windowText" lastClr="000000"/>
                  </a:solidFill>
                  <a:effectLst/>
                  <a:latin typeface="+mn-lt"/>
                  <a:ea typeface="Cambria Math" panose="02040503050406030204" pitchFamily="18" charset="0"/>
                  <a:cs typeface="+mn-cs"/>
                </a:rPr>
                <a:t>Δ</a:t>
              </a:r>
              <a:r>
                <a:rPr lang="de-CH" sz="1100" i="0" baseline="0">
                  <a:solidFill>
                    <a:sysClr val="windowText" lastClr="000000"/>
                  </a:solidFill>
                  <a:effectLst/>
                  <a:latin typeface="+mn-lt"/>
                  <a:ea typeface="Cambria Math" panose="02040503050406030204" pitchFamily="18" charset="0"/>
                  <a:cs typeface="+mn-cs"/>
                </a:rPr>
                <a:t>H₂S(g))/1000·</a:t>
              </a:r>
              <a:r>
                <a:rPr lang="el-GR" sz="1100" i="0" baseline="0">
                  <a:solidFill>
                    <a:sysClr val="windowText" lastClr="000000"/>
                  </a:solidFill>
                  <a:effectLst/>
                  <a:latin typeface="+mn-lt"/>
                  <a:ea typeface="Cambria Math" panose="02040503050406030204" pitchFamily="18" charset="0"/>
                  <a:cs typeface="+mn-cs"/>
                </a:rPr>
                <a:t>ρ</a:t>
              </a:r>
              <a:r>
                <a:rPr lang="de-CH" sz="1100" i="0" baseline="-25000">
                  <a:solidFill>
                    <a:sysClr val="windowText" lastClr="000000"/>
                  </a:solidFill>
                  <a:effectLst/>
                  <a:latin typeface="+mn-lt"/>
                  <a:ea typeface="Cambria Math" panose="02040503050406030204" pitchFamily="18" charset="0"/>
                  <a:cs typeface="+mn-cs"/>
                </a:rPr>
                <a:t>H₂S</a:t>
              </a:r>
              <a:r>
                <a:rPr lang="de-CH" sz="1100" i="0" baseline="0">
                  <a:solidFill>
                    <a:sysClr val="windowText" lastClr="000000"/>
                  </a:solidFill>
                  <a:effectLst/>
                  <a:latin typeface="+mn-lt"/>
                  <a:ea typeface="Cambria Math" panose="02040503050406030204" pitchFamily="18" charset="0"/>
                  <a:cs typeface="+mn-cs"/>
                </a:rPr>
                <a:t>·</a:t>
              </a:r>
              <a:r>
                <a:rPr lang="de-CH" sz="1100" b="0" i="0" baseline="0">
                  <a:solidFill>
                    <a:sysClr val="windowText" lastClr="000000"/>
                  </a:solidFill>
                  <a:effectLst/>
                  <a:latin typeface="+mn-lt"/>
                  <a:ea typeface="Cambria Math" panose="02040503050406030204" pitchFamily="18" charset="0"/>
                  <a:cs typeface="+mn-cs"/>
                </a:rPr>
                <a:t>V ̇</a:t>
              </a:r>
              <a:r>
                <a:rPr lang="de-CH" sz="1100" i="0" baseline="-25000">
                  <a:solidFill>
                    <a:sysClr val="windowText" lastClr="000000"/>
                  </a:solidFill>
                  <a:effectLst/>
                  <a:latin typeface="+mn-lt"/>
                  <a:ea typeface="Cambria Math" panose="02040503050406030204" pitchFamily="18" charset="0"/>
                  <a:cs typeface="+mn-cs"/>
                </a:rPr>
                <a:t>Biogas)</a:t>
              </a:r>
              <a:r>
                <a:rPr lang="de-CH" sz="1100">
                  <a:solidFill>
                    <a:sysClr val="windowText" lastClr="000000"/>
                  </a:solidFill>
                  <a:effectLst/>
                  <a:latin typeface="+mn-lt"/>
                  <a:ea typeface="Cambria Math" panose="02040503050406030204" pitchFamily="18" charset="0"/>
                </a:rPr>
                <a:t>  [g/d]</a:t>
              </a:r>
            </a:p>
          </xdr:txBody>
        </xdr:sp>
      </mc:Fallback>
    </mc:AlternateContent>
    <xdr:clientData/>
  </xdr:oneCellAnchor>
  <xdr:oneCellAnchor>
    <xdr:from>
      <xdr:col>1</xdr:col>
      <xdr:colOff>26193</xdr:colOff>
      <xdr:row>51</xdr:row>
      <xdr:rowOff>60719</xdr:rowOff>
    </xdr:from>
    <xdr:ext cx="3472682" cy="290513"/>
    <mc:AlternateContent xmlns:mc="http://schemas.openxmlformats.org/markup-compatibility/2006" xmlns:a14="http://schemas.microsoft.com/office/drawing/2010/main">
      <mc:Choice Requires="a14">
        <xdr:sp macro="" textlink="">
          <xdr:nvSpPr>
            <xdr:cNvPr id="9" name="TextBox 8"/>
            <xdr:cNvSpPr txBox="1"/>
          </xdr:nvSpPr>
          <xdr:spPr>
            <a:xfrm>
              <a:off x="711993" y="8899919"/>
              <a:ext cx="3472682" cy="290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sSub>
                      <m:sSub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sSub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H</m:t>
                        </m:r>
                      </m:e>
                      <m:sub>
                        <m:r>
                          <a:rPr lang="en-US" sz="1100" i="0">
                            <a:solidFill>
                              <a:sysClr val="windowText" lastClr="000000"/>
                            </a:solidFill>
                            <a:effectLst/>
                            <a:latin typeface="Cambria Math" panose="02040503050406030204" pitchFamily="18" charset="0"/>
                            <a:ea typeface="Cambria Math" panose="02040503050406030204" pitchFamily="18" charset="0"/>
                            <a:cs typeface="+mn-cs"/>
                          </a:rPr>
                          <m:t>2</m:t>
                        </m:r>
                      </m:sub>
                    </m:sSub>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g</m:t>
                        </m:r>
                      </m:e>
                    </m:d>
                    <m:r>
                      <a:rPr lang="en-US" sz="1100" i="0">
                        <a:solidFill>
                          <a:sysClr val="windowText" lastClr="000000"/>
                        </a:solidFill>
                        <a:effectLst/>
                        <a:latin typeface="Cambria Math" panose="02040503050406030204" pitchFamily="18" charset="0"/>
                        <a:ea typeface="Cambria Math" panose="02040503050406030204" pitchFamily="18" charset="0"/>
                        <a:cs typeface="+mn-cs"/>
                      </a:rPr>
                      <m:t>=</m:t>
                    </m:r>
                    <m:sSup>
                      <m:sSup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sSup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e</m:t>
                        </m:r>
                      </m:e>
                      <m:sup>
                        <m:d>
                          <m:d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dPr>
                          <m:e>
                            <m:r>
                              <a:rPr lang="en-US" sz="1100" i="0">
                                <a:solidFill>
                                  <a:sysClr val="windowText" lastClr="000000"/>
                                </a:solidFill>
                                <a:effectLst/>
                                <a:latin typeface="Cambria Math" panose="02040503050406030204" pitchFamily="18" charset="0"/>
                                <a:ea typeface="Cambria Math" panose="02040503050406030204" pitchFamily="18" charset="0"/>
                                <a:cs typeface="+mn-cs"/>
                              </a:rPr>
                              <m:t>6.42</m:t>
                            </m:r>
                            <m:r>
                              <a:rPr lang="de-CH" sz="1100" b="0" i="0">
                                <a:solidFill>
                                  <a:sysClr val="windowText" lastClr="000000"/>
                                </a:solidFill>
                                <a:effectLst/>
                                <a:latin typeface="Cambria Math" panose="02040503050406030204" pitchFamily="18" charset="0"/>
                                <a:ea typeface="Cambria Math" panose="02040503050406030204" pitchFamily="18" charset="0"/>
                                <a:cs typeface="+mn-cs"/>
                              </a:rPr>
                              <m:t>+</m:t>
                            </m:r>
                            <m:r>
                              <a:rPr lang="en-US" sz="1100" i="0">
                                <a:solidFill>
                                  <a:sysClr val="windowText" lastClr="000000"/>
                                </a:solidFill>
                                <a:effectLst/>
                                <a:latin typeface="Cambria Math" panose="02040503050406030204" pitchFamily="18" charset="0"/>
                                <a:ea typeface="Cambria Math" panose="02040503050406030204" pitchFamily="18" charset="0"/>
                                <a:cs typeface="+mn-cs"/>
                              </a:rPr>
                              <m:t>0.78⋅</m:t>
                            </m:r>
                            <m:func>
                              <m:func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funcPr>
                              <m:fNa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ln</m:t>
                                </m:r>
                              </m:fName>
                              <m:e>
                                <m:d>
                                  <m:d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dPr>
                                  <m:e>
                                    <m:sSub>
                                      <m:sSub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sSub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H</m:t>
                                        </m:r>
                                      </m:e>
                                      <m:sub>
                                        <m:r>
                                          <a:rPr lang="en-US" sz="1100" i="0">
                                            <a:solidFill>
                                              <a:sysClr val="windowText" lastClr="000000"/>
                                            </a:solidFill>
                                            <a:effectLst/>
                                            <a:latin typeface="Cambria Math" panose="02040503050406030204" pitchFamily="18" charset="0"/>
                                            <a:ea typeface="Cambria Math" panose="02040503050406030204" pitchFamily="18" charset="0"/>
                                            <a:cs typeface="+mn-cs"/>
                                          </a:rPr>
                                          <m:t>2</m:t>
                                        </m:r>
                                      </m:sub>
                                    </m:sSub>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aq</m:t>
                                        </m:r>
                                        <m:r>
                                          <a:rPr lang="en-US" sz="1100" i="0">
                                            <a:solidFill>
                                              <a:sysClr val="windowText" lastClr="000000"/>
                                            </a:solidFill>
                                            <a:effectLst/>
                                            <a:latin typeface="Cambria Math" panose="02040503050406030204" pitchFamily="18" charset="0"/>
                                            <a:ea typeface="Cambria Math" panose="02040503050406030204" pitchFamily="18" charset="0"/>
                                            <a:cs typeface="+mn-cs"/>
                                          </a:rPr>
                                          <m:t>‐</m:t>
                                        </m:r>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ges</m:t>
                                        </m:r>
                                      </m:e>
                                    </m:d>
                                    <m:r>
                                      <a:rPr lang="en-US" sz="1100" i="0">
                                        <a:solidFill>
                                          <a:sysClr val="windowText" lastClr="000000"/>
                                        </a:solidFill>
                                        <a:effectLst/>
                                        <a:latin typeface="Cambria Math" panose="02040503050406030204" pitchFamily="18" charset="0"/>
                                        <a:ea typeface="Cambria Math" panose="02040503050406030204" pitchFamily="18" charset="0"/>
                                        <a:cs typeface="+mn-cs"/>
                                      </a:rPr>
                                      <m:t>⋅</m:t>
                                    </m:r>
                                    <m:r>
                                      <m:rPr>
                                        <m:sty m:val="p"/>
                                      </m:rPr>
                                      <a:rPr lang="de-CH" sz="1100" b="0" i="0">
                                        <a:solidFill>
                                          <a:sysClr val="windowText" lastClr="000000"/>
                                        </a:solidFill>
                                        <a:effectLst/>
                                        <a:latin typeface="Cambria Math" panose="02040503050406030204" pitchFamily="18" charset="0"/>
                                        <a:ea typeface="Cambria Math" panose="02040503050406030204" pitchFamily="18" charset="0"/>
                                        <a:cs typeface="+mn-cs"/>
                                      </a:rPr>
                                      <m:t>f</m:t>
                                    </m:r>
                                    <m:r>
                                      <m:rPr>
                                        <m:sty m:val="p"/>
                                      </m:rPr>
                                      <a:rPr lang="de-CH" sz="1100" i="0" baseline="0">
                                        <a:solidFill>
                                          <a:sysClr val="windowText" lastClr="000000"/>
                                        </a:solidFill>
                                        <a:effectLst/>
                                        <a:latin typeface="Cambria Math" panose="02040503050406030204" pitchFamily="18" charset="0"/>
                                        <a:ea typeface="Cambria Math" panose="02040503050406030204" pitchFamily="18" charset="0"/>
                                        <a:cs typeface="+mn-cs"/>
                                      </a:rPr>
                                      <m:t>H</m:t>
                                    </m:r>
                                    <m:r>
                                      <a:rPr lang="de-CH" sz="1100" i="0" baseline="0">
                                        <a:solidFill>
                                          <a:sysClr val="windowText" lastClr="000000"/>
                                        </a:solidFill>
                                        <a:effectLst/>
                                        <a:latin typeface="Cambria Math" panose="02040503050406030204" pitchFamily="18" charset="0"/>
                                        <a:ea typeface="Cambria Math" panose="02040503050406030204" pitchFamily="18" charset="0"/>
                                        <a:cs typeface="+mn-cs"/>
                                      </a:rPr>
                                      <m:t>₂</m:t>
                                    </m:r>
                                    <m:r>
                                      <m:rPr>
                                        <m:sty m:val="p"/>
                                      </m:rPr>
                                      <a:rPr lang="de-CH" sz="1100" i="0" baseline="0">
                                        <a:solidFill>
                                          <a:sysClr val="windowText" lastClr="000000"/>
                                        </a:solidFill>
                                        <a:effectLst/>
                                        <a:latin typeface="Cambria Math" panose="02040503050406030204" pitchFamily="18" charset="0"/>
                                        <a:ea typeface="Cambria Math" panose="02040503050406030204" pitchFamily="18" charset="0"/>
                                        <a:cs typeface="+mn-cs"/>
                                      </a:rPr>
                                      <m:t>S</m:t>
                                    </m:r>
                                    <m:d>
                                      <m:dPr>
                                        <m:ctrlPr>
                                          <a:rPr lang="de-CH" sz="1100" i="1" baseline="0">
                                            <a:solidFill>
                                              <a:sysClr val="windowText" lastClr="000000"/>
                                            </a:solidFill>
                                            <a:effectLst/>
                                            <a:latin typeface="Cambria Math" panose="02040503050406030204" pitchFamily="18" charset="0"/>
                                            <a:ea typeface="Cambria Math" panose="02040503050406030204" pitchFamily="18" charset="0"/>
                                            <a:cs typeface="+mn-cs"/>
                                          </a:rPr>
                                        </m:ctrlPr>
                                      </m:dPr>
                                      <m:e>
                                        <m:r>
                                          <m:rPr>
                                            <m:sty m:val="p"/>
                                          </m:rPr>
                                          <a:rPr lang="de-CH" sz="1100" i="0" baseline="0">
                                            <a:solidFill>
                                              <a:sysClr val="windowText" lastClr="000000"/>
                                            </a:solidFill>
                                            <a:effectLst/>
                                            <a:latin typeface="Cambria Math" panose="02040503050406030204" pitchFamily="18" charset="0"/>
                                            <a:ea typeface="Cambria Math" panose="02040503050406030204" pitchFamily="18" charset="0"/>
                                            <a:cs typeface="+mn-cs"/>
                                          </a:rPr>
                                          <m:t>aq</m:t>
                                        </m:r>
                                      </m:e>
                                    </m:d>
                                  </m:e>
                                </m:d>
                              </m:e>
                            </m:func>
                          </m:e>
                        </m:d>
                      </m:sup>
                    </m:sSup>
                    <m:r>
                      <a:rPr lang="en-US" sz="1100" i="0">
                        <a:solidFill>
                          <a:sysClr val="windowText" lastClr="000000"/>
                        </a:solidFill>
                        <a:effectLst/>
                        <a:latin typeface="Cambria Math" panose="02040503050406030204" pitchFamily="18" charset="0"/>
                        <a:ea typeface="Cambria Math" panose="02040503050406030204" pitchFamily="18" charset="0"/>
                        <a:cs typeface="+mn-cs"/>
                      </a:rPr>
                      <m:t> </m:t>
                    </m:r>
                    <m:r>
                      <a:rPr lang="de-CH" sz="1100" b="0" i="0">
                        <a:solidFill>
                          <a:sysClr val="windowText" lastClr="000000"/>
                        </a:solidFill>
                        <a:effectLst/>
                        <a:latin typeface="Cambria Math" panose="02040503050406030204" pitchFamily="18" charset="0"/>
                        <a:ea typeface="Cambria Math" panose="02040503050406030204" pitchFamily="18" charset="0"/>
                        <a:cs typeface="+mn-cs"/>
                      </a:rPr>
                      <m:t> </m:t>
                    </m:r>
                    <m:r>
                      <a:rPr lang="en-US" sz="1100" i="0">
                        <a:solidFill>
                          <a:sysClr val="windowText" lastClr="000000"/>
                        </a:solidFill>
                        <a:effectLst/>
                        <a:latin typeface="Cambria Math" panose="02040503050406030204" pitchFamily="18" charset="0"/>
                        <a:ea typeface="Cambria Math" panose="02040503050406030204" pitchFamily="18" charset="0"/>
                        <a:cs typeface="+mn-cs"/>
                      </a:rPr>
                      <m:t>[</m:t>
                    </m:r>
                    <m:f>
                      <m:fPr>
                        <m:type m:val="lin"/>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fPr>
                      <m:num>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g</m:t>
                        </m:r>
                      </m:num>
                      <m:den>
                        <m:sSup>
                          <m:sSupPr>
                            <m:ctrlPr>
                              <a:rPr lang="de-CH" sz="1100" i="1">
                                <a:solidFill>
                                  <a:sysClr val="windowText" lastClr="000000"/>
                                </a:solidFill>
                                <a:effectLst/>
                                <a:latin typeface="Cambria Math" panose="02040503050406030204" pitchFamily="18" charset="0"/>
                                <a:ea typeface="Cambria Math" panose="02040503050406030204" pitchFamily="18" charset="0"/>
                                <a:cs typeface="+mn-cs"/>
                              </a:rPr>
                            </m:ctrlPr>
                          </m:sSupPr>
                          <m:e>
                            <m:r>
                              <m:rPr>
                                <m:sty m:val="p"/>
                              </m:rPr>
                              <a:rPr lang="en-US" sz="1100" i="0">
                                <a:solidFill>
                                  <a:sysClr val="windowText" lastClr="000000"/>
                                </a:solidFill>
                                <a:effectLst/>
                                <a:latin typeface="Cambria Math" panose="02040503050406030204" pitchFamily="18" charset="0"/>
                                <a:ea typeface="Cambria Math" panose="02040503050406030204" pitchFamily="18" charset="0"/>
                                <a:cs typeface="+mn-cs"/>
                              </a:rPr>
                              <m:t>m</m:t>
                            </m:r>
                          </m:e>
                          <m:sup>
                            <m:r>
                              <a:rPr lang="en-US" sz="1100" i="0">
                                <a:solidFill>
                                  <a:sysClr val="windowText" lastClr="000000"/>
                                </a:solidFill>
                                <a:effectLst/>
                                <a:latin typeface="Cambria Math" panose="02040503050406030204" pitchFamily="18" charset="0"/>
                                <a:ea typeface="Cambria Math" panose="02040503050406030204" pitchFamily="18" charset="0"/>
                                <a:cs typeface="+mn-cs"/>
                              </a:rPr>
                              <m:t>3</m:t>
                            </m:r>
                          </m:sup>
                        </m:sSup>
                      </m:den>
                    </m:f>
                    <m:r>
                      <a:rPr lang="en-US" sz="1100" i="0">
                        <a:solidFill>
                          <a:sysClr val="windowText" lastClr="000000"/>
                        </a:solidFill>
                        <a:effectLst/>
                        <a:latin typeface="Cambria Math" panose="02040503050406030204" pitchFamily="18" charset="0"/>
                        <a:ea typeface="Cambria Math" panose="02040503050406030204" pitchFamily="18" charset="0"/>
                        <a:cs typeface="+mn-cs"/>
                      </a:rPr>
                      <m:t>]</m:t>
                    </m:r>
                  </m:oMath>
                </m:oMathPara>
              </a14:m>
              <a:endParaRPr lang="de-CH" sz="1100" i="0">
                <a:solidFill>
                  <a:sysClr val="windowText" lastClr="000000"/>
                </a:solidFill>
                <a:latin typeface="+mn-lt"/>
                <a:ea typeface="Cambria Math" panose="02040503050406030204" pitchFamily="18" charset="0"/>
              </a:endParaRPr>
            </a:p>
          </xdr:txBody>
        </xdr:sp>
      </mc:Choice>
      <mc:Fallback xmlns="">
        <xdr:sp macro="" textlink="">
          <xdr:nvSpPr>
            <xdr:cNvPr id="9" name="TextBox 8"/>
            <xdr:cNvSpPr txBox="1"/>
          </xdr:nvSpPr>
          <xdr:spPr>
            <a:xfrm>
              <a:off x="711993" y="8899919"/>
              <a:ext cx="3472682" cy="2905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solidFill>
                    <a:sysClr val="windowText" lastClr="000000"/>
                  </a:solidFill>
                  <a:effectLst/>
                  <a:latin typeface="Cambria Math" panose="02040503050406030204" pitchFamily="18" charset="0"/>
                  <a:ea typeface="Cambria Math" panose="02040503050406030204" pitchFamily="18" charset="0"/>
                  <a:cs typeface="+mn-cs"/>
                </a:rPr>
                <a:t>H</a:t>
              </a:r>
              <a:r>
                <a:rPr lang="de-CH" sz="1100" i="0">
                  <a:solidFill>
                    <a:sysClr val="windowText" lastClr="000000"/>
                  </a:solidFill>
                  <a:effectLst/>
                  <a:latin typeface="Cambria Math" panose="02040503050406030204" pitchFamily="18" charset="0"/>
                  <a:ea typeface="Cambria Math" panose="02040503050406030204" pitchFamily="18" charset="0"/>
                  <a:cs typeface="+mn-cs"/>
                </a:rPr>
                <a:t>_</a:t>
              </a:r>
              <a:r>
                <a:rPr lang="en-US" sz="1100" i="0">
                  <a:solidFill>
                    <a:sysClr val="windowText" lastClr="000000"/>
                  </a:solidFill>
                  <a:effectLst/>
                  <a:latin typeface="Cambria Math" panose="02040503050406030204" pitchFamily="18" charset="0"/>
                  <a:ea typeface="Cambria Math" panose="02040503050406030204" pitchFamily="18" charset="0"/>
                  <a:cs typeface="+mn-cs"/>
                </a:rPr>
                <a:t>2 S</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g)=e</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6.42</a:t>
              </a:r>
              <a:r>
                <a:rPr lang="de-CH" sz="1100" b="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0.78⋅ln</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H</a:t>
              </a:r>
              <a:r>
                <a:rPr lang="de-CH" sz="1100" i="0">
                  <a:solidFill>
                    <a:sysClr val="windowText" lastClr="000000"/>
                  </a:solidFill>
                  <a:effectLst/>
                  <a:latin typeface="Cambria Math" panose="02040503050406030204" pitchFamily="18" charset="0"/>
                  <a:ea typeface="Cambria Math" panose="02040503050406030204" pitchFamily="18" charset="0"/>
                  <a:cs typeface="+mn-cs"/>
                </a:rPr>
                <a:t>_</a:t>
              </a:r>
              <a:r>
                <a:rPr lang="en-US" sz="1100" i="0">
                  <a:solidFill>
                    <a:sysClr val="windowText" lastClr="000000"/>
                  </a:solidFill>
                  <a:effectLst/>
                  <a:latin typeface="Cambria Math" panose="02040503050406030204" pitchFamily="18" charset="0"/>
                  <a:ea typeface="Cambria Math" panose="02040503050406030204" pitchFamily="18" charset="0"/>
                  <a:cs typeface="+mn-cs"/>
                </a:rPr>
                <a:t>2 S</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aq‐ges)⋅</a:t>
              </a:r>
              <a:r>
                <a:rPr lang="de-CH" sz="1100" b="0" i="0">
                  <a:solidFill>
                    <a:sysClr val="windowText" lastClr="000000"/>
                  </a:solidFill>
                  <a:effectLst/>
                  <a:latin typeface="Cambria Math" panose="02040503050406030204" pitchFamily="18" charset="0"/>
                  <a:ea typeface="Cambria Math" panose="02040503050406030204" pitchFamily="18" charset="0"/>
                  <a:cs typeface="+mn-cs"/>
                </a:rPr>
                <a:t>f</a:t>
              </a:r>
              <a:r>
                <a:rPr lang="de-CH" sz="1100" i="0" baseline="0">
                  <a:solidFill>
                    <a:sysClr val="windowText" lastClr="000000"/>
                  </a:solidFill>
                  <a:effectLst/>
                  <a:latin typeface="Cambria Math" panose="02040503050406030204" pitchFamily="18" charset="0"/>
                  <a:ea typeface="Cambria Math" panose="02040503050406030204" pitchFamily="18" charset="0"/>
                  <a:cs typeface="+mn-cs"/>
                </a:rPr>
                <a:t>H₂S(aq)) ) )</a:t>
              </a:r>
              <a:r>
                <a:rPr lang="en-US" sz="1100" i="0" baseline="0">
                  <a:solidFill>
                    <a:sysClr val="windowText" lastClr="000000"/>
                  </a:solidFill>
                  <a:effectLst/>
                  <a:latin typeface="Cambria Math" panose="02040503050406030204" pitchFamily="18" charset="0"/>
                  <a:ea typeface="Cambria Math" panose="02040503050406030204" pitchFamily="18" charset="0"/>
                  <a:cs typeface="+mn-cs"/>
                </a:rPr>
                <a:t> </a:t>
              </a:r>
              <a:r>
                <a:rPr lang="en-US" sz="1100" i="0">
                  <a:solidFill>
                    <a:sysClr val="windowText" lastClr="000000"/>
                  </a:solidFill>
                  <a:effectLst/>
                  <a:latin typeface="Cambria Math" panose="02040503050406030204" pitchFamily="18" charset="0"/>
                  <a:ea typeface="Cambria Math" panose="02040503050406030204" pitchFamily="18" charset="0"/>
                  <a:cs typeface="+mn-cs"/>
                </a:rPr>
                <a:t> </a:t>
              </a:r>
              <a:r>
                <a:rPr lang="de-CH" sz="1100" b="0" i="0">
                  <a:solidFill>
                    <a:sysClr val="windowText" lastClr="000000"/>
                  </a:solidFill>
                  <a:effectLst/>
                  <a:latin typeface="Cambria Math" panose="02040503050406030204" pitchFamily="18" charset="0"/>
                  <a:ea typeface="Cambria Math" panose="02040503050406030204" pitchFamily="18" charset="0"/>
                  <a:cs typeface="+mn-cs"/>
                </a:rPr>
                <a:t> </a:t>
              </a:r>
              <a:r>
                <a:rPr lang="en-US" sz="1100" i="0">
                  <a:solidFill>
                    <a:sysClr val="windowText" lastClr="000000"/>
                  </a:solidFill>
                  <a:effectLst/>
                  <a:latin typeface="Cambria Math" panose="02040503050406030204" pitchFamily="18" charset="0"/>
                  <a:ea typeface="Cambria Math" panose="02040503050406030204" pitchFamily="18" charset="0"/>
                  <a:cs typeface="+mn-cs"/>
                </a:rPr>
                <a:t>[g</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m</a:t>
              </a:r>
              <a:r>
                <a:rPr lang="de-CH" sz="1100" i="0">
                  <a:solidFill>
                    <a:sysClr val="windowText" lastClr="000000"/>
                  </a:solidFill>
                  <a:effectLst/>
                  <a:latin typeface="Cambria Math" panose="02040503050406030204" pitchFamily="18" charset="0"/>
                  <a:ea typeface="Cambria Math" panose="02040503050406030204" pitchFamily="18" charset="0"/>
                  <a:cs typeface="+mn-cs"/>
                </a:rPr>
                <a:t>^</a:t>
              </a:r>
              <a:r>
                <a:rPr lang="en-US" sz="1100" i="0">
                  <a:solidFill>
                    <a:sysClr val="windowText" lastClr="000000"/>
                  </a:solidFill>
                  <a:effectLst/>
                  <a:latin typeface="Cambria Math" panose="02040503050406030204" pitchFamily="18" charset="0"/>
                  <a:ea typeface="Cambria Math" panose="02040503050406030204" pitchFamily="18" charset="0"/>
                  <a:cs typeface="+mn-cs"/>
                </a:rPr>
                <a:t>3 ]</a:t>
              </a:r>
              <a:endParaRPr lang="de-CH" sz="1100" i="0">
                <a:solidFill>
                  <a:sysClr val="windowText" lastClr="000000"/>
                </a:solidFill>
                <a:latin typeface="+mn-lt"/>
                <a:ea typeface="Cambria Math" panose="02040503050406030204" pitchFamily="18" charset="0"/>
              </a:endParaRPr>
            </a:p>
          </xdr:txBody>
        </xdr:sp>
      </mc:Fallback>
    </mc:AlternateContent>
    <xdr:clientData/>
  </xdr:oneCellAnchor>
  <xdr:oneCellAnchor>
    <xdr:from>
      <xdr:col>4</xdr:col>
      <xdr:colOff>311944</xdr:colOff>
      <xdr:row>50</xdr:row>
      <xdr:rowOff>55958</xdr:rowOff>
    </xdr:from>
    <xdr:ext cx="2636044" cy="546498"/>
    <mc:AlternateContent xmlns:mc="http://schemas.openxmlformats.org/markup-compatibility/2006" xmlns:a14="http://schemas.microsoft.com/office/drawing/2010/main">
      <mc:Choice Requires="a14">
        <xdr:sp macro="" textlink="">
          <xdr:nvSpPr>
            <xdr:cNvPr id="10" name="TextBox 9"/>
            <xdr:cNvSpPr txBox="1"/>
          </xdr:nvSpPr>
          <xdr:spPr>
            <a:xfrm>
              <a:off x="4705350" y="8699896"/>
              <a:ext cx="2636044" cy="546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left"/>
                  </m:oMathParaPr>
                  <m:oMath xmlns:m="http://schemas.openxmlformats.org/officeDocument/2006/math">
                    <m:sSub>
                      <m:sSubPr>
                        <m:ctrlPr>
                          <a:rPr lang="de-CH" sz="1100" i="1">
                            <a:solidFill>
                              <a:schemeClr val="tx1"/>
                            </a:solidFill>
                            <a:effectLst/>
                            <a:latin typeface="Cambria Math" panose="02040503050406030204" pitchFamily="18" charset="0"/>
                            <a:ea typeface="Cambria Math" panose="02040503050406030204" pitchFamily="18" charset="0"/>
                            <a:cs typeface="+mn-cs"/>
                          </a:rPr>
                        </m:ctrlPr>
                      </m:sSubPr>
                      <m:e>
                        <m:r>
                          <m:rPr>
                            <m:sty m:val="p"/>
                          </m:rPr>
                          <a:rPr lang="en-US" sz="1100">
                            <a:solidFill>
                              <a:schemeClr val="tx1"/>
                            </a:solidFill>
                            <a:effectLst/>
                            <a:latin typeface="Cambria Math" panose="02040503050406030204" pitchFamily="18" charset="0"/>
                            <a:ea typeface="Cambria Math" panose="02040503050406030204" pitchFamily="18" charset="0"/>
                            <a:cs typeface="+mn-cs"/>
                          </a:rPr>
                          <m:t>H</m:t>
                        </m:r>
                      </m:e>
                      <m:sub>
                        <m:r>
                          <a:rPr lang="en-US" sz="1100">
                            <a:solidFill>
                              <a:schemeClr val="tx1"/>
                            </a:solidFill>
                            <a:effectLst/>
                            <a:latin typeface="Cambria Math" panose="02040503050406030204" pitchFamily="18" charset="0"/>
                            <a:ea typeface="Cambria Math" panose="02040503050406030204" pitchFamily="18" charset="0"/>
                            <a:cs typeface="+mn-cs"/>
                          </a:rPr>
                          <m:t>2</m:t>
                        </m:r>
                      </m:sub>
                    </m:sSub>
                    <m:r>
                      <m:rPr>
                        <m:sty m:val="p"/>
                      </m:rPr>
                      <a:rPr lang="en-US" sz="1100">
                        <a:solidFill>
                          <a:schemeClr val="tx1"/>
                        </a:solidFill>
                        <a:effectLst/>
                        <a:latin typeface="Cambria Math" panose="02040503050406030204" pitchFamily="18" charset="0"/>
                        <a:ea typeface="Cambria Math" panose="02040503050406030204" pitchFamily="18" charset="0"/>
                        <a:cs typeface="+mn-cs"/>
                      </a:rPr>
                      <m:t>S</m:t>
                    </m:r>
                    <m:d>
                      <m:dPr>
                        <m:ctrlPr>
                          <a:rPr lang="de-CH" sz="1100" i="1">
                            <a:solidFill>
                              <a:schemeClr val="tx1"/>
                            </a:solidFill>
                            <a:effectLst/>
                            <a:latin typeface="Cambria Math" panose="02040503050406030204" pitchFamily="18" charset="0"/>
                            <a:ea typeface="Cambria Math" panose="02040503050406030204" pitchFamily="18" charset="0"/>
                            <a:cs typeface="+mn-cs"/>
                          </a:rPr>
                        </m:ctrlPr>
                      </m:dPr>
                      <m:e>
                        <m:r>
                          <m:rPr>
                            <m:sty m:val="p"/>
                          </m:rPr>
                          <a:rPr lang="en-US" sz="1100">
                            <a:solidFill>
                              <a:schemeClr val="tx1"/>
                            </a:solidFill>
                            <a:effectLst/>
                            <a:latin typeface="Cambria Math" panose="02040503050406030204" pitchFamily="18" charset="0"/>
                            <a:ea typeface="Cambria Math" panose="02040503050406030204" pitchFamily="18" charset="0"/>
                            <a:cs typeface="+mn-cs"/>
                          </a:rPr>
                          <m:t>aq</m:t>
                        </m:r>
                        <m:r>
                          <a:rPr lang="en-US" sz="1100" i="1">
                            <a:solidFill>
                              <a:schemeClr val="tx1"/>
                            </a:solidFill>
                            <a:effectLst/>
                            <a:latin typeface="Cambria Math" panose="02040503050406030204" pitchFamily="18" charset="0"/>
                            <a:ea typeface="+mn-ea"/>
                            <a:cs typeface="+mn-cs"/>
                          </a:rPr>
                          <m:t>‐</m:t>
                        </m:r>
                        <m:r>
                          <m:rPr>
                            <m:sty m:val="p"/>
                          </m:rPr>
                          <a:rPr lang="en-US" sz="1100">
                            <a:solidFill>
                              <a:schemeClr val="tx1"/>
                            </a:solidFill>
                            <a:effectLst/>
                            <a:latin typeface="Cambria Math" panose="02040503050406030204" pitchFamily="18" charset="0"/>
                            <a:ea typeface="Cambria Math" panose="02040503050406030204" pitchFamily="18" charset="0"/>
                            <a:cs typeface="+mn-cs"/>
                          </a:rPr>
                          <m:t>ges</m:t>
                        </m:r>
                      </m:e>
                    </m:d>
                    <m:r>
                      <a:rPr lang="en-US" sz="1100">
                        <a:solidFill>
                          <a:schemeClr val="tx1"/>
                        </a:solidFill>
                        <a:effectLst/>
                        <a:latin typeface="Cambria Math" panose="02040503050406030204" pitchFamily="18" charset="0"/>
                        <a:ea typeface="Cambria Math" panose="02040503050406030204" pitchFamily="18" charset="0"/>
                        <a:cs typeface="+mn-cs"/>
                      </a:rPr>
                      <m:t>=</m:t>
                    </m:r>
                    <m:f>
                      <m:fPr>
                        <m:ctrlPr>
                          <a:rPr lang="de-CH" sz="1100" i="1">
                            <a:solidFill>
                              <a:schemeClr val="tx1"/>
                            </a:solidFill>
                            <a:effectLst/>
                            <a:latin typeface="Cambria Math" panose="02040503050406030204" pitchFamily="18" charset="0"/>
                            <a:ea typeface="Cambria Math" panose="02040503050406030204" pitchFamily="18" charset="0"/>
                            <a:cs typeface="+mn-cs"/>
                          </a:rPr>
                        </m:ctrlPr>
                      </m:fPr>
                      <m:num>
                        <m:sSup>
                          <m:sSupPr>
                            <m:ctrlPr>
                              <a:rPr lang="de-CH" sz="1100" i="1">
                                <a:solidFill>
                                  <a:schemeClr val="tx1"/>
                                </a:solidFill>
                                <a:effectLst/>
                                <a:latin typeface="Cambria Math" panose="02040503050406030204" pitchFamily="18" charset="0"/>
                                <a:ea typeface="Cambria Math" panose="02040503050406030204" pitchFamily="18" charset="0"/>
                                <a:cs typeface="+mn-cs"/>
                              </a:rPr>
                            </m:ctrlPr>
                          </m:sSupPr>
                          <m:e>
                            <m:r>
                              <m:rPr>
                                <m:sty m:val="p"/>
                              </m:rPr>
                              <a:rPr lang="en-US" sz="1100">
                                <a:solidFill>
                                  <a:schemeClr val="tx1"/>
                                </a:solidFill>
                                <a:effectLst/>
                                <a:latin typeface="Cambria Math" panose="02040503050406030204" pitchFamily="18" charset="0"/>
                                <a:ea typeface="Cambria Math" panose="02040503050406030204" pitchFamily="18" charset="0"/>
                                <a:cs typeface="+mn-cs"/>
                              </a:rPr>
                              <m:t>e</m:t>
                            </m:r>
                          </m:e>
                          <m:sup>
                            <m:f>
                              <m:fPr>
                                <m:ctrlPr>
                                  <a:rPr lang="de-CH" sz="1100" i="1">
                                    <a:solidFill>
                                      <a:schemeClr val="tx1"/>
                                    </a:solidFill>
                                    <a:effectLst/>
                                    <a:latin typeface="Cambria Math" panose="02040503050406030204" pitchFamily="18" charset="0"/>
                                    <a:ea typeface="Cambria Math" panose="02040503050406030204" pitchFamily="18" charset="0"/>
                                    <a:cs typeface="+mn-cs"/>
                                  </a:rPr>
                                </m:ctrlPr>
                              </m:fPr>
                              <m:num>
                                <m:func>
                                  <m:funcPr>
                                    <m:ctrlPr>
                                      <a:rPr lang="de-CH" sz="1100" i="1">
                                        <a:solidFill>
                                          <a:schemeClr val="tx1"/>
                                        </a:solidFill>
                                        <a:effectLst/>
                                        <a:latin typeface="Cambria Math" panose="02040503050406030204" pitchFamily="18" charset="0"/>
                                        <a:ea typeface="Cambria Math" panose="02040503050406030204" pitchFamily="18" charset="0"/>
                                        <a:cs typeface="+mn-cs"/>
                                      </a:rPr>
                                    </m:ctrlPr>
                                  </m:funcPr>
                                  <m:fName>
                                    <m:r>
                                      <m:rPr>
                                        <m:sty m:val="p"/>
                                      </m:rPr>
                                      <a:rPr lang="en-US" sz="1100">
                                        <a:solidFill>
                                          <a:schemeClr val="tx1"/>
                                        </a:solidFill>
                                        <a:effectLst/>
                                        <a:latin typeface="Cambria Math" panose="02040503050406030204" pitchFamily="18" charset="0"/>
                                        <a:ea typeface="Cambria Math" panose="02040503050406030204" pitchFamily="18" charset="0"/>
                                        <a:cs typeface="+mn-cs"/>
                                      </a:rPr>
                                      <m:t>ln</m:t>
                                    </m:r>
                                  </m:fName>
                                  <m:e>
                                    <m:d>
                                      <m:dPr>
                                        <m:ctrlPr>
                                          <a:rPr lang="de-CH" sz="1100" i="1">
                                            <a:solidFill>
                                              <a:schemeClr val="tx1"/>
                                            </a:solidFill>
                                            <a:effectLst/>
                                            <a:latin typeface="Cambria Math" panose="02040503050406030204" pitchFamily="18" charset="0"/>
                                            <a:ea typeface="Cambria Math" panose="02040503050406030204" pitchFamily="18" charset="0"/>
                                            <a:cs typeface="+mn-cs"/>
                                          </a:rPr>
                                        </m:ctrlPr>
                                      </m:dPr>
                                      <m:e>
                                        <m:sSub>
                                          <m:sSubPr>
                                            <m:ctrlPr>
                                              <a:rPr lang="de-CH" sz="1100" i="1">
                                                <a:solidFill>
                                                  <a:schemeClr val="tx1"/>
                                                </a:solidFill>
                                                <a:effectLst/>
                                                <a:latin typeface="Cambria Math" panose="02040503050406030204" pitchFamily="18" charset="0"/>
                                                <a:ea typeface="Cambria Math" panose="02040503050406030204" pitchFamily="18" charset="0"/>
                                                <a:cs typeface="+mn-cs"/>
                                              </a:rPr>
                                            </m:ctrlPr>
                                          </m:sSubPr>
                                          <m:e>
                                            <m:r>
                                              <m:rPr>
                                                <m:sty m:val="p"/>
                                              </m:rPr>
                                              <a:rPr lang="en-US" sz="1100">
                                                <a:solidFill>
                                                  <a:schemeClr val="tx1"/>
                                                </a:solidFill>
                                                <a:effectLst/>
                                                <a:latin typeface="Cambria Math" panose="02040503050406030204" pitchFamily="18" charset="0"/>
                                                <a:ea typeface="Cambria Math" panose="02040503050406030204" pitchFamily="18" charset="0"/>
                                                <a:cs typeface="+mn-cs"/>
                                              </a:rPr>
                                              <m:t>H</m:t>
                                            </m:r>
                                          </m:e>
                                          <m:sub>
                                            <m:r>
                                              <a:rPr lang="en-US" sz="1100">
                                                <a:solidFill>
                                                  <a:schemeClr val="tx1"/>
                                                </a:solidFill>
                                                <a:effectLst/>
                                                <a:latin typeface="Cambria Math" panose="02040503050406030204" pitchFamily="18" charset="0"/>
                                                <a:ea typeface="Cambria Math" panose="02040503050406030204" pitchFamily="18" charset="0"/>
                                                <a:cs typeface="+mn-cs"/>
                                              </a:rPr>
                                              <m:t>2</m:t>
                                            </m:r>
                                          </m:sub>
                                        </m:sSub>
                                        <m:r>
                                          <m:rPr>
                                            <m:sty m:val="p"/>
                                          </m:rPr>
                                          <a:rPr lang="en-US" sz="1100">
                                            <a:solidFill>
                                              <a:schemeClr val="tx1"/>
                                            </a:solidFill>
                                            <a:effectLst/>
                                            <a:latin typeface="Cambria Math" panose="02040503050406030204" pitchFamily="18" charset="0"/>
                                            <a:ea typeface="Cambria Math" panose="02040503050406030204" pitchFamily="18" charset="0"/>
                                            <a:cs typeface="+mn-cs"/>
                                          </a:rPr>
                                          <m:t>S</m:t>
                                        </m:r>
                                        <m:d>
                                          <m:dPr>
                                            <m:ctrlPr>
                                              <a:rPr lang="de-CH" sz="1100" i="1">
                                                <a:solidFill>
                                                  <a:schemeClr val="tx1"/>
                                                </a:solidFill>
                                                <a:effectLst/>
                                                <a:latin typeface="Cambria Math" panose="02040503050406030204" pitchFamily="18" charset="0"/>
                                                <a:ea typeface="Cambria Math" panose="02040503050406030204" pitchFamily="18" charset="0"/>
                                                <a:cs typeface="+mn-cs"/>
                                              </a:rPr>
                                            </m:ctrlPr>
                                          </m:dPr>
                                          <m:e>
                                            <m:r>
                                              <m:rPr>
                                                <m:sty m:val="p"/>
                                              </m:rPr>
                                              <a:rPr lang="en-US" sz="1100">
                                                <a:solidFill>
                                                  <a:schemeClr val="tx1"/>
                                                </a:solidFill>
                                                <a:effectLst/>
                                                <a:latin typeface="Cambria Math" panose="02040503050406030204" pitchFamily="18" charset="0"/>
                                                <a:ea typeface="Cambria Math" panose="02040503050406030204" pitchFamily="18" charset="0"/>
                                                <a:cs typeface="+mn-cs"/>
                                              </a:rPr>
                                              <m:t>g</m:t>
                                            </m:r>
                                          </m:e>
                                        </m:d>
                                      </m:e>
                                    </m:d>
                                  </m:e>
                                </m:func>
                                <m:r>
                                  <a:rPr lang="de-CH" sz="1100" b="0" i="1">
                                    <a:solidFill>
                                      <a:schemeClr val="tx1"/>
                                    </a:solidFill>
                                    <a:effectLst/>
                                    <a:latin typeface="Cambria Math" panose="02040503050406030204" pitchFamily="18" charset="0"/>
                                    <a:ea typeface="Cambria Math" panose="02040503050406030204" pitchFamily="18" charset="0"/>
                                    <a:cs typeface="+mn-cs"/>
                                  </a:rPr>
                                  <m:t>−</m:t>
                                </m:r>
                                <m:r>
                                  <a:rPr lang="en-US" sz="1100">
                                    <a:solidFill>
                                      <a:schemeClr val="tx1"/>
                                    </a:solidFill>
                                    <a:effectLst/>
                                    <a:latin typeface="Cambria Math" panose="02040503050406030204" pitchFamily="18" charset="0"/>
                                    <a:ea typeface="Cambria Math" panose="02040503050406030204" pitchFamily="18" charset="0"/>
                                    <a:cs typeface="+mn-cs"/>
                                  </a:rPr>
                                  <m:t>6.45</m:t>
                                </m:r>
                              </m:num>
                              <m:den>
                                <m:r>
                                  <a:rPr lang="en-US" sz="1100">
                                    <a:solidFill>
                                      <a:schemeClr val="tx1"/>
                                    </a:solidFill>
                                    <a:effectLst/>
                                    <a:latin typeface="Cambria Math" panose="02040503050406030204" pitchFamily="18" charset="0"/>
                                    <a:ea typeface="Cambria Math" panose="02040503050406030204" pitchFamily="18" charset="0"/>
                                    <a:cs typeface="+mn-cs"/>
                                  </a:rPr>
                                  <m:t>0.78</m:t>
                                </m:r>
                              </m:den>
                            </m:f>
                          </m:sup>
                        </m:sSup>
                      </m:num>
                      <m:den>
                        <m:sSub>
                          <m:sSubPr>
                            <m:ctrlPr>
                              <a:rPr lang="de-CH" sz="1100" i="1">
                                <a:solidFill>
                                  <a:schemeClr val="tx1"/>
                                </a:solidFill>
                                <a:effectLst/>
                                <a:latin typeface="Cambria Math" panose="02040503050406030204" pitchFamily="18" charset="0"/>
                                <a:ea typeface="Cambria Math" panose="02040503050406030204" pitchFamily="18" charset="0"/>
                                <a:cs typeface="+mn-cs"/>
                              </a:rPr>
                            </m:ctrlPr>
                          </m:sSubPr>
                          <m:e>
                            <m:r>
                              <m:rPr>
                                <m:sty m:val="p"/>
                              </m:rPr>
                              <a:rPr lang="en-US" sz="1100">
                                <a:solidFill>
                                  <a:schemeClr val="tx1"/>
                                </a:solidFill>
                                <a:effectLst/>
                                <a:latin typeface="Cambria Math" panose="02040503050406030204" pitchFamily="18" charset="0"/>
                                <a:ea typeface="Cambria Math" panose="02040503050406030204" pitchFamily="18" charset="0"/>
                                <a:cs typeface="+mn-cs"/>
                              </a:rPr>
                              <m:t>fH</m:t>
                            </m:r>
                          </m:e>
                          <m:sub>
                            <m:r>
                              <a:rPr lang="en-US" sz="1100">
                                <a:solidFill>
                                  <a:schemeClr val="tx1"/>
                                </a:solidFill>
                                <a:effectLst/>
                                <a:latin typeface="Cambria Math" panose="02040503050406030204" pitchFamily="18" charset="0"/>
                                <a:ea typeface="Cambria Math" panose="02040503050406030204" pitchFamily="18" charset="0"/>
                                <a:cs typeface="+mn-cs"/>
                              </a:rPr>
                              <m:t>2</m:t>
                            </m:r>
                          </m:sub>
                        </m:sSub>
                        <m:r>
                          <m:rPr>
                            <m:sty m:val="p"/>
                          </m:rPr>
                          <a:rPr lang="en-US" sz="1100">
                            <a:solidFill>
                              <a:schemeClr val="tx1"/>
                            </a:solidFill>
                            <a:effectLst/>
                            <a:latin typeface="Cambria Math" panose="02040503050406030204" pitchFamily="18" charset="0"/>
                            <a:ea typeface="Cambria Math" panose="02040503050406030204" pitchFamily="18" charset="0"/>
                            <a:cs typeface="+mn-cs"/>
                          </a:rPr>
                          <m:t>S</m:t>
                        </m:r>
                        <m:d>
                          <m:dPr>
                            <m:ctrlPr>
                              <a:rPr lang="de-CH" sz="1100" i="1">
                                <a:solidFill>
                                  <a:schemeClr val="tx1"/>
                                </a:solidFill>
                                <a:effectLst/>
                                <a:latin typeface="Cambria Math" panose="02040503050406030204" pitchFamily="18" charset="0"/>
                                <a:ea typeface="Cambria Math" panose="02040503050406030204" pitchFamily="18" charset="0"/>
                                <a:cs typeface="+mn-cs"/>
                              </a:rPr>
                            </m:ctrlPr>
                          </m:dPr>
                          <m:e>
                            <m:r>
                              <m:rPr>
                                <m:sty m:val="p"/>
                              </m:rPr>
                              <a:rPr lang="en-US" sz="1100">
                                <a:solidFill>
                                  <a:schemeClr val="tx1"/>
                                </a:solidFill>
                                <a:effectLst/>
                                <a:latin typeface="Cambria Math" panose="02040503050406030204" pitchFamily="18" charset="0"/>
                                <a:ea typeface="Cambria Math" panose="02040503050406030204" pitchFamily="18" charset="0"/>
                                <a:cs typeface="+mn-cs"/>
                              </a:rPr>
                              <m:t>aq</m:t>
                            </m:r>
                          </m:e>
                        </m:d>
                      </m:den>
                    </m:f>
                    <m:r>
                      <a:rPr lang="en-US" sz="1100">
                        <a:solidFill>
                          <a:schemeClr val="tx1"/>
                        </a:solidFill>
                        <a:effectLst/>
                        <a:latin typeface="Cambria Math" panose="02040503050406030204" pitchFamily="18" charset="0"/>
                        <a:ea typeface="Cambria Math" panose="02040503050406030204" pitchFamily="18" charset="0"/>
                        <a:cs typeface="+mn-cs"/>
                      </a:rPr>
                      <m:t>  </m:t>
                    </m:r>
                    <m:d>
                      <m:dPr>
                        <m:begChr m:val="["/>
                        <m:endChr m:val="]"/>
                        <m:ctrlPr>
                          <a:rPr lang="de-CH" sz="1100" i="1">
                            <a:solidFill>
                              <a:schemeClr val="tx1"/>
                            </a:solidFill>
                            <a:effectLst/>
                            <a:latin typeface="Cambria Math" panose="02040503050406030204" pitchFamily="18" charset="0"/>
                            <a:ea typeface="Cambria Math" panose="02040503050406030204" pitchFamily="18" charset="0"/>
                            <a:cs typeface="+mn-cs"/>
                          </a:rPr>
                        </m:ctrlPr>
                      </m:dPr>
                      <m:e>
                        <m:f>
                          <m:fPr>
                            <m:type m:val="lin"/>
                            <m:ctrlPr>
                              <a:rPr lang="de-CH" sz="1100" i="1">
                                <a:solidFill>
                                  <a:schemeClr val="tx1"/>
                                </a:solidFill>
                                <a:effectLst/>
                                <a:latin typeface="Cambria Math" panose="02040503050406030204" pitchFamily="18" charset="0"/>
                                <a:ea typeface="Cambria Math" panose="02040503050406030204" pitchFamily="18" charset="0"/>
                                <a:cs typeface="+mn-cs"/>
                              </a:rPr>
                            </m:ctrlPr>
                          </m:fPr>
                          <m:num>
                            <m:r>
                              <m:rPr>
                                <m:sty m:val="p"/>
                              </m:rPr>
                              <a:rPr lang="en-US" sz="1100">
                                <a:solidFill>
                                  <a:schemeClr val="tx1"/>
                                </a:solidFill>
                                <a:effectLst/>
                                <a:latin typeface="Cambria Math" panose="02040503050406030204" pitchFamily="18" charset="0"/>
                                <a:ea typeface="Cambria Math" panose="02040503050406030204" pitchFamily="18" charset="0"/>
                                <a:cs typeface="+mn-cs"/>
                              </a:rPr>
                              <m:t>g</m:t>
                            </m:r>
                          </m:num>
                          <m:den>
                            <m:sSup>
                              <m:sSupPr>
                                <m:ctrlPr>
                                  <a:rPr lang="de-CH" sz="1100" i="1">
                                    <a:solidFill>
                                      <a:schemeClr val="tx1"/>
                                    </a:solidFill>
                                    <a:effectLst/>
                                    <a:latin typeface="Cambria Math" panose="02040503050406030204" pitchFamily="18" charset="0"/>
                                    <a:ea typeface="Cambria Math" panose="02040503050406030204" pitchFamily="18" charset="0"/>
                                    <a:cs typeface="+mn-cs"/>
                                  </a:rPr>
                                </m:ctrlPr>
                              </m:sSupPr>
                              <m:e>
                                <m:r>
                                  <m:rPr>
                                    <m:sty m:val="p"/>
                                  </m:rPr>
                                  <a:rPr lang="en-US" sz="1100">
                                    <a:solidFill>
                                      <a:schemeClr val="tx1"/>
                                    </a:solidFill>
                                    <a:effectLst/>
                                    <a:latin typeface="Cambria Math" panose="02040503050406030204" pitchFamily="18" charset="0"/>
                                    <a:ea typeface="Cambria Math" panose="02040503050406030204" pitchFamily="18" charset="0"/>
                                    <a:cs typeface="+mn-cs"/>
                                  </a:rPr>
                                  <m:t>m</m:t>
                                </m:r>
                              </m:e>
                              <m:sup>
                                <m:r>
                                  <a:rPr lang="en-US" sz="1100">
                                    <a:solidFill>
                                      <a:schemeClr val="tx1"/>
                                    </a:solidFill>
                                    <a:effectLst/>
                                    <a:latin typeface="Cambria Math" panose="02040503050406030204" pitchFamily="18" charset="0"/>
                                    <a:ea typeface="Cambria Math" panose="02040503050406030204" pitchFamily="18" charset="0"/>
                                    <a:cs typeface="+mn-cs"/>
                                  </a:rPr>
                                  <m:t>3</m:t>
                                </m:r>
                              </m:sup>
                            </m:sSup>
                          </m:den>
                        </m:f>
                      </m:e>
                    </m:d>
                  </m:oMath>
                </m:oMathPara>
              </a14:m>
              <a:endParaRPr lang="de-CH" sz="1100">
                <a:latin typeface="+mn-lt"/>
                <a:ea typeface="Cambria Math" panose="02040503050406030204" pitchFamily="18" charset="0"/>
              </a:endParaRPr>
            </a:p>
          </xdr:txBody>
        </xdr:sp>
      </mc:Choice>
      <mc:Fallback xmlns="">
        <xdr:sp macro="" textlink="">
          <xdr:nvSpPr>
            <xdr:cNvPr id="10" name="TextBox 9"/>
            <xdr:cNvSpPr txBox="1"/>
          </xdr:nvSpPr>
          <xdr:spPr>
            <a:xfrm>
              <a:off x="4705350" y="8699896"/>
              <a:ext cx="2636044" cy="5464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US" sz="1100" i="0">
                  <a:solidFill>
                    <a:schemeClr val="tx1"/>
                  </a:solidFill>
                  <a:effectLst/>
                  <a:latin typeface="Cambria Math" panose="02040503050406030204" pitchFamily="18" charset="0"/>
                  <a:ea typeface="Cambria Math" panose="02040503050406030204" pitchFamily="18" charset="0"/>
                  <a:cs typeface="+mn-cs"/>
                </a:rPr>
                <a:t>H</a:t>
              </a:r>
              <a:r>
                <a:rPr lang="de-CH" sz="1100" i="0">
                  <a:solidFill>
                    <a:schemeClr val="tx1"/>
                  </a:solidFill>
                  <a:effectLst/>
                  <a:latin typeface="Cambria Math" panose="02040503050406030204" pitchFamily="18" charset="0"/>
                  <a:ea typeface="Cambria Math" panose="02040503050406030204" pitchFamily="18" charset="0"/>
                  <a:cs typeface="+mn-cs"/>
                </a:rPr>
                <a:t>_</a:t>
              </a:r>
              <a:r>
                <a:rPr lang="en-US" sz="1100" i="0">
                  <a:solidFill>
                    <a:schemeClr val="tx1"/>
                  </a:solidFill>
                  <a:effectLst/>
                  <a:latin typeface="Cambria Math" panose="02040503050406030204" pitchFamily="18" charset="0"/>
                  <a:ea typeface="Cambria Math" panose="02040503050406030204" pitchFamily="18" charset="0"/>
                  <a:cs typeface="+mn-cs"/>
                </a:rPr>
                <a:t>2 S</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aq</a:t>
              </a:r>
              <a:r>
                <a:rPr lang="en-US" sz="1100" i="0">
                  <a:solidFill>
                    <a:schemeClr val="tx1"/>
                  </a:solidFill>
                  <a:effectLst/>
                  <a:latin typeface="+mn-lt"/>
                  <a:ea typeface="+mn-ea"/>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ges)=e</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ln</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H</a:t>
              </a:r>
              <a:r>
                <a:rPr lang="de-CH" sz="1100" i="0">
                  <a:solidFill>
                    <a:schemeClr val="tx1"/>
                  </a:solidFill>
                  <a:effectLst/>
                  <a:latin typeface="Cambria Math" panose="02040503050406030204" pitchFamily="18" charset="0"/>
                  <a:ea typeface="Cambria Math" panose="02040503050406030204" pitchFamily="18" charset="0"/>
                  <a:cs typeface="+mn-cs"/>
                </a:rPr>
                <a:t>_</a:t>
              </a:r>
              <a:r>
                <a:rPr lang="en-US" sz="1100" i="0">
                  <a:solidFill>
                    <a:schemeClr val="tx1"/>
                  </a:solidFill>
                  <a:effectLst/>
                  <a:latin typeface="Cambria Math" panose="02040503050406030204" pitchFamily="18" charset="0"/>
                  <a:ea typeface="Cambria Math" panose="02040503050406030204" pitchFamily="18" charset="0"/>
                  <a:cs typeface="+mn-cs"/>
                </a:rPr>
                <a:t>2 S</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g))</a:t>
              </a:r>
              <a:r>
                <a:rPr lang="de-CH" sz="1100" b="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6.45</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0.78</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fH</a:t>
              </a:r>
              <a:r>
                <a:rPr lang="de-CH" sz="1100" i="0">
                  <a:solidFill>
                    <a:schemeClr val="tx1"/>
                  </a:solidFill>
                  <a:effectLst/>
                  <a:latin typeface="Cambria Math" panose="02040503050406030204" pitchFamily="18" charset="0"/>
                  <a:ea typeface="Cambria Math" panose="02040503050406030204" pitchFamily="18" charset="0"/>
                  <a:cs typeface="+mn-cs"/>
                </a:rPr>
                <a:t>_</a:t>
              </a:r>
              <a:r>
                <a:rPr lang="en-US" sz="1100" i="0">
                  <a:solidFill>
                    <a:schemeClr val="tx1"/>
                  </a:solidFill>
                  <a:effectLst/>
                  <a:latin typeface="Cambria Math" panose="02040503050406030204" pitchFamily="18" charset="0"/>
                  <a:ea typeface="Cambria Math" panose="02040503050406030204" pitchFamily="18" charset="0"/>
                  <a:cs typeface="+mn-cs"/>
                </a:rPr>
                <a:t>2 S</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aq) </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   </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g</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m</a:t>
              </a:r>
              <a:r>
                <a:rPr lang="de-CH" sz="1100" i="0">
                  <a:solidFill>
                    <a:schemeClr val="tx1"/>
                  </a:solidFill>
                  <a:effectLst/>
                  <a:latin typeface="Cambria Math" panose="02040503050406030204" pitchFamily="18" charset="0"/>
                  <a:ea typeface="Cambria Math" panose="02040503050406030204" pitchFamily="18" charset="0"/>
                  <a:cs typeface="+mn-cs"/>
                </a:rPr>
                <a:t>^</a:t>
              </a:r>
              <a:r>
                <a:rPr lang="en-US" sz="1100" i="0">
                  <a:solidFill>
                    <a:schemeClr val="tx1"/>
                  </a:solidFill>
                  <a:effectLst/>
                  <a:latin typeface="Cambria Math" panose="02040503050406030204" pitchFamily="18" charset="0"/>
                  <a:ea typeface="Cambria Math" panose="02040503050406030204" pitchFamily="18" charset="0"/>
                  <a:cs typeface="+mn-cs"/>
                </a:rPr>
                <a:t>3 ]</a:t>
              </a:r>
              <a:endParaRPr lang="de-CH" sz="1100">
                <a:latin typeface="+mn-lt"/>
                <a:ea typeface="Cambria Math" panose="02040503050406030204" pitchFamily="18" charset="0"/>
              </a:endParaRPr>
            </a:p>
          </xdr:txBody>
        </xdr:sp>
      </mc:Fallback>
    </mc:AlternateContent>
    <xdr:clientData/>
  </xdr:oneCellAnchor>
  <xdr:oneCellAnchor>
    <xdr:from>
      <xdr:col>5</xdr:col>
      <xdr:colOff>24053</xdr:colOff>
      <xdr:row>46</xdr:row>
      <xdr:rowOff>60831</xdr:rowOff>
    </xdr:from>
    <xdr:ext cx="3443047" cy="336361"/>
    <mc:AlternateContent xmlns:mc="http://schemas.openxmlformats.org/markup-compatibility/2006" xmlns:a14="http://schemas.microsoft.com/office/drawing/2010/main">
      <mc:Choice Requires="a14">
        <xdr:sp macro="" textlink="">
          <xdr:nvSpPr>
            <xdr:cNvPr id="6" name="TextBox 5"/>
            <xdr:cNvSpPr txBox="1"/>
          </xdr:nvSpPr>
          <xdr:spPr>
            <a:xfrm>
              <a:off x="4986578" y="7947531"/>
              <a:ext cx="3443047"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14:m>
                <m:oMath xmlns:m="http://schemas.openxmlformats.org/officeDocument/2006/math">
                  <m:r>
                    <m:rPr>
                      <m:sty m:val="p"/>
                    </m:rPr>
                    <a:rPr lang="de-CH" sz="1100">
                      <a:solidFill>
                        <a:schemeClr val="tx1"/>
                      </a:solidFill>
                      <a:effectLst/>
                      <a:latin typeface="Cambria Math" panose="02040503050406030204" pitchFamily="18" charset="0"/>
                      <a:ea typeface="Cambria Math" panose="02040503050406030204" pitchFamily="18" charset="0"/>
                      <a:cs typeface="+mn-cs"/>
                    </a:rPr>
                    <m:t>Fe</m:t>
                  </m:r>
                  <m:r>
                    <a:rPr lang="de-CH" sz="1100">
                      <a:solidFill>
                        <a:schemeClr val="tx1"/>
                      </a:solidFill>
                      <a:effectLst/>
                      <a:latin typeface="Cambria Math" panose="02040503050406030204" pitchFamily="18" charset="0"/>
                      <a:ea typeface="Cambria Math" panose="02040503050406030204" pitchFamily="18" charset="0"/>
                      <a:cs typeface="+mn-cs"/>
                    </a:rPr>
                    <m:t>=</m:t>
                  </m:r>
                  <m:r>
                    <m:rPr>
                      <m:sty m:val="p"/>
                    </m:rPr>
                    <a:rPr lang="el-GR" sz="1100" i="1">
                      <a:solidFill>
                        <a:schemeClr val="tx1"/>
                      </a:solidFill>
                      <a:effectLst/>
                      <a:latin typeface="Cambria Math" panose="02040503050406030204" pitchFamily="18" charset="0"/>
                      <a:ea typeface="Cambria Math" panose="02040503050406030204" pitchFamily="18" charset="0"/>
                      <a:cs typeface="+mn-cs"/>
                    </a:rPr>
                    <m:t>β</m:t>
                  </m:r>
                  <m:r>
                    <a:rPr lang="de-CH" sz="1100" i="1">
                      <a:solidFill>
                        <a:schemeClr val="tx1"/>
                      </a:solidFill>
                      <a:effectLst/>
                      <a:latin typeface="Cambria Math" panose="02040503050406030204" pitchFamily="18" charset="0"/>
                      <a:ea typeface="Cambria Math" panose="02040503050406030204" pitchFamily="18" charset="0"/>
                      <a:cs typeface="+mn-cs"/>
                    </a:rPr>
                    <m:t>·</m:t>
                  </m:r>
                  <m:f>
                    <m:fPr>
                      <m:ctrlPr>
                        <a:rPr lang="de-CH" sz="1100" i="1">
                          <a:solidFill>
                            <a:schemeClr val="tx1"/>
                          </a:solidFill>
                          <a:effectLst/>
                          <a:latin typeface="Cambria Math" panose="02040503050406030204" pitchFamily="18" charset="0"/>
                          <a:ea typeface="Cambria Math" panose="02040503050406030204" pitchFamily="18" charset="0"/>
                          <a:cs typeface="+mn-cs"/>
                        </a:rPr>
                      </m:ctrlPr>
                    </m:fPr>
                    <m:num>
                      <m:r>
                        <m:rPr>
                          <m:sty m:val="p"/>
                        </m:rPr>
                        <a:rPr lang="de-CH" sz="1100">
                          <a:solidFill>
                            <a:schemeClr val="tx1"/>
                          </a:solidFill>
                          <a:effectLst/>
                          <a:latin typeface="Cambria Math" panose="02040503050406030204" pitchFamily="18" charset="0"/>
                          <a:ea typeface="Cambria Math" panose="02040503050406030204" pitchFamily="18" charset="0"/>
                          <a:cs typeface="+mn-cs"/>
                        </a:rPr>
                        <m:t>M</m:t>
                      </m:r>
                      <m:r>
                        <m:rPr>
                          <m:sty m:val="p"/>
                        </m:rPr>
                        <a:rPr lang="de-CH" sz="1100" baseline="-25000">
                          <a:solidFill>
                            <a:schemeClr val="tx1"/>
                          </a:solidFill>
                          <a:effectLst/>
                          <a:latin typeface="Cambria Math" panose="02040503050406030204" pitchFamily="18" charset="0"/>
                          <a:ea typeface="Cambria Math" panose="02040503050406030204" pitchFamily="18" charset="0"/>
                          <a:cs typeface="+mn-cs"/>
                        </a:rPr>
                        <m:t>Fe</m:t>
                      </m:r>
                    </m:num>
                    <m:den>
                      <m:r>
                        <m:rPr>
                          <m:sty m:val="p"/>
                        </m:rPr>
                        <a:rPr lang="de-CH" sz="1100">
                          <a:solidFill>
                            <a:srgbClr val="FF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H</m:t>
                      </m:r>
                      <m:r>
                        <a:rPr lang="de-CH" sz="1100" i="1" baseline="-25000">
                          <a:solidFill>
                            <a:srgbClr val="FF0000"/>
                          </a:solidFill>
                          <a:effectLst/>
                          <a:latin typeface="Cambria Math" panose="02040503050406030204" pitchFamily="18" charset="0"/>
                          <a:ea typeface="Cambria Math" panose="02040503050406030204" pitchFamily="18" charset="0"/>
                          <a:cs typeface="+mn-cs"/>
                        </a:rPr>
                        <m:t>₂</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S</m:t>
                      </m:r>
                    </m:den>
                  </m:f>
                  <m:r>
                    <a:rPr lang="de-CH" sz="1100" i="1" baseline="0">
                      <a:solidFill>
                        <a:schemeClr val="tx1"/>
                      </a:solidFill>
                      <a:effectLst/>
                      <a:latin typeface="Cambria Math" panose="02040503050406030204" pitchFamily="18" charset="0"/>
                      <a:ea typeface="Cambria Math" panose="02040503050406030204" pitchFamily="18" charset="0"/>
                      <a:cs typeface="+mn-cs"/>
                    </a:rPr>
                    <m:t>·</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f>
                        <m:f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fPr>
                        <m:num>
                          <m:r>
                            <m:rPr>
                              <m:sty m:val="p"/>
                            </m:rPr>
                            <a:rPr lang="el-GR" sz="1100" i="1" baseline="0">
                              <a:solidFill>
                                <a:schemeClr val="tx1"/>
                              </a:solidFill>
                              <a:effectLst/>
                              <a:latin typeface="Cambria Math" panose="02040503050406030204" pitchFamily="18" charset="0"/>
                              <a:ea typeface="Cambria Math" panose="02040503050406030204" pitchFamily="18" charset="0"/>
                              <a:cs typeface="+mn-cs"/>
                            </a:rPr>
                            <m:t>Δ</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H</m:t>
                          </m:r>
                          <m:r>
                            <a:rPr lang="de-CH" sz="1100" i="1" baseline="0">
                              <a:solidFill>
                                <a:schemeClr val="tx1"/>
                              </a:solidFill>
                              <a:effectLst/>
                              <a:latin typeface="Cambria Math" panose="02040503050406030204" pitchFamily="18" charset="0"/>
                              <a:ea typeface="Cambria Math" panose="02040503050406030204" pitchFamily="18" charset="0"/>
                              <a:cs typeface="+mn-cs"/>
                            </a:rPr>
                            <m:t>₂</m:t>
                          </m:r>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S</m:t>
                          </m:r>
                          <m:d>
                            <m:dPr>
                              <m:ctrlPr>
                                <a:rPr lang="de-CH" sz="1100" i="1" baseline="0">
                                  <a:solidFill>
                                    <a:schemeClr val="tx1"/>
                                  </a:solidFill>
                                  <a:effectLst/>
                                  <a:latin typeface="Cambria Math" panose="02040503050406030204" pitchFamily="18" charset="0"/>
                                  <a:ea typeface="Cambria Math" panose="02040503050406030204" pitchFamily="18" charset="0"/>
                                  <a:cs typeface="+mn-cs"/>
                                </a:rPr>
                              </m:ctrlPr>
                            </m:dPr>
                            <m:e>
                              <m:r>
                                <m:rPr>
                                  <m:sty m:val="p"/>
                                </m:rPr>
                                <a:rPr lang="de-CH" sz="1100" baseline="0">
                                  <a:solidFill>
                                    <a:schemeClr val="tx1"/>
                                  </a:solidFill>
                                  <a:effectLst/>
                                  <a:latin typeface="Cambria Math" panose="02040503050406030204" pitchFamily="18" charset="0"/>
                                  <a:ea typeface="Cambria Math" panose="02040503050406030204" pitchFamily="18" charset="0"/>
                                  <a:cs typeface="+mn-cs"/>
                                </a:rPr>
                                <m:t>g</m:t>
                              </m:r>
                            </m:e>
                          </m:d>
                        </m:num>
                        <m:den>
                          <m:r>
                            <a:rPr lang="de-CH" sz="1100" baseline="0">
                              <a:solidFill>
                                <a:schemeClr val="tx1"/>
                              </a:solidFill>
                              <a:effectLst/>
                              <a:latin typeface="Cambria Math" panose="02040503050406030204" pitchFamily="18" charset="0"/>
                              <a:ea typeface="Cambria Math" panose="02040503050406030204" pitchFamily="18" charset="0"/>
                              <a:cs typeface="+mn-cs"/>
                            </a:rPr>
                            <m:t>1000</m:t>
                          </m:r>
                          <m:r>
                            <a:rPr lang="de-CH" sz="1100" b="0" i="1" baseline="0">
                              <a:solidFill>
                                <a:schemeClr val="tx1"/>
                              </a:solidFill>
                              <a:effectLst/>
                              <a:latin typeface="Cambria Math" panose="02040503050406030204" pitchFamily="18" charset="0"/>
                              <a:ea typeface="Cambria Math" panose="02040503050406030204" pitchFamily="18" charset="0"/>
                              <a:cs typeface="+mn-cs"/>
                            </a:rPr>
                            <m:t> </m:t>
                          </m:r>
                          <m:r>
                            <a:rPr lang="de-CH" sz="1100" i="1" baseline="0">
                              <a:solidFill>
                                <a:schemeClr val="tx1"/>
                              </a:solidFill>
                              <a:effectLst/>
                              <a:latin typeface="Cambria Math" panose="02040503050406030204" pitchFamily="18" charset="0"/>
                              <a:ea typeface="Cambria Math" panose="02040503050406030204" pitchFamily="18" charset="0"/>
                              <a:cs typeface="+mn-cs"/>
                            </a:rPr>
                            <m:t>·</m:t>
                          </m:r>
                          <m:r>
                            <a:rPr lang="de-CH" sz="1100" b="0" i="1" baseline="0">
                              <a:solidFill>
                                <a:schemeClr val="tx1"/>
                              </a:solidFill>
                              <a:effectLst/>
                              <a:latin typeface="Cambria Math" panose="02040503050406030204" pitchFamily="18" charset="0"/>
                              <a:ea typeface="Cambria Math" panose="02040503050406030204" pitchFamily="18" charset="0"/>
                              <a:cs typeface="+mn-cs"/>
                            </a:rPr>
                            <m:t> </m:t>
                          </m:r>
                          <m:r>
                            <a:rPr lang="de-CH" sz="1100" baseline="0">
                              <a:solidFill>
                                <a:srgbClr val="FF0000"/>
                              </a:solidFill>
                              <a:effectLst/>
                              <a:latin typeface="Cambria Math" panose="02040503050406030204" pitchFamily="18" charset="0"/>
                              <a:ea typeface="Cambria Math" panose="02040503050406030204" pitchFamily="18" charset="0"/>
                              <a:cs typeface="+mn-cs"/>
                            </a:rPr>
                            <m:t>24.45</m:t>
                          </m:r>
                        </m:den>
                      </m:f>
                      <m:r>
                        <a:rPr lang="de-CH" sz="1100" i="1" baseline="0">
                          <a:solidFill>
                            <a:schemeClr val="tx1"/>
                          </a:solidFill>
                          <a:effectLst/>
                          <a:latin typeface="Cambria Math" panose="02040503050406030204" pitchFamily="18" charset="0"/>
                          <a:ea typeface="Cambria Math" panose="02040503050406030204" pitchFamily="18" charset="0"/>
                          <a:cs typeface="+mn-cs"/>
                        </a:rPr>
                        <m:t>·</m:t>
                      </m:r>
                      <m:r>
                        <m:rPr>
                          <m:sty m:val="p"/>
                        </m:rPr>
                        <a:rPr lang="de-CH" sz="1100" baseline="0">
                          <a:solidFill>
                            <a:srgbClr val="FF0000"/>
                          </a:solidFill>
                          <a:effectLst/>
                          <a:latin typeface="Cambria Math" panose="02040503050406030204" pitchFamily="18" charset="0"/>
                          <a:ea typeface="Cambria Math" panose="02040503050406030204" pitchFamily="18" charset="0"/>
                          <a:cs typeface="+mn-cs"/>
                        </a:rPr>
                        <m:t>M</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H</m:t>
                      </m:r>
                      <m:r>
                        <a:rPr lang="de-CH" sz="1100" i="1" baseline="-25000">
                          <a:solidFill>
                            <a:srgbClr val="FF0000"/>
                          </a:solidFill>
                          <a:effectLst/>
                          <a:latin typeface="Cambria Math" panose="02040503050406030204" pitchFamily="18" charset="0"/>
                          <a:ea typeface="Cambria Math" panose="02040503050406030204" pitchFamily="18" charset="0"/>
                          <a:cs typeface="+mn-cs"/>
                        </a:rPr>
                        <m:t>₂</m:t>
                      </m:r>
                      <m:r>
                        <m:rPr>
                          <m:sty m:val="p"/>
                        </m:rPr>
                        <a:rPr lang="de-CH" sz="1100" baseline="-25000">
                          <a:solidFill>
                            <a:srgbClr val="FF0000"/>
                          </a:solidFill>
                          <a:effectLst/>
                          <a:latin typeface="Cambria Math" panose="02040503050406030204" pitchFamily="18" charset="0"/>
                          <a:ea typeface="Cambria Math" panose="02040503050406030204" pitchFamily="18" charset="0"/>
                          <a:cs typeface="+mn-cs"/>
                        </a:rPr>
                        <m:t>S</m:t>
                      </m:r>
                      <m:r>
                        <a:rPr lang="de-CH" sz="1100" i="1" baseline="0">
                          <a:solidFill>
                            <a:schemeClr val="tx1"/>
                          </a:solidFill>
                          <a:effectLst/>
                          <a:latin typeface="Cambria Math" panose="02040503050406030204" pitchFamily="18" charset="0"/>
                          <a:ea typeface="Cambria Math" panose="02040503050406030204" pitchFamily="18" charset="0"/>
                          <a:cs typeface="+mn-cs"/>
                        </a:rPr>
                        <m:t>·</m:t>
                      </m:r>
                      <m:acc>
                        <m:accPr>
                          <m:chr m:val="̇"/>
                          <m:ctrlPr>
                            <a:rPr lang="de-CH" sz="1100" i="1" baseline="0">
                              <a:solidFill>
                                <a:schemeClr val="tx1"/>
                              </a:solidFill>
                              <a:effectLst/>
                              <a:latin typeface="Cambria Math" panose="02040503050406030204" pitchFamily="18" charset="0"/>
                              <a:ea typeface="Cambria Math" panose="02040503050406030204" pitchFamily="18" charset="0"/>
                              <a:cs typeface="+mn-cs"/>
                            </a:rPr>
                          </m:ctrlPr>
                        </m:accPr>
                        <m:e>
                          <m:r>
                            <m:rPr>
                              <m:sty m:val="p"/>
                            </m:rPr>
                            <a:rPr lang="de-CH" sz="1100" b="0" i="0" baseline="0">
                              <a:solidFill>
                                <a:schemeClr val="tx1"/>
                              </a:solidFill>
                              <a:effectLst/>
                              <a:latin typeface="Cambria Math" panose="02040503050406030204" pitchFamily="18" charset="0"/>
                              <a:ea typeface="Cambria Math" panose="02040503050406030204" pitchFamily="18" charset="0"/>
                              <a:cs typeface="+mn-cs"/>
                            </a:rPr>
                            <m:t>V</m:t>
                          </m:r>
                        </m:e>
                      </m:acc>
                      <m:r>
                        <m:rPr>
                          <m:sty m:val="p"/>
                        </m:rPr>
                        <a:rPr lang="de-CH" sz="1100" baseline="-25000">
                          <a:solidFill>
                            <a:schemeClr val="tx1"/>
                          </a:solidFill>
                          <a:effectLst/>
                          <a:latin typeface="Cambria Math" panose="02040503050406030204" pitchFamily="18" charset="0"/>
                          <a:ea typeface="Cambria Math" panose="02040503050406030204" pitchFamily="18" charset="0"/>
                          <a:cs typeface="+mn-cs"/>
                        </a:rPr>
                        <m:t>Biogas</m:t>
                      </m:r>
                    </m:e>
                  </m:d>
                </m:oMath>
              </a14:m>
              <a:r>
                <a:rPr lang="de-CH" sz="1100">
                  <a:effectLst/>
                  <a:latin typeface="+mn-lt"/>
                  <a:ea typeface="Cambria Math" panose="02040503050406030204" pitchFamily="18" charset="0"/>
                </a:rPr>
                <a:t>  [g/d]</a:t>
              </a:r>
            </a:p>
          </xdr:txBody>
        </xdr:sp>
      </mc:Choice>
      <mc:Fallback xmlns="">
        <xdr:sp macro="" textlink="">
          <xdr:nvSpPr>
            <xdr:cNvPr id="6" name="TextBox 5"/>
            <xdr:cNvSpPr txBox="1"/>
          </xdr:nvSpPr>
          <xdr:spPr>
            <a:xfrm>
              <a:off x="4986578" y="7947531"/>
              <a:ext cx="3443047" cy="3363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lgn="l"/>
              <a:r>
                <a:rPr lang="de-CH" sz="1100" i="0">
                  <a:solidFill>
                    <a:schemeClr val="tx1"/>
                  </a:solidFill>
                  <a:effectLst/>
                  <a:latin typeface="+mn-lt"/>
                  <a:ea typeface="Cambria Math" panose="02040503050406030204" pitchFamily="18" charset="0"/>
                  <a:cs typeface="+mn-cs"/>
                </a:rPr>
                <a:t>Fe=</a:t>
              </a:r>
              <a:r>
                <a:rPr lang="el-GR" sz="1100" i="0">
                  <a:solidFill>
                    <a:schemeClr val="tx1"/>
                  </a:solidFill>
                  <a:effectLst/>
                  <a:latin typeface="+mn-lt"/>
                  <a:ea typeface="Cambria Math" panose="02040503050406030204" pitchFamily="18" charset="0"/>
                  <a:cs typeface="+mn-cs"/>
                </a:rPr>
                <a:t>β</a:t>
              </a:r>
              <a:r>
                <a:rPr lang="de-CH" sz="1100" i="0">
                  <a:solidFill>
                    <a:schemeClr val="tx1"/>
                  </a:solidFill>
                  <a:effectLst/>
                  <a:latin typeface="+mn-lt"/>
                  <a:ea typeface="Cambria Math" panose="02040503050406030204" pitchFamily="18" charset="0"/>
                  <a:cs typeface="+mn-cs"/>
                </a:rPr>
                <a:t>·M</a:t>
              </a:r>
              <a:r>
                <a:rPr lang="de-CH" sz="1100" i="0" baseline="-25000">
                  <a:solidFill>
                    <a:schemeClr val="tx1"/>
                  </a:solidFill>
                  <a:effectLst/>
                  <a:latin typeface="+mn-lt"/>
                  <a:ea typeface="Cambria Math" panose="02040503050406030204" pitchFamily="18" charset="0"/>
                  <a:cs typeface="+mn-cs"/>
                </a:rPr>
                <a:t>Fe/(</a:t>
              </a:r>
              <a:r>
                <a:rPr lang="de-CH" sz="1100" i="0">
                  <a:solidFill>
                    <a:srgbClr val="FF0000"/>
                  </a:solidFill>
                  <a:effectLst/>
                  <a:latin typeface="+mn-lt"/>
                  <a:ea typeface="Cambria Math" panose="02040503050406030204" pitchFamily="18" charset="0"/>
                  <a:cs typeface="+mn-cs"/>
                </a:rPr>
                <a:t>M</a:t>
              </a:r>
              <a:r>
                <a:rPr lang="de-CH" sz="1100" i="0" baseline="-25000">
                  <a:solidFill>
                    <a:srgbClr val="FF0000"/>
                  </a:solidFill>
                  <a:effectLst/>
                  <a:latin typeface="+mn-lt"/>
                  <a:ea typeface="Cambria Math" panose="02040503050406030204" pitchFamily="18" charset="0"/>
                  <a:cs typeface="+mn-cs"/>
                </a:rPr>
                <a:t>H₂S</a:t>
              </a:r>
              <a:r>
                <a:rPr lang="de-CH" sz="1100" i="0" baseline="-25000">
                  <a:solidFill>
                    <a:schemeClr val="tx1"/>
                  </a:solidFill>
                  <a:effectLst/>
                  <a:latin typeface="+mn-lt"/>
                  <a:ea typeface="Cambria Math" panose="02040503050406030204" pitchFamily="18" charset="0"/>
                  <a:cs typeface="+mn-cs"/>
                </a:rPr>
                <a:t>)</a:t>
              </a:r>
              <a:r>
                <a:rPr lang="de-CH" sz="1100" i="0" baseline="0">
                  <a:solidFill>
                    <a:schemeClr val="tx1"/>
                  </a:solidFill>
                  <a:effectLst/>
                  <a:latin typeface="+mn-lt"/>
                  <a:ea typeface="Cambria Math" panose="02040503050406030204" pitchFamily="18" charset="0"/>
                  <a:cs typeface="+mn-cs"/>
                </a:rPr>
                <a:t>·((</a:t>
              </a:r>
              <a:r>
                <a:rPr lang="el-GR" sz="1100" i="0" baseline="0">
                  <a:solidFill>
                    <a:schemeClr val="tx1"/>
                  </a:solidFill>
                  <a:effectLst/>
                  <a:latin typeface="+mn-lt"/>
                  <a:ea typeface="Cambria Math" panose="02040503050406030204" pitchFamily="18" charset="0"/>
                  <a:cs typeface="+mn-cs"/>
                </a:rPr>
                <a:t>Δ</a:t>
              </a:r>
              <a:r>
                <a:rPr lang="de-CH" sz="1100" i="0" baseline="0">
                  <a:solidFill>
                    <a:schemeClr val="tx1"/>
                  </a:solidFill>
                  <a:effectLst/>
                  <a:latin typeface="+mn-lt"/>
                  <a:ea typeface="Cambria Math" panose="02040503050406030204" pitchFamily="18" charset="0"/>
                  <a:cs typeface="+mn-cs"/>
                </a:rPr>
                <a:t>H₂S(g))/(1000</a:t>
              </a:r>
              <a:r>
                <a:rPr lang="de-CH" sz="1100" b="0" i="0" baseline="0">
                  <a:solidFill>
                    <a:schemeClr val="tx1"/>
                  </a:solidFill>
                  <a:effectLst/>
                  <a:latin typeface="Cambria Math" panose="02040503050406030204" pitchFamily="18" charset="0"/>
                  <a:ea typeface="Cambria Math" panose="02040503050406030204" pitchFamily="18" charset="0"/>
                  <a:cs typeface="+mn-cs"/>
                </a:rPr>
                <a:t> </a:t>
              </a:r>
              <a:r>
                <a:rPr lang="de-CH" sz="1100" i="0" baseline="0">
                  <a:solidFill>
                    <a:schemeClr val="tx1"/>
                  </a:solidFill>
                  <a:effectLst/>
                  <a:latin typeface="+mn-lt"/>
                  <a:ea typeface="Cambria Math" panose="02040503050406030204" pitchFamily="18" charset="0"/>
                  <a:cs typeface="+mn-cs"/>
                </a:rPr>
                <a:t>·</a:t>
              </a:r>
              <a:r>
                <a:rPr lang="de-CH" sz="1100" b="0" i="0" baseline="0">
                  <a:solidFill>
                    <a:schemeClr val="tx1"/>
                  </a:solidFill>
                  <a:effectLst/>
                  <a:latin typeface="Cambria Math" panose="02040503050406030204" pitchFamily="18" charset="0"/>
                  <a:ea typeface="Cambria Math" panose="02040503050406030204" pitchFamily="18" charset="0"/>
                  <a:cs typeface="+mn-cs"/>
                </a:rPr>
                <a:t> </a:t>
              </a:r>
              <a:r>
                <a:rPr lang="de-CH" sz="1100" i="0" baseline="0">
                  <a:solidFill>
                    <a:srgbClr val="FF0000"/>
                  </a:solidFill>
                  <a:effectLst/>
                  <a:latin typeface="+mn-lt"/>
                  <a:ea typeface="Cambria Math" panose="02040503050406030204" pitchFamily="18" charset="0"/>
                  <a:cs typeface="+mn-cs"/>
                </a:rPr>
                <a:t>24.45</a:t>
              </a:r>
              <a:r>
                <a:rPr lang="de-CH" sz="1100" i="0" baseline="0">
                  <a:solidFill>
                    <a:schemeClr val="tx1"/>
                  </a:solidFill>
                  <a:effectLst/>
                  <a:latin typeface="+mn-lt"/>
                  <a:ea typeface="Cambria Math" panose="02040503050406030204" pitchFamily="18" charset="0"/>
                  <a:cs typeface="+mn-cs"/>
                </a:rPr>
                <a:t>)·</a:t>
              </a:r>
              <a:r>
                <a:rPr lang="de-CH" sz="1100" i="0" baseline="0">
                  <a:solidFill>
                    <a:srgbClr val="FF0000"/>
                  </a:solidFill>
                  <a:effectLst/>
                  <a:latin typeface="+mn-lt"/>
                  <a:ea typeface="Cambria Math" panose="02040503050406030204" pitchFamily="18" charset="0"/>
                  <a:cs typeface="+mn-cs"/>
                </a:rPr>
                <a:t>M</a:t>
              </a:r>
              <a:r>
                <a:rPr lang="de-CH" sz="1100" i="0" baseline="-25000">
                  <a:solidFill>
                    <a:srgbClr val="FF0000"/>
                  </a:solidFill>
                  <a:effectLst/>
                  <a:latin typeface="+mn-lt"/>
                  <a:ea typeface="Cambria Math" panose="02040503050406030204" pitchFamily="18" charset="0"/>
                  <a:cs typeface="+mn-cs"/>
                </a:rPr>
                <a:t>H₂S</a:t>
              </a:r>
              <a:r>
                <a:rPr lang="de-CH" sz="1100" i="0" baseline="0">
                  <a:solidFill>
                    <a:schemeClr val="tx1"/>
                  </a:solidFill>
                  <a:effectLst/>
                  <a:latin typeface="+mn-lt"/>
                  <a:ea typeface="Cambria Math" panose="02040503050406030204" pitchFamily="18" charset="0"/>
                  <a:cs typeface="+mn-cs"/>
                </a:rPr>
                <a:t>·</a:t>
              </a:r>
              <a:r>
                <a:rPr lang="de-CH" sz="1100" b="0" i="0" baseline="0">
                  <a:solidFill>
                    <a:schemeClr val="tx1"/>
                  </a:solidFill>
                  <a:effectLst/>
                  <a:latin typeface="+mn-lt"/>
                  <a:ea typeface="Cambria Math" panose="02040503050406030204" pitchFamily="18" charset="0"/>
                  <a:cs typeface="+mn-cs"/>
                </a:rPr>
                <a:t>V ̇</a:t>
              </a:r>
              <a:r>
                <a:rPr lang="de-CH" sz="1100" i="0" baseline="-25000">
                  <a:solidFill>
                    <a:schemeClr val="tx1"/>
                  </a:solidFill>
                  <a:effectLst/>
                  <a:latin typeface="+mn-lt"/>
                  <a:ea typeface="Cambria Math" panose="02040503050406030204" pitchFamily="18" charset="0"/>
                  <a:cs typeface="+mn-cs"/>
                </a:rPr>
                <a:t>Biogas)</a:t>
              </a:r>
              <a:r>
                <a:rPr lang="de-CH" sz="1100">
                  <a:effectLst/>
                  <a:latin typeface="+mn-lt"/>
                  <a:ea typeface="Cambria Math" panose="02040503050406030204" pitchFamily="18" charset="0"/>
                </a:rPr>
                <a:t>  [g/d]</a:t>
              </a:r>
            </a:p>
          </xdr:txBody>
        </xdr:sp>
      </mc:Fallback>
    </mc:AlternateContent>
    <xdr:clientData/>
  </xdr:oneCellAnchor>
  <xdr:twoCellAnchor>
    <xdr:from>
      <xdr:col>8</xdr:col>
      <xdr:colOff>127792</xdr:colOff>
      <xdr:row>61</xdr:row>
      <xdr:rowOff>77408</xdr:rowOff>
    </xdr:from>
    <xdr:to>
      <xdr:col>17</xdr:col>
      <xdr:colOff>657225</xdr:colOff>
      <xdr:row>95</xdr:row>
      <xdr:rowOff>95250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tu-dresden.de/ing/maschinenwesen/ifvu/ressourcen/dateien/tvu/forschungsprojekte/forschung_alt/entschwefelungsverfahren/bge_in_landw_anlagen.pdf" TargetMode="External"/><Relationship Id="rId7" Type="http://schemas.openxmlformats.org/officeDocument/2006/relationships/drawing" Target="../drawings/drawing1.xml"/><Relationship Id="rId2" Type="http://schemas.openxmlformats.org/officeDocument/2006/relationships/hyperlink" Target="https://www.biogas-forum-bayern.de/media/files/0002/Entschwefelung-von-Biogas-in-landwirtschaftlichen-Biogasanlagen-2013.pdf" TargetMode="External"/><Relationship Id="rId1" Type="http://schemas.openxmlformats.org/officeDocument/2006/relationships/hyperlink" Target="https://www.teknologisk.dk/_/media/60599_Biogas%20upgrading.%20Evaluation%20of%20methods%20for%20H2S%20removal.pdf" TargetMode="External"/><Relationship Id="rId6" Type="http://schemas.openxmlformats.org/officeDocument/2006/relationships/printerSettings" Target="../printerSettings/printerSettings1.bin"/><Relationship Id="rId5" Type="http://schemas.openxmlformats.org/officeDocument/2006/relationships/hyperlink" Target="https://swissbiogas.com/" TargetMode="External"/><Relationship Id="rId4" Type="http://schemas.openxmlformats.org/officeDocument/2006/relationships/hyperlink" Target="https://repositum.tuwien.at/bitstream/20.500.12708/492/2/Svardal%20Karl%20-%201991%20-%20Anaerobe%20Abwasserreinigung%20ein%20Modell%20zur%20Berechnung%20und...pdf"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s://tu-dresden.de/ing/maschinenwesen/ifvu/ressourcen/dateien/tvu/forschungsprojekte/forschung_alt/entschwefelungsverfahren/bge_in_landw_anlagen.pdf" TargetMode="External"/><Relationship Id="rId7" Type="http://schemas.openxmlformats.org/officeDocument/2006/relationships/drawing" Target="../drawings/drawing2.xml"/><Relationship Id="rId2" Type="http://schemas.openxmlformats.org/officeDocument/2006/relationships/hyperlink" Target="https://www.biogas-forum-bayern.de/media/files/0002/Entschwefelung-von-Biogas-in-landwirtschaftlichen-Biogasanlagen-2013.pdf" TargetMode="External"/><Relationship Id="rId1" Type="http://schemas.openxmlformats.org/officeDocument/2006/relationships/hyperlink" Target="https://www.teknologisk.dk/_/media/60599_Biogas%20upgrading.%20Evaluation%20of%20methods%20for%20H2S%20removal.pdf" TargetMode="External"/><Relationship Id="rId6" Type="http://schemas.openxmlformats.org/officeDocument/2006/relationships/printerSettings" Target="../printerSettings/printerSettings2.bin"/><Relationship Id="rId5" Type="http://schemas.openxmlformats.org/officeDocument/2006/relationships/hyperlink" Target="https://swissbiogas.com/" TargetMode="External"/><Relationship Id="rId4" Type="http://schemas.openxmlformats.org/officeDocument/2006/relationships/hyperlink" Target="https://repositum.tuwien.at/bitstream/20.500.12708/492/2/Svardal%20Karl%20-%201991%20-%20Anaerobe%20Abwasserreinigung%20ein%20Modell%20zur%20Berechnung%20und...pdf" TargetMode="Externa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s://tu-dresden.de/ing/maschinenwesen/ifvu/ressourcen/dateien/tvu/forschungsprojekte/forschung_alt/entschwefelungsverfahren/bge_in_landw_anlagen.pdf" TargetMode="External"/><Relationship Id="rId7" Type="http://schemas.openxmlformats.org/officeDocument/2006/relationships/drawing" Target="../drawings/drawing3.xml"/><Relationship Id="rId2" Type="http://schemas.openxmlformats.org/officeDocument/2006/relationships/hyperlink" Target="https://www.biogas-forum-bayern.de/media/files/0002/Entschwefelung-von-Biogas-in-landwirtschaftlichen-Biogasanlagen-2013.pdf" TargetMode="External"/><Relationship Id="rId1" Type="http://schemas.openxmlformats.org/officeDocument/2006/relationships/hyperlink" Target="https://www.teknologisk.dk/_/media/60599_Biogas%20upgrading.%20Evaluation%20of%20methods%20for%20H2S%20removal.pdf" TargetMode="External"/><Relationship Id="rId6" Type="http://schemas.openxmlformats.org/officeDocument/2006/relationships/printerSettings" Target="../printerSettings/printerSettings3.bin"/><Relationship Id="rId5" Type="http://schemas.openxmlformats.org/officeDocument/2006/relationships/hyperlink" Target="https://swissbiogas.com/" TargetMode="External"/><Relationship Id="rId4" Type="http://schemas.openxmlformats.org/officeDocument/2006/relationships/hyperlink" Target="https://repositum.tuwien.at/bitstream/20.500.12708/492/2/Svardal%20Karl%20-%201991%20-%20Anaerobe%20Abwasserreinigung%20ein%20Modell%20zur%20Berechnung%20und...pdf" TargetMode="Externa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s://en.wikipedia.org/wiki/Ton" TargetMode="External"/><Relationship Id="rId7" Type="http://schemas.openxmlformats.org/officeDocument/2006/relationships/drawing" Target="../drawings/drawing4.xml"/><Relationship Id="rId2" Type="http://schemas.openxmlformats.org/officeDocument/2006/relationships/hyperlink" Target="https://en.wikipedia.org/wiki/Gallon" TargetMode="External"/><Relationship Id="rId1" Type="http://schemas.openxmlformats.org/officeDocument/2006/relationships/hyperlink" Target="https://teesing.com/en/library/tools/ppm-mg3-converter" TargetMode="External"/><Relationship Id="rId6" Type="http://schemas.openxmlformats.org/officeDocument/2006/relationships/printerSettings" Target="../printerSettings/printerSettings4.bin"/><Relationship Id="rId5" Type="http://schemas.openxmlformats.org/officeDocument/2006/relationships/hyperlink" Target="https://tu-dresden.de/ing/maschinenwesen/ifvu/ressourcen/dateien/tvu/forschungsprojekte/forschung_alt/entschwefelungsverfahren/bge_in_landw_anlagen.pdf?lang=en" TargetMode="External"/><Relationship Id="rId4" Type="http://schemas.openxmlformats.org/officeDocument/2006/relationships/hyperlink" Target="https://en.wikipedia.org/wiki/Hydrogen_sulfi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en.wikipedia.org/wiki/Iron(II)_sulfide" TargetMode="External"/><Relationship Id="rId1" Type="http://schemas.openxmlformats.org/officeDocument/2006/relationships/hyperlink" Target="https://en.wikipedia.org/wiki/Iron(III)_sulfi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33"/>
  <sheetViews>
    <sheetView showGridLines="0" tabSelected="1" topLeftCell="A5" zoomScaleNormal="100" workbookViewId="0">
      <selection activeCell="M14" sqref="M14"/>
    </sheetView>
  </sheetViews>
  <sheetFormatPr defaultRowHeight="15" outlineLevelRow="1"/>
  <cols>
    <col min="1" max="1" width="1.625" style="349" customWidth="1"/>
    <col min="2" max="2" width="2.125" style="350" customWidth="1"/>
    <col min="3" max="3" width="10.75" style="350" customWidth="1"/>
    <col min="4" max="4" width="16.25" style="350" customWidth="1"/>
    <col min="5" max="5" width="0.125" style="350" customWidth="1"/>
    <col min="6" max="6" width="26.75" style="350" customWidth="1"/>
    <col min="7" max="7" width="12.625" style="350" customWidth="1"/>
    <col min="8" max="8" width="0.125" style="350" customWidth="1"/>
    <col min="9" max="9" width="10.625" style="350" customWidth="1"/>
    <col min="10" max="10" width="0.875" style="350" customWidth="1"/>
    <col min="11" max="11" width="12.625" style="350" customWidth="1"/>
    <col min="12" max="12" width="0.125" style="350" customWidth="1"/>
    <col min="13" max="13" width="10.625" style="350" customWidth="1"/>
    <col min="14" max="14" width="0.875" style="350" customWidth="1"/>
    <col min="15" max="15" width="20.375" style="350" customWidth="1"/>
    <col min="16" max="16" width="13.375" style="350" customWidth="1"/>
    <col min="17" max="17" width="28.875" style="350" customWidth="1"/>
    <col min="18" max="18" width="15.75" style="350" customWidth="1"/>
    <col min="19" max="20" width="12.125" style="350" customWidth="1"/>
    <col min="21" max="22" width="12.125" style="354" hidden="1" customWidth="1"/>
    <col min="23" max="23" width="23" style="354" hidden="1" customWidth="1"/>
    <col min="24" max="24" width="11.375" style="354" hidden="1" customWidth="1"/>
    <col min="25" max="26" width="8.875" style="354" hidden="1" customWidth="1"/>
    <col min="27" max="31" width="12.625" style="350" hidden="1" customWidth="1"/>
    <col min="32" max="32" width="10.75" style="350" hidden="1" customWidth="1"/>
    <col min="33" max="33" width="24.875" style="350" hidden="1" customWidth="1"/>
    <col min="34" max="39" width="11.75" style="350" hidden="1" customWidth="1"/>
    <col min="40" max="40" width="11" style="350" hidden="1" customWidth="1"/>
    <col min="41" max="41" width="26.125" style="350" hidden="1" customWidth="1"/>
    <col min="42" max="43" width="10.875" style="350" hidden="1" customWidth="1"/>
    <col min="44" max="44" width="9" style="350" hidden="1" customWidth="1"/>
    <col min="45" max="45" width="21.25" style="350" hidden="1" customWidth="1"/>
    <col min="46" max="47" width="10.875" style="350" hidden="1" customWidth="1"/>
    <col min="48" max="48" width="3.25" style="350" hidden="1" customWidth="1"/>
    <col min="49" max="49" width="9" style="350" hidden="1" customWidth="1"/>
    <col min="50" max="50" width="14.625" style="350" customWidth="1"/>
    <col min="51" max="53" width="9" style="350" customWidth="1"/>
    <col min="54" max="54" width="10.625" style="350" customWidth="1"/>
    <col min="55" max="16384" width="9" style="350"/>
  </cols>
  <sheetData>
    <row r="1" spans="1:66" s="346" customFormat="1" hidden="1">
      <c r="A1" s="341"/>
      <c r="B1" s="342">
        <v>1.5</v>
      </c>
      <c r="C1" s="342">
        <v>10.130000000000001</v>
      </c>
      <c r="D1" s="342">
        <v>15.63</v>
      </c>
      <c r="E1" s="342">
        <v>0.08</v>
      </c>
      <c r="F1" s="342">
        <v>26.13</v>
      </c>
      <c r="G1" s="342">
        <v>12</v>
      </c>
      <c r="H1" s="342"/>
      <c r="I1" s="342">
        <v>10</v>
      </c>
      <c r="J1" s="342">
        <v>0.54</v>
      </c>
      <c r="K1" s="342">
        <v>12</v>
      </c>
      <c r="L1" s="342">
        <v>0.08</v>
      </c>
      <c r="M1" s="342">
        <v>10</v>
      </c>
      <c r="N1" s="343"/>
      <c r="O1" s="343"/>
      <c r="P1" s="343"/>
      <c r="Q1" s="344">
        <f>SUM(B1:P1)</f>
        <v>98.09</v>
      </c>
      <c r="R1" s="343"/>
      <c r="S1" s="343"/>
      <c r="T1" s="343"/>
      <c r="U1" s="345"/>
      <c r="V1" s="345"/>
      <c r="W1" s="345"/>
      <c r="X1" s="345"/>
      <c r="Y1" s="345"/>
      <c r="Z1" s="345"/>
      <c r="AA1" s="343"/>
      <c r="AB1" s="343"/>
      <c r="AC1" s="343"/>
      <c r="AD1" s="343"/>
      <c r="AE1" s="343"/>
      <c r="AF1" s="343"/>
      <c r="AG1" s="343"/>
      <c r="AH1" s="343"/>
      <c r="AI1" s="343"/>
      <c r="AJ1" s="343"/>
      <c r="AK1" s="343"/>
      <c r="AL1" s="343"/>
      <c r="AM1" s="343"/>
      <c r="AN1" s="343"/>
      <c r="AO1" s="343"/>
      <c r="AP1" s="343"/>
      <c r="AQ1" s="343"/>
      <c r="AR1" s="343"/>
      <c r="AS1" s="343"/>
      <c r="AT1" s="343"/>
      <c r="AU1" s="343"/>
      <c r="AV1" s="343"/>
      <c r="AW1" s="343"/>
    </row>
    <row r="2" spans="1:66" s="346" customFormat="1" hidden="1">
      <c r="A2" s="341"/>
      <c r="B2" s="343"/>
      <c r="C2" s="347">
        <f xml:space="preserve"> C1</f>
        <v>10.130000000000001</v>
      </c>
      <c r="D2" s="347">
        <f t="shared" ref="D2:N3" si="0" xml:space="preserve"> D1</f>
        <v>15.63</v>
      </c>
      <c r="E2" s="347">
        <f t="shared" si="0"/>
        <v>0.08</v>
      </c>
      <c r="F2" s="347">
        <f t="shared" si="0"/>
        <v>26.13</v>
      </c>
      <c r="G2" s="347">
        <f t="shared" si="0"/>
        <v>12</v>
      </c>
      <c r="H2" s="347"/>
      <c r="I2" s="347">
        <f t="shared" si="0"/>
        <v>10</v>
      </c>
      <c r="J2" s="347">
        <f t="shared" si="0"/>
        <v>0.54</v>
      </c>
      <c r="K2" s="347">
        <f t="shared" si="0"/>
        <v>12</v>
      </c>
      <c r="L2" s="347">
        <f t="shared" si="0"/>
        <v>0.08</v>
      </c>
      <c r="M2" s="347">
        <f t="shared" si="0"/>
        <v>10</v>
      </c>
      <c r="N2" s="347">
        <f t="shared" si="0"/>
        <v>0</v>
      </c>
      <c r="O2" s="347">
        <v>19.75</v>
      </c>
      <c r="P2" s="347">
        <v>12.75</v>
      </c>
      <c r="Q2" s="344">
        <f>SUM(B2:P2)</f>
        <v>129.09</v>
      </c>
      <c r="R2" s="343"/>
      <c r="S2" s="343"/>
      <c r="T2" s="343"/>
      <c r="U2" s="345"/>
      <c r="V2" s="345"/>
      <c r="W2" s="345"/>
      <c r="X2" s="345"/>
      <c r="Y2" s="345"/>
      <c r="Z2" s="345"/>
      <c r="AA2" s="343"/>
      <c r="AB2" s="343"/>
      <c r="AC2" s="343"/>
      <c r="AD2" s="343"/>
      <c r="AE2" s="343"/>
      <c r="AF2" s="343"/>
      <c r="AG2" s="343"/>
      <c r="AH2" s="343"/>
      <c r="AI2" s="343"/>
      <c r="AJ2" s="343"/>
      <c r="AK2" s="343"/>
      <c r="AL2" s="343"/>
      <c r="AM2" s="343"/>
      <c r="AN2" s="343"/>
      <c r="AO2" s="343"/>
      <c r="AP2" s="343"/>
      <c r="AQ2" s="343"/>
      <c r="AR2" s="343"/>
      <c r="AS2" s="343"/>
      <c r="AT2" s="343"/>
      <c r="AU2" s="343"/>
      <c r="AV2" s="343"/>
      <c r="AW2" s="343"/>
    </row>
    <row r="3" spans="1:66" s="346" customFormat="1" hidden="1">
      <c r="A3" s="341"/>
      <c r="B3" s="343"/>
      <c r="C3" s="343"/>
      <c r="D3" s="348">
        <f xml:space="preserve"> D2</f>
        <v>15.63</v>
      </c>
      <c r="E3" s="348">
        <f t="shared" si="0"/>
        <v>0.08</v>
      </c>
      <c r="F3" s="348">
        <f t="shared" si="0"/>
        <v>26.13</v>
      </c>
      <c r="G3" s="348">
        <f t="shared" si="0"/>
        <v>12</v>
      </c>
      <c r="H3" s="348"/>
      <c r="I3" s="348">
        <f t="shared" si="0"/>
        <v>10</v>
      </c>
      <c r="J3" s="348">
        <f t="shared" si="0"/>
        <v>0.54</v>
      </c>
      <c r="K3" s="348">
        <f t="shared" si="0"/>
        <v>12</v>
      </c>
      <c r="L3" s="348">
        <f t="shared" si="0"/>
        <v>0.08</v>
      </c>
      <c r="M3" s="348">
        <f t="shared" si="0"/>
        <v>10</v>
      </c>
      <c r="N3" s="348">
        <f t="shared" si="0"/>
        <v>0</v>
      </c>
      <c r="O3" s="348">
        <f xml:space="preserve"> O2</f>
        <v>19.75</v>
      </c>
      <c r="P3" s="343"/>
      <c r="Q3" s="344">
        <f>SUM(B3:P3)</f>
        <v>106.21000000000001</v>
      </c>
      <c r="R3" s="343"/>
      <c r="S3" s="343"/>
      <c r="T3" s="343"/>
      <c r="U3" s="345"/>
      <c r="V3" s="345"/>
      <c r="W3" s="345"/>
      <c r="X3" s="345"/>
      <c r="Y3" s="345"/>
      <c r="Z3" s="345"/>
      <c r="AA3" s="343"/>
      <c r="AB3" s="343"/>
      <c r="AC3" s="343"/>
      <c r="AD3" s="343"/>
      <c r="AE3" s="343"/>
      <c r="AF3" s="343"/>
      <c r="AG3" s="343"/>
      <c r="AH3" s="343"/>
      <c r="AI3" s="343"/>
      <c r="AJ3" s="343"/>
      <c r="AK3" s="343"/>
      <c r="AL3" s="343"/>
      <c r="AM3" s="343"/>
      <c r="AN3" s="343"/>
      <c r="AO3" s="343"/>
      <c r="AP3" s="343"/>
      <c r="AQ3" s="343"/>
      <c r="AR3" s="343"/>
      <c r="AS3" s="343"/>
      <c r="AT3" s="343"/>
      <c r="AU3" s="343"/>
      <c r="AV3" s="343"/>
      <c r="AW3" s="343"/>
    </row>
    <row r="4" spans="1:66" s="346" customFormat="1" hidden="1">
      <c r="A4" s="341"/>
      <c r="B4" s="343"/>
      <c r="C4" s="343"/>
      <c r="D4" s="343"/>
      <c r="E4" s="343"/>
      <c r="F4" s="343"/>
      <c r="G4" s="343"/>
      <c r="H4" s="343"/>
      <c r="I4" s="343"/>
      <c r="J4" s="343"/>
      <c r="K4" s="343"/>
      <c r="L4" s="343"/>
      <c r="M4" s="343"/>
      <c r="N4" s="343"/>
      <c r="O4" s="343"/>
      <c r="P4" s="343"/>
      <c r="Q4" s="344"/>
      <c r="R4" s="343"/>
      <c r="S4" s="343"/>
      <c r="T4" s="343"/>
      <c r="U4" s="345"/>
      <c r="V4" s="345"/>
      <c r="W4" s="345"/>
      <c r="X4" s="345"/>
      <c r="Y4" s="345"/>
      <c r="Z4" s="345"/>
      <c r="AA4" s="343"/>
      <c r="AB4" s="343"/>
      <c r="AC4" s="343"/>
      <c r="AD4" s="343"/>
      <c r="AE4" s="343"/>
      <c r="AF4" s="343"/>
      <c r="AG4" s="343"/>
      <c r="AH4" s="343"/>
      <c r="AI4" s="343"/>
      <c r="AJ4" s="343"/>
      <c r="AK4" s="343"/>
      <c r="AL4" s="343"/>
      <c r="AM4" s="343"/>
      <c r="AN4" s="343"/>
      <c r="AO4" s="343"/>
      <c r="AP4" s="343"/>
      <c r="AQ4" s="343"/>
      <c r="AR4" s="343"/>
      <c r="AS4" s="343"/>
      <c r="AT4" s="343"/>
      <c r="AU4" s="343"/>
      <c r="AV4" s="343"/>
      <c r="AW4" s="343"/>
    </row>
    <row r="5" spans="1:66" s="508" customFormat="1">
      <c r="A5" s="507"/>
      <c r="B5" s="512"/>
      <c r="U5" s="509"/>
      <c r="V5" s="509"/>
      <c r="W5" s="509"/>
      <c r="X5" s="509"/>
      <c r="Y5" s="509"/>
      <c r="Z5" s="509"/>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1"/>
      <c r="AY5" s="511"/>
      <c r="AZ5" s="511"/>
      <c r="BA5" s="511"/>
      <c r="BB5" s="511"/>
      <c r="BC5" s="511"/>
      <c r="BD5" s="511"/>
      <c r="BE5" s="511"/>
      <c r="BF5" s="511"/>
      <c r="BG5" s="511"/>
      <c r="BH5" s="511"/>
      <c r="BI5" s="511"/>
      <c r="BJ5" s="511"/>
      <c r="BK5" s="511"/>
      <c r="BL5" s="511"/>
      <c r="BM5" s="511"/>
      <c r="BN5" s="511"/>
    </row>
    <row r="6" spans="1:66" ht="18.75">
      <c r="B6" s="16" t="str">
        <f ca="1" xml:space="preserve"> "Reactive Iron Ion Content (RIIC) Calculator: Additive dosage comparison and additive dosage calculation " &amp; M16</f>
        <v>Reactive Iron Ion Content (RIIC) Calculator: Additive dosage comparison and additive dosage calculation - Basic, v2.13 -</v>
      </c>
      <c r="U6" s="351"/>
      <c r="V6" s="351"/>
      <c r="W6" s="351"/>
      <c r="X6" s="351"/>
      <c r="Y6" s="351"/>
      <c r="Z6" s="351"/>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3"/>
      <c r="AY6" s="353"/>
      <c r="AZ6" s="353"/>
      <c r="BA6" s="353"/>
      <c r="BB6" s="353"/>
      <c r="BC6" s="353"/>
      <c r="BD6" s="353"/>
      <c r="BE6" s="353"/>
      <c r="BF6" s="353"/>
      <c r="BG6" s="353"/>
      <c r="BH6" s="353"/>
      <c r="BI6" s="353"/>
      <c r="BJ6" s="353"/>
      <c r="BK6" s="353"/>
      <c r="BL6" s="353"/>
      <c r="BM6" s="353"/>
      <c r="BN6" s="353"/>
    </row>
    <row r="7" spans="1:66" ht="15" customHeight="1">
      <c r="B7" s="9" t="str">
        <f xml:space="preserve"> IF(basis!C7, "", "*** This version is not authorised by SwissBiogas.com ***")</f>
        <v/>
      </c>
      <c r="M7" s="694"/>
      <c r="T7" s="353"/>
      <c r="AX7" s="353"/>
      <c r="AY7" s="353"/>
      <c r="AZ7" s="353"/>
      <c r="BA7" s="353"/>
      <c r="BB7" s="353"/>
      <c r="BC7" s="353"/>
      <c r="BD7" s="353"/>
      <c r="BE7" s="353"/>
      <c r="BF7" s="353"/>
      <c r="BG7" s="353"/>
      <c r="BH7" s="353"/>
      <c r="BI7" s="353"/>
      <c r="BJ7" s="353"/>
      <c r="BK7" s="353"/>
      <c r="BL7" s="353"/>
      <c r="BM7" s="353"/>
      <c r="BN7" s="353"/>
    </row>
    <row r="8" spans="1:66" ht="15" customHeight="1">
      <c r="A8" s="355"/>
      <c r="B8" s="574" t="str">
        <f ca="1" xml:space="preserve"> IF(ISNUMBER(SEARCH("basic", CELL("filename", A1))), AF24, AF23)</f>
        <v>Input and output are designed for easy use and give a complete overview very quickly. If no basic explanations but more input parameters for fine adjustments are needed, please use the sheet "RIIC Calculator Standard".</v>
      </c>
      <c r="U8" s="528" t="s">
        <v>496</v>
      </c>
      <c r="V8" s="350"/>
      <c r="W8" s="25" t="s">
        <v>448</v>
      </c>
    </row>
    <row r="9" spans="1:66" ht="15" customHeight="1">
      <c r="A9" s="355"/>
      <c r="B9" s="356"/>
      <c r="C9" s="356"/>
      <c r="D9" s="356"/>
      <c r="E9" s="356"/>
      <c r="F9" s="356"/>
      <c r="G9" s="356"/>
      <c r="H9" s="356"/>
      <c r="I9" s="356"/>
      <c r="J9" s="356"/>
      <c r="K9" s="356"/>
      <c r="L9" s="356"/>
      <c r="M9" s="356"/>
      <c r="N9" s="356"/>
      <c r="O9" s="356"/>
      <c r="P9" s="356"/>
      <c r="Q9" s="356"/>
      <c r="R9" s="356"/>
      <c r="S9" s="356"/>
      <c r="T9" s="356"/>
      <c r="U9" s="530" t="s">
        <v>508</v>
      </c>
      <c r="V9" s="350"/>
      <c r="W9" s="361" t="s">
        <v>449</v>
      </c>
    </row>
    <row r="10" spans="1:66" ht="15" customHeight="1">
      <c r="A10" s="354"/>
      <c r="B10" s="27" t="str">
        <f xml:space="preserve"> IF(OR(MOD(ROUND(G23 * 1000000, 0), 10) = 1, MOD(ROUND(K41 * 1000000, 0), 10) = 1, MOD(ROUND(K61 * 1000000, 0), 10) = 1), "All example entries are in italic blue. Delete or replace with your own selections and values.", "")</f>
        <v>All example entries are in italic blue. Delete or replace with your own selections and values.</v>
      </c>
      <c r="T10" s="353"/>
      <c r="U10" s="530" t="s">
        <v>509</v>
      </c>
      <c r="V10" s="350"/>
      <c r="W10" s="25" t="s">
        <v>452</v>
      </c>
      <c r="AY10" s="26"/>
      <c r="AZ10" s="26"/>
      <c r="BA10" s="26"/>
      <c r="BB10" s="26"/>
    </row>
    <row r="11" spans="1:66" ht="15" hidden="1" customHeight="1" outlineLevel="1">
      <c r="A11" s="350"/>
      <c r="U11" s="529" t="s">
        <v>497</v>
      </c>
      <c r="W11" s="361" t="s">
        <v>453</v>
      </c>
      <c r="AD11" s="354" t="s">
        <v>450</v>
      </c>
      <c r="AE11" s="354"/>
      <c r="AF11" s="354"/>
      <c r="AG11" s="354"/>
    </row>
    <row r="12" spans="1:66" ht="15" hidden="1" customHeight="1" outlineLevel="1">
      <c r="A12" s="350"/>
      <c r="C12" s="289" t="s">
        <v>511</v>
      </c>
      <c r="D12" s="299"/>
      <c r="E12" s="321" t="s">
        <v>435</v>
      </c>
      <c r="F12" s="741"/>
      <c r="I12" s="755" t="s">
        <v>515</v>
      </c>
      <c r="J12" s="755"/>
      <c r="K12" s="756"/>
      <c r="L12" s="585" t="s">
        <v>517</v>
      </c>
      <c r="M12" s="579"/>
      <c r="T12" s="353"/>
      <c r="U12" s="430" t="b">
        <f xml:space="preserve"> IF(M12 = U9, TRUE, FALSE)</f>
        <v>0</v>
      </c>
      <c r="W12" s="25" t="s">
        <v>462</v>
      </c>
      <c r="AD12" s="350" t="s">
        <v>428</v>
      </c>
      <c r="AG12" s="354"/>
      <c r="AY12" s="26"/>
      <c r="AZ12" s="26"/>
      <c r="BA12" s="26"/>
      <c r="BB12" s="26"/>
    </row>
    <row r="13" spans="1:66" ht="15" customHeight="1" collapsed="1">
      <c r="A13" s="26"/>
      <c r="B13" s="26"/>
      <c r="C13" s="26"/>
      <c r="W13" s="365" t="s">
        <v>451</v>
      </c>
      <c r="X13" s="263" t="str">
        <f ca="1" xml:space="preserve"> IF(CELL("col", A1) = 0, "", "")</f>
        <v/>
      </c>
      <c r="Y13" s="354" t="s">
        <v>466</v>
      </c>
      <c r="AD13" s="354"/>
      <c r="AE13" s="354"/>
      <c r="AF13" s="354"/>
      <c r="AG13" s="354"/>
    </row>
    <row r="14" spans="1:66" ht="15" customHeight="1" outlineLevel="1">
      <c r="A14" s="350"/>
      <c r="I14" s="757" t="s">
        <v>516</v>
      </c>
      <c r="J14" s="757"/>
      <c r="K14" s="758"/>
      <c r="L14" s="586" t="s">
        <v>518</v>
      </c>
      <c r="M14" s="712"/>
      <c r="N14" s="354"/>
      <c r="O14" s="340"/>
      <c r="T14" s="353"/>
      <c r="W14" s="366" t="s">
        <v>465</v>
      </c>
      <c r="X14" s="329" t="str">
        <f ca="1" xml:space="preserve"> update_trigger &amp; FIXED(1000 + 1 / 2)</f>
        <v>1,000.50</v>
      </c>
      <c r="AD14" s="25" t="s">
        <v>433</v>
      </c>
      <c r="AE14" s="354"/>
      <c r="AF14" s="354"/>
      <c r="AG14" s="354"/>
      <c r="AY14" s="26"/>
      <c r="AZ14" s="26"/>
      <c r="BA14" s="26"/>
      <c r="BB14" s="26"/>
    </row>
    <row r="15" spans="1:66" ht="15" customHeight="1" outlineLevel="1">
      <c r="A15" s="350"/>
      <c r="M15" s="26"/>
      <c r="N15" s="26"/>
      <c r="O15" s="26"/>
      <c r="P15" s="26"/>
      <c r="W15" s="366" t="s">
        <v>463</v>
      </c>
      <c r="X15" s="329" t="str">
        <f ca="1" xml:space="preserve"> MID(X14, 2, 1)</f>
        <v>,</v>
      </c>
      <c r="AD15" s="570" t="s">
        <v>429</v>
      </c>
      <c r="AE15" s="569"/>
      <c r="AF15" s="569"/>
      <c r="AG15" s="354"/>
    </row>
    <row r="16" spans="1:66" ht="15" customHeight="1">
      <c r="B16" s="25" t="s">
        <v>48</v>
      </c>
      <c r="C16" s="25" t="str">
        <f ca="1" xml:space="preserve"> "Evaluation of your additive's Reactive Iron Ion Content (RIIC)" &amp; IF(ISNUMBER(SEARCH("basic", CELL("filename", A1))), "", " and its H₂S reduction rate")</f>
        <v>Evaluation of your additive's Reactive Iron Ion Content (RIIC)</v>
      </c>
      <c r="D16" s="354"/>
      <c r="E16" s="354"/>
      <c r="F16" s="354"/>
      <c r="G16" s="354"/>
      <c r="H16" s="354"/>
      <c r="I16" s="354"/>
      <c r="J16" s="362"/>
      <c r="M16" s="711" t="str">
        <f ca="1" xml:space="preserve"> "- " &amp; IF(ISNUMBER(SEARCH("light", CELL("filename", A1))), "Light", IF(ISNUMBER(SEARCH("basic", CELL("filename", A1))), "Basic", "Standard")) &amp; ", " &amp;
MID(CELL("filename", C2), FIND("_v", CELL("filename", C2)) + 1, IFERROR(FIND(".ods", CELL("filename", C2)), FIND(".xls", CELL("filename", C2))) - FIND("_v", CELL("filename", C2)) - 1) &amp; " -"</f>
        <v>- Basic, v2.13 -</v>
      </c>
      <c r="N16" s="354"/>
      <c r="W16" s="367" t="s">
        <v>464</v>
      </c>
      <c r="X16" s="329" t="str">
        <f ca="1" xml:space="preserve"> MID(X14, 6, 1)</f>
        <v>.</v>
      </c>
      <c r="Z16" s="350"/>
      <c r="AD16" s="570" t="s">
        <v>430</v>
      </c>
      <c r="AE16" s="569"/>
      <c r="AF16" s="569"/>
      <c r="AG16" s="354"/>
    </row>
    <row r="17" spans="1:34" ht="15" customHeight="1" outlineLevel="1">
      <c r="B17" s="25"/>
      <c r="C17" s="572" t="str">
        <f xml:space="preserve"> IF(M14 = text_translations!C8, text_translations!D8, IF(M14 = text_translations!C9, text_translations!D9, IF(M14 = text_translations!C10, text_translations!D10, IF(M14 = text_translations!C11, text_translations!D11, IF(M14 = text_translations!C12, text_translations!D12, text_translations!D8)))))</f>
        <v>Explanation:</v>
      </c>
      <c r="D17" s="759" t="str">
        <f xml:space="preserve"> IF(M14 = text_translations!C8, text_translations!D81, IF(M14 = text_translations!C9, text_translations!D96, IF(M14 = text_translations!C10, text_translations!D111, IF(M14 = text_translations!C11, text_translations!D126, IF(M14 = text_translations!C12, text_translations!D141, text_translations!D81)))))</f>
        <v>The entries in this section form the basis for the comparisons and calculations in sections B and C.
The following information is required: What are the iron-based compounds in your additive and what is their content.
If you know the moisture content of your additive, enter this too. If your additive is liquid, then the moisture content is 0 (zero).</v>
      </c>
      <c r="E17" s="759"/>
      <c r="F17" s="759"/>
      <c r="G17" s="759"/>
      <c r="H17" s="759"/>
      <c r="I17" s="759"/>
      <c r="J17" s="759"/>
      <c r="K17" s="759"/>
      <c r="L17" s="759"/>
      <c r="M17" s="759"/>
      <c r="N17" s="759"/>
      <c r="O17" s="759"/>
      <c r="W17" s="261" t="s">
        <v>454</v>
      </c>
      <c r="X17" s="368" t="str">
        <f ca="1" xml:space="preserve"> "#" &amp; X15 &amp; "##0"</f>
        <v>#,##0</v>
      </c>
      <c r="Z17" s="350"/>
      <c r="AD17" s="570" t="s">
        <v>431</v>
      </c>
      <c r="AE17" s="569"/>
      <c r="AF17" s="569"/>
    </row>
    <row r="18" spans="1:34" ht="15" customHeight="1" outlineLevel="1">
      <c r="B18" s="25"/>
      <c r="C18" s="363"/>
      <c r="D18" s="759"/>
      <c r="E18" s="759"/>
      <c r="F18" s="759"/>
      <c r="G18" s="759"/>
      <c r="H18" s="759"/>
      <c r="I18" s="759"/>
      <c r="J18" s="759"/>
      <c r="K18" s="759"/>
      <c r="L18" s="759"/>
      <c r="M18" s="759"/>
      <c r="N18" s="759"/>
      <c r="O18" s="759"/>
      <c r="W18" s="261" t="s">
        <v>455</v>
      </c>
      <c r="X18" s="368" t="str">
        <f ca="1" xml:space="preserve"> fmt_dec_0 &amp; X16 &amp; "0"</f>
        <v>#,##0.0</v>
      </c>
      <c r="Y18" s="350"/>
      <c r="Z18" s="350"/>
      <c r="AD18" s="369" t="s">
        <v>437</v>
      </c>
      <c r="AE18" s="354"/>
      <c r="AF18" s="354"/>
    </row>
    <row r="19" spans="1:34" ht="15" customHeight="1" outlineLevel="1">
      <c r="B19" s="25"/>
      <c r="C19" s="364"/>
      <c r="D19" s="759"/>
      <c r="E19" s="759"/>
      <c r="F19" s="759"/>
      <c r="G19" s="759"/>
      <c r="H19" s="759"/>
      <c r="I19" s="759"/>
      <c r="J19" s="759"/>
      <c r="K19" s="759"/>
      <c r="L19" s="759"/>
      <c r="M19" s="759"/>
      <c r="N19" s="759"/>
      <c r="O19" s="759"/>
      <c r="W19" s="261" t="s">
        <v>456</v>
      </c>
      <c r="X19" s="368" t="str">
        <f ca="1" xml:space="preserve"> fmt_dec_1 &amp; "0"</f>
        <v>#,##0.00</v>
      </c>
      <c r="Y19" s="350"/>
      <c r="Z19" s="350"/>
      <c r="AD19" s="369" t="s">
        <v>434</v>
      </c>
    </row>
    <row r="20" spans="1:34" ht="15" customHeight="1" outlineLevel="1">
      <c r="B20" s="25"/>
      <c r="C20" s="364"/>
      <c r="D20" s="759"/>
      <c r="E20" s="759"/>
      <c r="F20" s="759"/>
      <c r="G20" s="759"/>
      <c r="H20" s="759"/>
      <c r="I20" s="759"/>
      <c r="J20" s="759"/>
      <c r="K20" s="759"/>
      <c r="L20" s="759"/>
      <c r="M20" s="759"/>
      <c r="N20" s="759"/>
      <c r="O20" s="759"/>
      <c r="U20" s="350"/>
      <c r="W20" s="261" t="s">
        <v>457</v>
      </c>
      <c r="X20" s="368" t="str">
        <f ca="1" xml:space="preserve"> fmt_dec_2 &amp; "0"</f>
        <v>#,##0.000</v>
      </c>
      <c r="Y20" s="350"/>
      <c r="Z20" s="350"/>
    </row>
    <row r="21" spans="1:34" ht="15" customHeight="1">
      <c r="B21" s="362"/>
      <c r="G21" s="20" t="str">
        <f xml:space="preserve"> IFERROR(IF(TRIM(F12) = "", TRIM(E12), IF(F12 = "***", "", F12)), TRIM(E12))</f>
        <v>Your_Additive</v>
      </c>
      <c r="H21" s="20"/>
      <c r="I21" s="20"/>
      <c r="J21" s="362"/>
      <c r="K21" s="714" t="str">
        <f xml:space="preserve"> AB118</f>
        <v>SBGx by SwissBiogas.com</v>
      </c>
      <c r="L21" s="715"/>
      <c r="M21" s="716"/>
      <c r="N21" s="362"/>
      <c r="Q21" s="362"/>
      <c r="R21" s="362"/>
      <c r="S21" s="362"/>
      <c r="U21" s="350"/>
      <c r="V21" s="350"/>
      <c r="W21" s="261" t="s">
        <v>458</v>
      </c>
      <c r="X21" s="368" t="str">
        <f ca="1" xml:space="preserve"> fmt_dec_3 &amp; "0"</f>
        <v>#,##0.0000</v>
      </c>
      <c r="Y21" s="350"/>
      <c r="Z21" s="350"/>
    </row>
    <row r="22" spans="1:34" ht="15" customHeight="1">
      <c r="A22" s="370"/>
      <c r="C22" s="541" t="str">
        <f xml:space="preserve"> G21 &amp; "'s precipitant(s) / iron compound(s)"</f>
        <v>Your_Additive's precipitant(s) / iron compound(s)</v>
      </c>
      <c r="D22" s="542"/>
      <c r="E22" s="542"/>
      <c r="F22" s="543"/>
      <c r="G22" s="544" t="s">
        <v>397</v>
      </c>
      <c r="H22" s="608"/>
      <c r="I22" s="612" t="s">
        <v>21</v>
      </c>
      <c r="J22" s="256"/>
      <c r="K22" s="717" t="s">
        <v>397</v>
      </c>
      <c r="L22" s="717"/>
      <c r="M22" s="718" t="s">
        <v>21</v>
      </c>
      <c r="N22" s="21"/>
      <c r="Q22" s="371"/>
      <c r="U22" s="350"/>
      <c r="V22" s="350"/>
      <c r="W22" s="261" t="s">
        <v>553</v>
      </c>
      <c r="X22" s="368" t="str">
        <f ca="1" xml:space="preserve"> fmt_dec_4 &amp; "0"</f>
        <v>#,##0.00000</v>
      </c>
      <c r="Y22" s="350"/>
      <c r="Z22" s="350"/>
    </row>
    <row r="23" spans="1:34" ht="15" customHeight="1">
      <c r="C23" s="750" t="str">
        <f xml:space="preserve"> IFERROR(VLOOKUP(F23, V123:Z131, 2, FALSE), "Precipitant") &amp; " ⓘ"</f>
        <v>Iron(III) oxide-hydroxide ⓘ</v>
      </c>
      <c r="D23" s="751"/>
      <c r="E23" s="633" t="s">
        <v>578</v>
      </c>
      <c r="F23" s="580" t="s">
        <v>15</v>
      </c>
      <c r="G23" s="372">
        <v>52.505960999999999</v>
      </c>
      <c r="H23" s="618"/>
      <c r="I23" s="297">
        <f xml:space="preserve"> IFERROR(VLOOKUP(F23, V123:Z131, 5, FALSE), 0)</f>
        <v>33.000990099293496</v>
      </c>
      <c r="J23" s="362"/>
      <c r="K23" s="719" t="str">
        <f ca="1" xml:space="preserve"> update_trigger &amp; basis!B8 &amp; ":       " &amp; TEXT(basis!B22 * IFERROR((1 - K28 / 100), 1), fmt_dec_2)</f>
        <v>FeO:       41.82</v>
      </c>
      <c r="L23" s="720"/>
      <c r="M23" s="721">
        <f xml:space="preserve"> SUM(AD123:AE123)</f>
        <v>32.506888497920507</v>
      </c>
      <c r="N23" s="15"/>
      <c r="U23" s="350"/>
      <c r="V23" s="350"/>
      <c r="W23" s="261" t="s">
        <v>459</v>
      </c>
      <c r="X23" s="368" t="str">
        <f ca="1" xml:space="preserve"> fmt_dec_0 &amp; "%"</f>
        <v>#,##0%</v>
      </c>
      <c r="Y23" s="350"/>
      <c r="Z23" s="350"/>
      <c r="AD23" s="631" t="s">
        <v>550</v>
      </c>
      <c r="AE23" s="365"/>
      <c r="AF23" s="578" t="s">
        <v>541</v>
      </c>
    </row>
    <row r="24" spans="1:34" ht="15" customHeight="1">
      <c r="C24" s="373" t="str">
        <f xml:space="preserve"> IFERROR(VLOOKUP(F24, V123:Z131, 2, FALSE), "Possible 2nd precipitant")</f>
        <v>Possible 2nd precipitant</v>
      </c>
      <c r="D24" s="296"/>
      <c r="E24" s="634" t="s">
        <v>578</v>
      </c>
      <c r="F24" s="581"/>
      <c r="G24" s="374"/>
      <c r="H24" s="619"/>
      <c r="I24" s="298">
        <f xml:space="preserve"> IFERROR(VLOOKUP(F24, V123:Z131, 5, FALSE), 0)</f>
        <v>0</v>
      </c>
      <c r="J24" s="362"/>
      <c r="K24" s="722" t="str">
        <f ca="1" xml:space="preserve"> update_trigger &amp; basis!B9 &amp; ":       " &amp; TEXT(basis!C22 * IFERROR((1 - K28 / 100), 1), fmt_dec_2)</f>
        <v>Fe₂O₃:       44.13</v>
      </c>
      <c r="L24" s="723"/>
      <c r="M24" s="724">
        <f xml:space="preserve"> SUM(AD124:AE124)</f>
        <v>30.865647555674123</v>
      </c>
      <c r="N24" s="15"/>
      <c r="U24" s="350"/>
      <c r="V24" s="350"/>
      <c r="W24" s="261" t="s">
        <v>460</v>
      </c>
      <c r="X24" s="368" t="str">
        <f ca="1" xml:space="preserve"> fmt_dec_1 &amp; "%"</f>
        <v>#,##0.0%</v>
      </c>
      <c r="Y24" s="350"/>
      <c r="Z24" s="350"/>
      <c r="AD24" s="571" t="s">
        <v>526</v>
      </c>
      <c r="AE24" s="366"/>
      <c r="AF24" s="632" t="s">
        <v>551</v>
      </c>
    </row>
    <row r="25" spans="1:34" ht="15" customHeight="1">
      <c r="A25" s="362"/>
      <c r="B25" s="709" t="str">
        <f ca="1" xml:space="preserve"> IF(F25 &lt;&gt; "", "‼", "")</f>
        <v>‼</v>
      </c>
      <c r="C25" s="335" t="s">
        <v>340</v>
      </c>
      <c r="D25" s="706" t="s">
        <v>575</v>
      </c>
      <c r="E25" s="375"/>
      <c r="F25" s="707" t="str">
        <f ca="1" xml:space="preserve"> IFERROR("RIIC ratio: " &amp; IF(I25 &lt; M25, "1 : " &amp; TEXT(M25 / I25, fmt_dec_2), TEXT(I25 / M25, fmt_dec_2) &amp; " : 1") &amp; " ","")</f>
        <v xml:space="preserve">RIIC ratio: 1 : 1.92 </v>
      </c>
      <c r="G25" s="376"/>
      <c r="H25" s="620"/>
      <c r="I25" s="545">
        <f xml:space="preserve"> AC133</f>
        <v>33.000990099293496</v>
      </c>
      <c r="J25" s="353"/>
      <c r="K25" s="725" t="str">
        <f xml:space="preserve"> IF(AE121 = 0, "", AE121)</f>
        <v/>
      </c>
      <c r="L25" s="725"/>
      <c r="M25" s="726">
        <f xml:space="preserve"> AE133</f>
        <v>63.372536053594629</v>
      </c>
      <c r="N25" s="17"/>
      <c r="O25" s="34"/>
      <c r="P25" s="362"/>
      <c r="Q25" s="362"/>
      <c r="R25" s="362"/>
      <c r="S25" s="362"/>
      <c r="T25" s="362"/>
      <c r="W25" s="261" t="s">
        <v>461</v>
      </c>
      <c r="X25" s="368" t="str">
        <f ca="1" xml:space="preserve"> fmt_dec_2 &amp; "%"</f>
        <v>#,##0.00%</v>
      </c>
    </row>
    <row r="26" spans="1:34" ht="15" hidden="1" customHeight="1" outlineLevel="1">
      <c r="A26" s="362"/>
      <c r="B26" s="362"/>
      <c r="C26" s="760" t="s">
        <v>510</v>
      </c>
      <c r="D26" s="760"/>
      <c r="E26" s="760"/>
      <c r="F26" s="760"/>
      <c r="G26" s="760"/>
      <c r="H26" s="760"/>
      <c r="I26" s="760"/>
      <c r="J26" s="362"/>
      <c r="K26" s="333"/>
      <c r="L26" s="635" t="s">
        <v>474</v>
      </c>
      <c r="M26" s="537" t="str">
        <f xml:space="preserve"> "B : C = " &amp; ROUND(AI123 * 100, 0) &amp; " : " &amp; 100 - ROUND(AI123 * 100, 0)</f>
        <v>B : C = 50 : 50</v>
      </c>
      <c r="N26" s="14"/>
      <c r="O26" s="362"/>
      <c r="P26" s="362"/>
      <c r="Q26" s="362"/>
      <c r="R26" s="362"/>
      <c r="S26" s="362"/>
      <c r="T26" s="362"/>
    </row>
    <row r="27" spans="1:34" ht="15" hidden="1" customHeight="1" outlineLevel="1">
      <c r="A27" s="377"/>
      <c r="B27" s="362"/>
      <c r="C27" s="761" t="s">
        <v>547</v>
      </c>
      <c r="D27" s="761"/>
      <c r="E27" s="761"/>
      <c r="F27" s="761"/>
      <c r="G27" s="761"/>
      <c r="H27" s="761"/>
      <c r="I27" s="761"/>
      <c r="J27" s="362"/>
      <c r="K27" s="337"/>
      <c r="L27" s="636" t="s">
        <v>474</v>
      </c>
      <c r="M27" s="538" t="str">
        <f xml:space="preserve"> IF(AI124 = 1, "No overdose", IF(AI124 &gt; 1, "+", "") &amp; TEXT(AI124 - 1, fmt_pct_2))</f>
        <v>No overdose</v>
      </c>
      <c r="N27" s="362"/>
      <c r="O27" s="14"/>
      <c r="P27" s="362"/>
      <c r="Q27" s="362"/>
      <c r="R27" s="362"/>
      <c r="S27" s="362"/>
      <c r="T27" s="362"/>
      <c r="AH27" s="354"/>
    </row>
    <row r="28" spans="1:34" ht="15" hidden="1" customHeight="1" outlineLevel="1">
      <c r="B28" s="362"/>
      <c r="C28" s="760" t="s">
        <v>548</v>
      </c>
      <c r="D28" s="760"/>
      <c r="E28" s="760"/>
      <c r="F28" s="760"/>
      <c r="G28" s="760"/>
      <c r="H28" s="760"/>
      <c r="I28" s="760"/>
      <c r="J28" s="353"/>
      <c r="K28" s="527"/>
      <c r="L28" s="635" t="s">
        <v>474</v>
      </c>
      <c r="M28" s="538" t="str">
        <f xml:space="preserve"> IF(ISNUMBER(K28), IF(AND(K28 &gt;= 0, K28 &lt;= 100), "H₂S-RR x " &amp; TEXT((100 - K28) / 100, fmt_pct_0), "0 ≤ Zeo ≤ 100"), "0%")</f>
        <v>0%</v>
      </c>
      <c r="N28" s="17"/>
      <c r="O28" s="34"/>
      <c r="P28" s="362"/>
      <c r="R28" s="378"/>
      <c r="S28" s="378"/>
      <c r="T28" s="362"/>
    </row>
    <row r="29" spans="1:34" ht="15" hidden="1" customHeight="1" outlineLevel="1">
      <c r="A29" s="362"/>
      <c r="B29" s="362"/>
      <c r="C29" s="549" t="s">
        <v>123</v>
      </c>
      <c r="D29" s="550" t="str">
        <f xml:space="preserve"> IF(AJ133 &gt; 0, "With 100 kg of the additives the following masses can theoretically be reduced / precipitated", "Please enter the content of the iron compound(s) in your additive.")</f>
        <v>With 100 kg of the additives the following masses can theoretically be reduced / precipitated</v>
      </c>
      <c r="E29" s="550"/>
      <c r="F29" s="550"/>
      <c r="G29" s="551"/>
      <c r="H29" s="551"/>
      <c r="I29" s="551"/>
      <c r="J29" s="362"/>
      <c r="K29" s="727"/>
      <c r="L29" s="762" t="str">
        <f ca="1" xml:space="preserve"> IF(OR(AJ133 = 0, AM133 = 0), "", "Ratio H₂S-RR" &amp; CHAR(10) &amp; "Factor " &amp; AR121 &amp; CHAR(10) &amp; $AB$117 &amp; ": " &amp; IF(AQ121 &gt; 1, "+", "") &amp; TEXT(AQ121 - 1, fmt_pct_2))</f>
        <v>Ratio H₂S-RR
Factor 1 : 1.723
SBGx: +72.33%</v>
      </c>
      <c r="M29" s="763"/>
      <c r="N29" s="14"/>
      <c r="O29" s="362"/>
      <c r="P29" s="362"/>
      <c r="Q29" s="362"/>
      <c r="R29" s="362"/>
      <c r="S29" s="362"/>
      <c r="T29" s="362"/>
    </row>
    <row r="30" spans="1:34" ht="15" hidden="1" customHeight="1" outlineLevel="1">
      <c r="A30" s="362"/>
      <c r="B30" s="362"/>
      <c r="C30" s="552" t="str">
        <f xml:space="preserve"> IF(AJ133 &gt; 0, "• Hydrogen sulphide (H₂S) reduction [kg], up to", "• Hydrogen sulphide (H₂S) reduction [kg] per 100 kg of SBGx, up to")</f>
        <v>• Hydrogen sulphide (H₂S) reduction [kg], up to</v>
      </c>
      <c r="D30" s="381"/>
      <c r="E30" s="381"/>
      <c r="F30" s="381"/>
      <c r="G30" s="531">
        <f xml:space="preserve"> IF(AJ133 &gt; 0, AJ133 * 100, "")</f>
        <v>25.174002654309302</v>
      </c>
      <c r="H30" s="615"/>
      <c r="I30" s="613"/>
      <c r="J30" s="362"/>
      <c r="K30" s="728">
        <f xml:space="preserve"> AM133 * 100</f>
        <v>43.382779942355597</v>
      </c>
      <c r="L30" s="764"/>
      <c r="M30" s="765"/>
      <c r="N30" s="362"/>
      <c r="O30" s="362"/>
      <c r="P30" s="362"/>
      <c r="Q30" s="362"/>
      <c r="R30" s="362"/>
      <c r="S30" s="362"/>
      <c r="T30" s="362"/>
    </row>
    <row r="31" spans="1:34" ht="15" hidden="1" customHeight="1" outlineLevel="1">
      <c r="A31" s="362"/>
      <c r="B31" s="362"/>
      <c r="C31" s="553" t="str">
        <f xml:space="preserve"> IF(AJ133 &gt; 0, "• Resulting in sulphur precipitation [kg], up to", "• Resulting in sulphur precipitation [kg] per 100 kg of SBGx, up to")</f>
        <v>• Resulting in sulphur precipitation [kg], up to</v>
      </c>
      <c r="D31" s="414"/>
      <c r="E31" s="414"/>
      <c r="F31" s="414"/>
      <c r="G31" s="554">
        <f xml:space="preserve"> IF(AJ133 &gt; 0, AJ134 * 100, "")</f>
        <v>23.685574973897527</v>
      </c>
      <c r="H31" s="616"/>
      <c r="I31" s="614"/>
      <c r="J31" s="362"/>
      <c r="K31" s="729">
        <f xml:space="preserve"> AM134 * 100</f>
        <v>40.817747618885925</v>
      </c>
      <c r="L31" s="766"/>
      <c r="M31" s="767"/>
      <c r="N31" s="362"/>
      <c r="O31" s="602" t="s">
        <v>545</v>
      </c>
      <c r="P31" s="362"/>
      <c r="Q31" s="362"/>
      <c r="R31" s="362"/>
      <c r="S31" s="362"/>
      <c r="T31" s="362"/>
    </row>
    <row r="32" spans="1:34" ht="15" customHeight="1" collapsed="1">
      <c r="A32" s="362"/>
      <c r="B32" s="362"/>
      <c r="C32" s="362"/>
      <c r="D32" s="362"/>
      <c r="E32" s="362"/>
      <c r="F32" s="362"/>
      <c r="G32" s="362"/>
      <c r="H32" s="362"/>
      <c r="I32" s="362"/>
      <c r="J32" s="362"/>
      <c r="K32" s="362"/>
      <c r="L32" s="362"/>
      <c r="M32" s="14"/>
      <c r="N32" s="362"/>
      <c r="O32" s="705"/>
      <c r="P32" s="362"/>
      <c r="Q32" s="362"/>
      <c r="R32" s="362"/>
      <c r="S32" s="362"/>
      <c r="T32" s="362"/>
    </row>
    <row r="33" spans="1:35" ht="15" customHeight="1">
      <c r="B33" s="8" t="s">
        <v>47</v>
      </c>
      <c r="C33" s="8" t="str">
        <f xml:space="preserve"> "Comparison of the daily additive dosage and costs of " &amp; G21 &amp; " and " &amp; AB118</f>
        <v>Comparison of the daily additive dosage and costs of Your_Additive and SBGx by SwissBiogas.com</v>
      </c>
      <c r="D33" s="362"/>
      <c r="E33" s="362"/>
      <c r="F33" s="362"/>
      <c r="G33" s="362"/>
      <c r="H33" s="362"/>
      <c r="I33" s="382"/>
      <c r="J33" s="362"/>
      <c r="K33" s="362"/>
      <c r="L33" s="362"/>
      <c r="M33" s="354"/>
      <c r="N33" s="362"/>
      <c r="O33" s="362"/>
      <c r="P33" s="362"/>
      <c r="Q33" s="362"/>
      <c r="R33" s="378"/>
      <c r="S33" s="378"/>
      <c r="T33" s="362"/>
    </row>
    <row r="34" spans="1:35" ht="15" customHeight="1" outlineLevel="1">
      <c r="B34" s="8"/>
      <c r="C34" s="572" t="str">
        <f xml:space="preserve"> C17</f>
        <v>Explanation:</v>
      </c>
      <c r="D34" s="768" t="str">
        <f xml:space="preserve"> IF(M14 = text_translations!C8, text_translations!D156, IF(M14 = text_translations!C9, text_translations!D171, IF(M14 = text_translations!C10, text_translations!D186, IF(M14 = text_translations!C11, text_translations!D201, IF(M14 = text_translations!C12, text_translations!D216, text_translations!D156)))))</f>
        <v>In this section, your additive is compared with SBGx. This requires the daily additive dosage used. If your additive is liquid and the dosage is volume-based (e.g. litre or gallon), then the density of the additive is also needed.
The second comparison relates to the daily additive costs. For this you need to enter the prices for your additive and for SBGx.</v>
      </c>
      <c r="E34" s="768"/>
      <c r="F34" s="768"/>
      <c r="G34" s="768"/>
      <c r="H34" s="768"/>
      <c r="I34" s="768"/>
      <c r="J34" s="768"/>
      <c r="K34" s="768"/>
      <c r="L34" s="768"/>
      <c r="M34" s="768"/>
      <c r="N34" s="768"/>
      <c r="O34" s="768"/>
      <c r="P34" s="290"/>
    </row>
    <row r="35" spans="1:35" ht="15" customHeight="1" outlineLevel="1">
      <c r="B35" s="8"/>
      <c r="C35" s="363"/>
      <c r="D35" s="768"/>
      <c r="E35" s="768"/>
      <c r="F35" s="768"/>
      <c r="G35" s="768"/>
      <c r="H35" s="768"/>
      <c r="I35" s="768"/>
      <c r="J35" s="768"/>
      <c r="K35" s="768"/>
      <c r="L35" s="768"/>
      <c r="M35" s="768"/>
      <c r="N35" s="768"/>
      <c r="O35" s="768"/>
      <c r="P35" s="290"/>
      <c r="U35" s="26"/>
      <c r="V35" s="26"/>
      <c r="W35" s="26"/>
      <c r="X35" s="26"/>
      <c r="Y35" s="26"/>
      <c r="Z35" s="26"/>
      <c r="AA35" s="26"/>
      <c r="AB35" s="26"/>
      <c r="AC35" s="26"/>
      <c r="AD35" s="26"/>
      <c r="AE35" s="26"/>
      <c r="AF35" s="26"/>
      <c r="AG35" s="26"/>
      <c r="AH35" s="26"/>
      <c r="AI35" s="26"/>
    </row>
    <row r="36" spans="1:35" ht="15" customHeight="1" outlineLevel="1">
      <c r="B36" s="8"/>
      <c r="C36" s="364"/>
      <c r="D36" s="768"/>
      <c r="E36" s="768"/>
      <c r="F36" s="768"/>
      <c r="G36" s="768"/>
      <c r="H36" s="768"/>
      <c r="I36" s="768"/>
      <c r="J36" s="768"/>
      <c r="K36" s="768"/>
      <c r="L36" s="768"/>
      <c r="M36" s="768"/>
      <c r="N36" s="768"/>
      <c r="O36" s="768"/>
      <c r="P36" s="290"/>
    </row>
    <row r="37" spans="1:35" ht="15" customHeight="1" outlineLevel="1">
      <c r="B37" s="8"/>
      <c r="C37" s="364"/>
      <c r="D37" s="768"/>
      <c r="E37" s="768"/>
      <c r="F37" s="768"/>
      <c r="G37" s="768"/>
      <c r="H37" s="768"/>
      <c r="I37" s="768"/>
      <c r="J37" s="768"/>
      <c r="K37" s="768"/>
      <c r="L37" s="768"/>
      <c r="M37" s="768"/>
      <c r="N37" s="768"/>
      <c r="O37" s="768"/>
      <c r="P37" s="290"/>
    </row>
    <row r="38" spans="1:35" ht="15" customHeight="1">
      <c r="B38" s="8"/>
      <c r="C38" s="362"/>
      <c r="D38" s="362"/>
      <c r="E38" s="362"/>
      <c r="F38" s="362"/>
      <c r="G38" s="20" t="str">
        <f xml:space="preserve"> G21</f>
        <v>Your_Additive</v>
      </c>
      <c r="H38" s="20"/>
      <c r="I38" s="19"/>
      <c r="J38" s="362"/>
      <c r="K38" s="714" t="str">
        <f xml:space="preserve"> AB118</f>
        <v>SBGx by SwissBiogas.com</v>
      </c>
      <c r="L38" s="715"/>
      <c r="M38" s="716"/>
      <c r="O38" s="350" t="str">
        <f xml:space="preserve"> IF(AI124 = 1, "", "* Notice: α is set for SBGx to " &amp; AI124 &amp; " (" &amp; M27 &amp; ") *")</f>
        <v/>
      </c>
      <c r="P38" s="362"/>
      <c r="Q38" s="383"/>
      <c r="R38" s="378"/>
      <c r="S38" s="378"/>
      <c r="T38" s="362"/>
      <c r="U38" s="365" t="str">
        <f xml:space="preserve"> "Equivalent pricing in " &amp; F39</f>
        <v>Equivalent pricing in Metric ton (Tonne) [/t]</v>
      </c>
    </row>
    <row r="39" spans="1:35" ht="15" customHeight="1">
      <c r="B39" s="362"/>
      <c r="C39" s="769" t="s">
        <v>514</v>
      </c>
      <c r="D39" s="751"/>
      <c r="E39" s="634" t="s">
        <v>552</v>
      </c>
      <c r="F39" s="712" t="s">
        <v>92</v>
      </c>
      <c r="G39" s="626">
        <v>520.000001</v>
      </c>
      <c r="H39" s="628" t="str">
        <f xml:space="preserve"> IF(AND(U12, U39 &gt; 0.000001), "&lt;" &amp; TEXT(U39, fmt_dec_5) &amp; "&gt;", "")</f>
        <v/>
      </c>
      <c r="I39" s="534" t="str">
        <f xml:space="preserve"> IF(AI146, "↓ Density mismatch ↔ " &amp; AK157, IF(AND(AL157 &lt;&gt; 0, AI144 = 0), "↓ Enter a value for density", ""))</f>
        <v/>
      </c>
      <c r="J39" s="362"/>
      <c r="K39" s="730"/>
      <c r="L39" s="716"/>
      <c r="M39" s="733"/>
      <c r="P39" s="362"/>
      <c r="Q39" s="362"/>
      <c r="R39" s="378"/>
      <c r="S39" s="378"/>
      <c r="T39" s="362"/>
      <c r="U39" s="430">
        <f xml:space="preserve"> AM160</f>
        <v>443.91143411390203</v>
      </c>
    </row>
    <row r="40" spans="1:35" ht="15" customHeight="1">
      <c r="B40" s="362"/>
      <c r="C40" s="289" t="str">
        <f xml:space="preserve">
IF(AND(ISBLANK(F43), ISBLANK(F39)),
    "Density",
    IF(NOT(AK157 = 0),
        "Density " &amp; AK157,
        IF(NOT(AL157 = 0),
            "Density " &amp; AL157,
            "Density"
        )
    )
)</f>
        <v>Density</v>
      </c>
      <c r="D40" s="358"/>
      <c r="E40" s="336"/>
      <c r="F40" s="358"/>
      <c r="G40" s="625"/>
      <c r="H40" s="629"/>
      <c r="I40" s="534" t="str">
        <f xml:space="preserve"> IF(AI146, "← " &amp; AK157 &amp; " ↔ " &amp; AL157, IF(AND(OR(AL157 &lt;&gt; 0, AK157 &lt;&gt; 0), AI144 = 0), "← ?.??", ""))</f>
        <v/>
      </c>
      <c r="J40" s="362"/>
      <c r="K40" s="715"/>
      <c r="L40" s="730"/>
      <c r="M40" s="753" t="str">
        <f ca="1" xml:space="preserve"> IF(OR(AJ133 = 0, AM133 = 0, AJ160 = 0, AJ161 = 0), "", "Ratio costs" &amp; CHAR(10) &amp; "Factor " &amp; AR125 &amp; CHAR(10) &amp; $AB$117 &amp; ": " &amp; IF(AQ125 &gt; 1, "+", "") &amp; TEXT(AQ125 - 1, fmt_pct_2))</f>
        <v>Ratio costs
Factor 1.171 : 1
SBGx: -14.63%</v>
      </c>
      <c r="N40" s="362"/>
      <c r="O40" s="266"/>
      <c r="P40" s="362"/>
      <c r="Q40" s="362"/>
      <c r="R40" s="378"/>
      <c r="S40" s="378"/>
      <c r="T40" s="362"/>
    </row>
    <row r="41" spans="1:35" ht="15" customHeight="1">
      <c r="B41" s="362"/>
      <c r="C41" s="562" t="s">
        <v>522</v>
      </c>
      <c r="D41" s="358"/>
      <c r="E41" s="358"/>
      <c r="F41" s="358"/>
      <c r="G41" s="609">
        <f xml:space="preserve"> IF(AJ160 &gt; 0, AJ160, IF(AND(U12, AL160 &gt; 0.0000001), "Equivalent pricing: &lt;" &amp; TEXT(AL160, fmt_dec_2) &amp; "&gt;", 0))</f>
        <v>520.000001</v>
      </c>
      <c r="H41" s="627"/>
      <c r="I41" s="747" t="str">
        <f ca="1" xml:space="preserve"> IF(I42 = "", "", "Reduction")</f>
        <v>Reduction</v>
      </c>
      <c r="J41" s="362"/>
      <c r="K41" s="385">
        <v>765.000001</v>
      </c>
      <c r="L41" s="606" t="str">
        <f xml:space="preserve"> IF(AND(U12, AL161 &gt; 0), "Equivalent pricing: &lt;" &amp; TEXT(AL161, fmt_dec_2) &amp; "&gt;", "")</f>
        <v/>
      </c>
      <c r="M41" s="753"/>
      <c r="N41" s="362"/>
      <c r="O41" s="338" t="s">
        <v>544</v>
      </c>
      <c r="P41" s="362"/>
      <c r="Q41" s="362"/>
      <c r="R41" s="378"/>
      <c r="S41" s="378"/>
      <c r="T41" s="362"/>
      <c r="U41" s="350"/>
    </row>
    <row r="42" spans="1:35" ht="15" customHeight="1">
      <c r="B42" s="709" t="str">
        <f xml:space="preserve"> IF(AND($G$42, $K$42, $G$42 &gt; $K$42), "‼", "")</f>
        <v>‼</v>
      </c>
      <c r="C42" s="547" t="s">
        <v>577</v>
      </c>
      <c r="D42" s="699"/>
      <c r="E42" s="535"/>
      <c r="F42" s="708"/>
      <c r="G42" s="610">
        <f xml:space="preserve"> IFERROR(AJ160 / (AJ133 * I230 / I233), 0)</f>
        <v>1260.5682421901211</v>
      </c>
      <c r="H42" s="698"/>
      <c r="I42" s="710" t="str">
        <f ca="1" xml:space="preserve"> IF(AND($G$42, $K$42), IF($G$42 &gt; $K$42, "→ " &amp; TEXT(K42 / G42 - 1, fmt_pct_1) &amp; " →", "← " &amp; TEXT(G42 / K42 - 1, fmt_pct_1) &amp; " ←"), "")</f>
        <v>→ -14.6% →</v>
      </c>
      <c r="J42" s="362"/>
      <c r="K42" s="731">
        <f xml:space="preserve"> IFERROR(K41 / (AM133 * I230 / I233), 0)</f>
        <v>1076.1166442055458</v>
      </c>
      <c r="L42" s="744"/>
      <c r="M42" s="754"/>
      <c r="N42" s="8"/>
      <c r="O42" s="338" t="s">
        <v>576</v>
      </c>
      <c r="P42" s="362"/>
      <c r="Q42" s="362"/>
      <c r="R42" s="378"/>
      <c r="S42" s="378"/>
      <c r="T42" s="362"/>
      <c r="U42" s="350"/>
    </row>
    <row r="43" spans="1:35" ht="15" customHeight="1">
      <c r="B43" s="362"/>
      <c r="C43" s="750" t="s">
        <v>467</v>
      </c>
      <c r="D43" s="751"/>
      <c r="E43" s="634" t="s">
        <v>552</v>
      </c>
      <c r="F43" s="582" t="s">
        <v>83</v>
      </c>
      <c r="G43" s="385">
        <v>920.000001</v>
      </c>
      <c r="H43" s="397"/>
      <c r="I43" s="701" t="str">
        <f xml:space="preserve"> IF(AI146, "↑ Density mismatch ↔ " &amp; AK157, IF(AND(AK157 &lt;&gt; 0, AI144 = 0), "↑ Enter a value for density", ""))</f>
        <v/>
      </c>
      <c r="J43" s="362"/>
      <c r="K43" s="715"/>
      <c r="L43" s="715"/>
      <c r="M43" s="752" t="str">
        <f ca="1" xml:space="preserve"> IF(OR(AJ133 = 0, AM133 = 0), "", "Ratio dosage" &amp; CHAR(10) &amp; M63)</f>
        <v>Ratio dosage
Factor 1.723 : 1
SBGx: -41.97%</v>
      </c>
      <c r="N43" s="362"/>
      <c r="O43" s="14"/>
      <c r="P43" s="362"/>
      <c r="Q43" s="362"/>
      <c r="R43" s="378"/>
      <c r="S43" s="378"/>
      <c r="T43" s="362"/>
    </row>
    <row r="44" spans="1:35" ht="15" customHeight="1" outlineLevel="1">
      <c r="B44" s="362"/>
      <c r="C44" s="695" t="s">
        <v>520</v>
      </c>
      <c r="D44" s="696" t="str">
        <f xml:space="preserve"> "Comparison of the daily additive dosages " &amp; IF(SI_unit, I221, I222)</f>
        <v>Comparison of the daily additive dosages [kg/day]</v>
      </c>
      <c r="E44" s="697"/>
      <c r="F44" s="697"/>
      <c r="G44" s="702">
        <f xml:space="preserve"> IF(SI_unit, AI157, AI157 * fact_kg2lb)</f>
        <v>920.000001</v>
      </c>
      <c r="H44" s="703"/>
      <c r="I44" s="613"/>
      <c r="J44" s="362"/>
      <c r="K44" s="732">
        <f xml:space="preserve"> IF(SI_unit, AI158, AI158 * fact_kg2lb)</f>
        <v>533.85427346777385</v>
      </c>
      <c r="L44" s="742"/>
      <c r="M44" s="753"/>
      <c r="P44" s="362"/>
      <c r="Q44" s="362"/>
      <c r="R44" s="378"/>
      <c r="S44" s="378"/>
      <c r="T44" s="362"/>
    </row>
    <row r="45" spans="1:35" ht="15" customHeight="1" outlineLevel="1">
      <c r="B45" s="362"/>
      <c r="C45" s="547" t="s">
        <v>521</v>
      </c>
      <c r="D45" s="546" t="s">
        <v>311</v>
      </c>
      <c r="E45" s="535"/>
      <c r="F45" s="535"/>
      <c r="G45" s="610">
        <f xml:space="preserve"> AJ162</f>
        <v>478.40000144000004</v>
      </c>
      <c r="H45" s="610"/>
      <c r="I45" s="704"/>
      <c r="J45" s="362"/>
      <c r="K45" s="731">
        <f xml:space="preserve"> AJ163</f>
        <v>408.39851973670125</v>
      </c>
      <c r="L45" s="743"/>
      <c r="M45" s="754"/>
      <c r="N45" s="362"/>
      <c r="O45" s="700" t="s">
        <v>574</v>
      </c>
      <c r="P45" s="362"/>
      <c r="Q45" s="362"/>
      <c r="R45" s="378"/>
      <c r="S45" s="378"/>
      <c r="T45" s="362"/>
    </row>
    <row r="46" spans="1:35" ht="15" customHeight="1">
      <c r="A46" s="362"/>
      <c r="B46" s="362"/>
      <c r="C46" s="549" t="s">
        <v>123</v>
      </c>
      <c r="D46" s="575" t="str">
        <f ca="1" xml:space="preserve">
IF(AQ125 &gt; 0,
    IF(AQ125 &gt; 1,
        "No cost reduction, unfortunately. Please contact us, if still interested.",
        IF(AI157 &gt; 0,
            "Possible " &amp; AP145 &amp; " additive cost reduction by " &amp; TEXT((1 - AQ125) * G45 * AQ145, fmt_dec_0) &amp; X16 &amp; "-- (" &amp; TEXT(1 - AQ125, fmt_pct_2) &amp; ")",
            "Possible additive cost reduction by " &amp; TEXT(1 - AQ125, fmt_pct_2) &amp; " - Daily dosage pending. "
        )
    ),
    IF(AQ123 &gt; 0,
        IF(AQ123 &gt; 1,
            "No dosage reduction, unfortunately. A cost comparison would still be interesting.",
            IF(AI157 &gt; 0,
                "Possible " &amp; AP145 &amp; " additive dosage reduction by " &amp; TEXT((1 - AQ123) * AI157 * AQ145 * IF(SI_unit, 1, fact_kg2lb), fmt_dec_0) &amp; IF(SI_unit, " kg (", " lb (") &amp; TEXT(1 - AQ123, fmt_pct_2)  &amp; ")" &amp; " - Prices pending.",
                "Possible additive dosage reduction by " &amp; TEXT(1 - AQ123, fmt_pct_2) &amp; " - Daily dosage and prices pending."
            )
        ),
        "Please enter the content of the iron compound(s) in your additive."
    )
)</f>
        <v>Possible yearly additive cost reduction by 25,551.-- (14.63%)</v>
      </c>
      <c r="E46" s="576"/>
      <c r="F46" s="576"/>
      <c r="G46" s="576"/>
      <c r="H46" s="576"/>
      <c r="I46" s="576"/>
      <c r="J46" s="8"/>
      <c r="K46" s="550" t="s">
        <v>369</v>
      </c>
      <c r="L46" s="587" t="s">
        <v>447</v>
      </c>
      <c r="M46" s="584"/>
      <c r="N46" s="362"/>
      <c r="P46" s="362"/>
      <c r="Q46" s="362"/>
      <c r="R46" s="362"/>
      <c r="S46" s="362"/>
      <c r="T46" s="362"/>
    </row>
    <row r="47" spans="1:35" ht="15" hidden="1" customHeight="1" outlineLevel="1">
      <c r="A47" s="362"/>
      <c r="B47" s="362"/>
      <c r="C47" s="598" t="str">
        <f ca="1" xml:space="preserve"> IF(OR(AQ123 = 0, AQ123 &gt; 1), "Unfortunately, no storage space can be saved.", "Additionally, increased storage space utilisation: " &amp; IF(is_liquid, "Even with reduced ", "With the same ") &amp; "storage space, SBGx lasts up to " &amp; TEXT(AQ121 * IF(is_liquid, 1, 1), fmt_dec_2) &amp; " times longer. (+" &amp; TEXT(AQ121 * IF(is_liquid, 1, 1) - 1, fmt_pct_1) &amp; ")")</f>
        <v>Additionally, increased storage space utilisation: With the same storage space, SBGx lasts up to 1.72 times longer. (+72.3%)</v>
      </c>
      <c r="D47" s="599"/>
      <c r="E47" s="599"/>
      <c r="F47" s="599"/>
      <c r="G47" s="599"/>
      <c r="H47" s="599"/>
      <c r="I47" s="599"/>
      <c r="J47" s="597"/>
      <c r="K47" s="599"/>
      <c r="L47" s="599"/>
      <c r="M47" s="600"/>
      <c r="N47" s="362"/>
      <c r="O47" s="601" t="s">
        <v>546</v>
      </c>
      <c r="P47" s="362"/>
      <c r="Q47" s="362"/>
      <c r="R47" s="362"/>
      <c r="S47" s="362"/>
      <c r="T47" s="362"/>
    </row>
    <row r="48" spans="1:35" ht="15" customHeight="1" collapsed="1">
      <c r="A48" s="532"/>
      <c r="B48" s="603"/>
      <c r="C48" s="604"/>
      <c r="D48" s="604"/>
      <c r="E48" s="604"/>
      <c r="F48" s="604"/>
      <c r="G48" s="604"/>
      <c r="H48" s="604"/>
      <c r="I48" s="604"/>
      <c r="J48" s="603"/>
      <c r="K48" s="604"/>
      <c r="L48" s="604"/>
      <c r="M48" s="604"/>
      <c r="N48" s="603"/>
      <c r="O48" s="603"/>
      <c r="P48" s="605"/>
      <c r="Q48" s="603"/>
      <c r="R48" s="603"/>
      <c r="S48" s="603"/>
      <c r="T48" s="603"/>
    </row>
    <row r="49" spans="1:26" s="26" customFormat="1" ht="15" customHeight="1">
      <c r="A49" s="370"/>
      <c r="B49" s="25" t="s">
        <v>46</v>
      </c>
      <c r="C49" s="25" t="s">
        <v>308</v>
      </c>
      <c r="D49" s="354"/>
      <c r="E49" s="354"/>
      <c r="F49" s="354"/>
      <c r="G49" s="354"/>
      <c r="H49" s="354"/>
      <c r="I49" s="354"/>
      <c r="J49" s="354"/>
      <c r="K49" s="354"/>
      <c r="L49" s="354"/>
      <c r="M49" s="360"/>
      <c r="N49" s="354"/>
      <c r="O49" s="354"/>
      <c r="P49" s="354"/>
      <c r="Q49" s="354"/>
      <c r="R49" s="354"/>
      <c r="S49" s="354"/>
      <c r="T49" s="354"/>
    </row>
    <row r="50" spans="1:26" s="26" customFormat="1" ht="15" customHeight="1" outlineLevel="1">
      <c r="A50" s="370"/>
      <c r="B50" s="25"/>
      <c r="C50" s="572" t="str">
        <f xml:space="preserve"> C17</f>
        <v>Explanation:</v>
      </c>
      <c r="D50" s="759" t="str">
        <f xml:space="preserve"> IF(M14 = text_translations!C8, text_translations!D281, IF(M14 = text_translations!C9, text_translations!D297, IF(M14 = text_translations!C10, text_translations!D313, IF(M14 = text_translations!C11, text_translations!D329, IF(M14 = text_translations!C12, text_translations!D345, text_translations!D281)))))</f>
        <v>In this section, the daily required additive dosage is calculated. To achieve a well-usable result, it is already sufficient to enter the daily produced biogas volume and its H₂S content.
The highest accuracy is achieved if the daily newly introduced substrate volume, the total sulphide content or instead the pH value and the temperature of the reactor liquid are also entered.</v>
      </c>
      <c r="E50" s="759"/>
      <c r="F50" s="759"/>
      <c r="G50" s="759"/>
      <c r="H50" s="759"/>
      <c r="I50" s="759"/>
      <c r="J50" s="759"/>
      <c r="K50" s="759"/>
      <c r="L50" s="759"/>
      <c r="M50" s="759"/>
      <c r="N50" s="759"/>
      <c r="O50" s="759"/>
      <c r="P50" s="386"/>
    </row>
    <row r="51" spans="1:26" s="26" customFormat="1" ht="15" customHeight="1" outlineLevel="1">
      <c r="A51" s="370"/>
      <c r="B51" s="25"/>
      <c r="C51" s="311"/>
      <c r="D51" s="759"/>
      <c r="E51" s="759"/>
      <c r="F51" s="759"/>
      <c r="G51" s="759"/>
      <c r="H51" s="759"/>
      <c r="I51" s="759"/>
      <c r="J51" s="759"/>
      <c r="K51" s="759"/>
      <c r="L51" s="759"/>
      <c r="M51" s="759"/>
      <c r="N51" s="759"/>
      <c r="O51" s="759"/>
      <c r="P51" s="386"/>
    </row>
    <row r="52" spans="1:26" s="26" customFormat="1" ht="15" customHeight="1" outlineLevel="1">
      <c r="A52" s="370"/>
      <c r="B52" s="25"/>
      <c r="C52" s="306"/>
      <c r="D52" s="759"/>
      <c r="E52" s="759"/>
      <c r="F52" s="759"/>
      <c r="G52" s="759"/>
      <c r="H52" s="759"/>
      <c r="I52" s="759"/>
      <c r="J52" s="759"/>
      <c r="K52" s="759"/>
      <c r="L52" s="759"/>
      <c r="M52" s="759"/>
      <c r="N52" s="759"/>
      <c r="O52" s="759"/>
      <c r="P52" s="386"/>
    </row>
    <row r="53" spans="1:26" s="26" customFormat="1" ht="15" customHeight="1" outlineLevel="1">
      <c r="A53" s="370"/>
      <c r="B53" s="25"/>
      <c r="C53" s="306"/>
      <c r="D53" s="759"/>
      <c r="E53" s="759"/>
      <c r="F53" s="759"/>
      <c r="G53" s="759"/>
      <c r="H53" s="759"/>
      <c r="I53" s="759"/>
      <c r="J53" s="759"/>
      <c r="K53" s="759"/>
      <c r="L53" s="759"/>
      <c r="M53" s="759"/>
      <c r="N53" s="759"/>
      <c r="O53" s="759"/>
      <c r="P53" s="386"/>
    </row>
    <row r="54" spans="1:26" s="26" customFormat="1" ht="15" customHeight="1">
      <c r="A54" s="370"/>
      <c r="B54" s="25"/>
      <c r="C54" s="25"/>
      <c r="D54" s="568"/>
      <c r="E54" s="568"/>
      <c r="F54" s="568"/>
      <c r="G54" s="568"/>
      <c r="H54" s="568"/>
      <c r="I54" s="568"/>
      <c r="J54" s="568"/>
      <c r="K54" s="568"/>
      <c r="L54" s="568"/>
      <c r="M54" s="568"/>
      <c r="N54" s="568"/>
      <c r="O54" s="568"/>
      <c r="P54" s="386"/>
      <c r="Q54" s="354"/>
      <c r="R54" s="354"/>
      <c r="S54" s="354"/>
      <c r="T54" s="354"/>
    </row>
    <row r="55" spans="1:26" s="26" customFormat="1" ht="15" customHeight="1">
      <c r="A55" s="370"/>
      <c r="B55" s="350"/>
      <c r="C55" s="31" t="s">
        <v>581</v>
      </c>
      <c r="D55" s="358" t="str">
        <f xml:space="preserve"> "Biogas volume produced per day " &amp; IF(ISBLANK(I55), I210, "")</f>
        <v xml:space="preserve">Biogas volume produced per day </v>
      </c>
      <c r="E55" s="358"/>
      <c r="F55" s="358"/>
      <c r="G55" s="358"/>
      <c r="H55" s="358"/>
      <c r="I55" s="770" t="s">
        <v>164</v>
      </c>
      <c r="J55" s="771"/>
      <c r="K55" s="388">
        <v>53000.000001</v>
      </c>
      <c r="L55" s="389"/>
      <c r="M55" s="27"/>
      <c r="N55" s="350"/>
      <c r="O55" s="362"/>
      <c r="P55" s="390"/>
      <c r="Q55" s="41"/>
      <c r="R55" s="350"/>
      <c r="S55" s="350"/>
      <c r="T55" s="350"/>
    </row>
    <row r="56" spans="1:26">
      <c r="A56" s="370"/>
      <c r="C56" s="749"/>
      <c r="D56" s="373" t="str">
        <f xml:space="preserve"> "Hydrogen sulphide (H₂S) content of biogas " &amp; IF(ISBLANK(I56), I215, "") &amp; "(before any treatment)"</f>
        <v>Hydrogen sulphide (H₂S) content of biogas (before any treatment)</v>
      </c>
      <c r="E56" s="373"/>
      <c r="F56" s="373"/>
      <c r="G56" s="373"/>
      <c r="H56" s="373"/>
      <c r="I56" s="770" t="s">
        <v>115</v>
      </c>
      <c r="J56" s="771"/>
      <c r="K56" s="391">
        <v>1800.0000010000001</v>
      </c>
      <c r="L56" s="389"/>
      <c r="M56" s="288" t="str">
        <f xml:space="preserve"> IF(OR(NOT(U12), I236 = 0),
      "",
      "  " &amp; TEXT(I236, fmt_dec_0) &amp; " g/day H₂S(gas)" &amp; IF(AND(I236 &gt; 0, I248 &gt; 0),
                                                           " (" &amp; TEXT(I236/(I236 + I248), fmt_pct_2) &amp; ")",
                                                           ""
                                                       ) &amp; "; Interim result"
)</f>
        <v/>
      </c>
      <c r="O56" s="362"/>
      <c r="P56" s="379"/>
      <c r="Q56" s="392"/>
      <c r="U56" s="350"/>
      <c r="V56" s="350"/>
      <c r="W56" s="350"/>
      <c r="X56" s="350"/>
      <c r="Y56" s="350"/>
      <c r="Z56" s="350"/>
    </row>
    <row r="57" spans="1:26">
      <c r="A57" s="370"/>
      <c r="B57" s="772" t="s">
        <v>519</v>
      </c>
      <c r="C57" s="748"/>
      <c r="D57" s="761" t="s">
        <v>512</v>
      </c>
      <c r="E57" s="761"/>
      <c r="F57" s="761"/>
      <c r="G57" s="761"/>
      <c r="H57" s="761"/>
      <c r="I57" s="761"/>
      <c r="J57" s="774"/>
      <c r="K57" s="385"/>
      <c r="L57" s="637" t="str">
        <f xml:space="preserve"> "&lt;No input req.&gt;"</f>
        <v>&lt;No input req.&gt;</v>
      </c>
      <c r="M57" s="536" t="str">
        <f ca="1" xml:space="preserve"> IF(ISBLANK(K57), " β = " &amp; TEXT(M251, fmt_dec_1), IF(OR(M252 &lt; 1.7, M252 &gt; 5), " Recommendation: Use a value between " &amp; TEXT(M251, fmt_dec_1) &amp; " and 5.", "")) &amp; IF(AI124 = 1, "", " * Notice: α is set for SBGx to " &amp; AI124 &amp; " (" &amp; M27 &amp; ") and is multiplied with β; α x β = " &amp; TEXT(AI124 * M252, fmt_dec_4) &amp; " (" &amp; IF(AI124 * M252 &gt; 1, "+", "") &amp; TEXT((AI124 * M252) - 1, fmt_pct_2) &amp; ") *")</f>
        <v xml:space="preserve"> β = 1.7</v>
      </c>
      <c r="P57" s="346"/>
      <c r="U57" s="350"/>
      <c r="V57" s="350"/>
      <c r="W57" s="350"/>
      <c r="X57" s="350"/>
      <c r="Y57" s="350"/>
      <c r="Z57" s="350"/>
    </row>
    <row r="58" spans="1:26" s="26" customFormat="1" ht="15" customHeight="1" outlineLevel="1">
      <c r="A58" s="370"/>
      <c r="B58" s="773"/>
      <c r="C58" s="332" t="s">
        <v>580</v>
      </c>
      <c r="D58" s="358" t="str">
        <f xml:space="preserve"> "Substrate volume added per day " &amp; IF(ISBLANK(I58), I210, "")</f>
        <v xml:space="preserve">Substrate volume added per day </v>
      </c>
      <c r="E58" s="358"/>
      <c r="F58" s="358"/>
      <c r="G58" s="358"/>
      <c r="H58" s="373"/>
      <c r="I58" s="775" t="s">
        <v>164</v>
      </c>
      <c r="J58" s="776"/>
      <c r="K58" s="393">
        <v>80.000000999999997</v>
      </c>
      <c r="L58" s="394"/>
      <c r="M58" s="350"/>
      <c r="N58" s="350"/>
      <c r="O58" s="395"/>
      <c r="P58" s="379"/>
      <c r="Q58" s="362"/>
      <c r="R58" s="30"/>
      <c r="S58" s="350"/>
      <c r="T58" s="350"/>
    </row>
    <row r="59" spans="1:26" s="26" customFormat="1" ht="15" customHeight="1" outlineLevel="1">
      <c r="A59" s="370"/>
      <c r="B59" s="350"/>
      <c r="C59" s="320" t="s">
        <v>421</v>
      </c>
      <c r="D59" s="780" t="str">
        <f xml:space="preserve"> "● Total sulphide (S²⁻ + HS⁻ + H₂S) content of reactor liquid " &amp; IF(ISBLANK(I59), I225 &amp; " ", "") &amp; "ⓘ"</f>
        <v>● Total sulphide (S²⁻ + HS⁻ + H₂S) content of reactor liquid ⓘ</v>
      </c>
      <c r="E59" s="780"/>
      <c r="F59" s="780"/>
      <c r="G59" s="780"/>
      <c r="H59" s="713"/>
      <c r="I59" s="770" t="s">
        <v>333</v>
      </c>
      <c r="J59" s="771"/>
      <c r="K59" s="396"/>
      <c r="L59" s="630" t="str">
        <f ca="1" xml:space="preserve"> IF(I247 &gt; 0, "approx. " &amp; TEXT(I247, fmt_dec_3), "")</f>
        <v>approx. 44.661</v>
      </c>
      <c r="M59" s="34"/>
      <c r="N59" s="350"/>
      <c r="O59" s="350"/>
      <c r="P59" s="346"/>
      <c r="Q59" s="350"/>
      <c r="R59" s="350"/>
      <c r="S59" s="350"/>
      <c r="T59" s="350"/>
    </row>
    <row r="60" spans="1:26" ht="15" customHeight="1" outlineLevel="1">
      <c r="A60" s="370"/>
      <c r="C60" s="781" t="s">
        <v>422</v>
      </c>
      <c r="D60" s="563" t="s">
        <v>523</v>
      </c>
      <c r="E60" s="373"/>
      <c r="F60" s="373"/>
      <c r="G60" s="373"/>
      <c r="H60" s="362"/>
      <c r="I60" s="14"/>
      <c r="J60" s="362"/>
      <c r="K60" s="385">
        <v>7.9100010000000003</v>
      </c>
      <c r="L60" s="397"/>
      <c r="P60" s="398"/>
      <c r="Q60" s="399"/>
      <c r="U60" s="350"/>
      <c r="V60" s="350"/>
      <c r="W60" s="350"/>
      <c r="X60" s="350"/>
      <c r="Y60" s="350"/>
      <c r="Z60" s="350"/>
    </row>
    <row r="61" spans="1:26" ht="15" customHeight="1" outlineLevel="1">
      <c r="A61" s="370"/>
      <c r="C61" s="782"/>
      <c r="D61" s="539" t="str">
        <f xml:space="preserve"> "○ Temperature of reactor liquid " &amp; IF(ISBLANK(I61), I218, "")</f>
        <v xml:space="preserve">○ Temperature of reactor liquid </v>
      </c>
      <c r="E61" s="373"/>
      <c r="F61" s="373"/>
      <c r="G61" s="373"/>
      <c r="H61" s="373"/>
      <c r="I61" s="770" t="s">
        <v>313</v>
      </c>
      <c r="J61" s="771"/>
      <c r="K61" s="391">
        <v>39.500000999999997</v>
      </c>
      <c r="L61" s="540"/>
      <c r="M61" s="288" t="str">
        <f xml:space="preserve"> IF(OR(NOT(U12), I248 = 0),
      "",
      "  " &amp; TEXT(I248, fmt_dec_0) &amp; " g/day Sulphide(substrate)" &amp; IF(AND(I236 &gt; 0, I248 &gt; 0),
                                                                     " (" &amp; TEXT(I248/(I236 + I248), fmt_pct_2) &amp; ")",
                                                                     ""
                                                                 ) &amp; "; Interim result"
)</f>
        <v/>
      </c>
      <c r="P61" s="548"/>
      <c r="Q61" s="548"/>
      <c r="U61" s="350"/>
      <c r="V61" s="350"/>
      <c r="W61" s="350"/>
      <c r="X61" s="350"/>
      <c r="Y61" s="350"/>
      <c r="Z61" s="350"/>
    </row>
    <row r="62" spans="1:26" ht="15" customHeight="1">
      <c r="C62" s="564"/>
      <c r="D62" s="573" t="str">
        <f xml:space="preserve"> IF(OR(NOT(U12), I236 + I248 = 0), "", "Remark: " &amp; IF(SI_unit, "", TEXT((I236 + I248) / 1000 * fact_kg2lb, fmt_dec_1) &amp; " lb = ") &amp; TEXT((I236 + I248) / 1000, fmt_dec_1) &amp; " kg of total sulphide to be reduced")</f>
        <v/>
      </c>
      <c r="E62" s="565"/>
      <c r="F62" s="566"/>
      <c r="G62" s="567" t="str">
        <f xml:space="preserve"> G21</f>
        <v>Your_Additive</v>
      </c>
      <c r="H62" s="567"/>
      <c r="I62" s="746" t="str">
        <f ca="1" xml:space="preserve"> IF(I64 = "", "", "Ratio")</f>
        <v>Ratio</v>
      </c>
      <c r="K62" s="734" t="str">
        <f xml:space="preserve"> AB118</f>
        <v>SBGx by SwissBiogas.com</v>
      </c>
      <c r="L62" s="735"/>
      <c r="M62" s="736"/>
      <c r="O62" s="34"/>
      <c r="R62" s="400"/>
      <c r="S62" s="400"/>
      <c r="T62" s="401"/>
      <c r="U62" s="350"/>
      <c r="V62" s="350"/>
      <c r="W62" s="350"/>
      <c r="X62" s="350"/>
      <c r="Y62" s="350"/>
      <c r="Z62" s="350"/>
    </row>
    <row r="63" spans="1:26" ht="15" hidden="1" customHeight="1" outlineLevel="1">
      <c r="C63" s="549" t="s">
        <v>123</v>
      </c>
      <c r="D63" s="555" t="str">
        <f ca="1" xml:space="preserve"> IF(I236 + I248 = 0, "Please enter the required values to calculate a dosage.", "To reduce " &amp; TEXT((I236 + I248) / 1000 * IF(SI_unit, 1, fact_kg2lb), fmt_dec_1) &amp; IF(SI_unit, " kg", " lb") &amp; " of sulphide, theoretically (β = 1) " &amp; TEXT(I251 / 1000 * IF(SI_unit, 1, fact_kg2lb), fmt_dec_1) &amp; IF(SI_unit, " kg", " lb") &amp; " of iron(II) ions are required.")</f>
        <v>To reduce 136.5 kg of sulphide, theoretically (β = 1) 223.8 kg of iron(II) ions are required.</v>
      </c>
      <c r="E63" s="556"/>
      <c r="F63" s="555"/>
      <c r="G63" s="557"/>
      <c r="H63" s="557"/>
      <c r="I63" s="557"/>
      <c r="J63" s="354"/>
      <c r="K63" s="737"/>
      <c r="L63" s="737"/>
      <c r="M63" s="763" t="str">
        <f ca="1" xml:space="preserve"> IF(OR(AJ133 = 0, AM133 = 0), "", "Factor " &amp; AR123 &amp; CHAR(10) &amp; $AB$117 &amp; ": " &amp; IF(AQ123 &gt; 1, "+", "") &amp; TEXT(AQ123 - 1, fmt_pct_2))</f>
        <v>Factor 1.723 : 1
SBGx: -41.97%</v>
      </c>
      <c r="R63" s="400"/>
      <c r="S63" s="400"/>
      <c r="T63" s="401"/>
      <c r="U63" s="350"/>
      <c r="V63" s="350"/>
      <c r="W63" s="350"/>
      <c r="X63" s="350"/>
      <c r="Y63" s="350"/>
      <c r="Z63" s="350"/>
    </row>
    <row r="64" spans="1:26" ht="15" customHeight="1" collapsed="1">
      <c r="A64" s="370"/>
      <c r="B64" s="740" t="str">
        <f xml:space="preserve"> IF(AND(G64, K64, G64 &gt; K64), "‼", "")</f>
        <v>‼</v>
      </c>
      <c r="C64" s="558" t="str">
        <f ca="1" xml:space="preserve"> "Daily required additive dosages " &amp; IF(SI_unit, I221 &amp; " ", I222 &amp; " ") &amp; IF(AND(F222 &gt; 0, F223 &gt; 0), "     (" &amp; $AB$117 &amp; ": " &amp; IF(AQ123 &gt; 1, "+", "") &amp; TEXT(AQ123 - 1, fmt_pct_2) &amp; ")", "")</f>
        <v>Daily required additive dosages [kg/day]      (SBGx: -41.97%)</v>
      </c>
      <c r="D64" s="559"/>
      <c r="E64" s="560"/>
      <c r="F64" s="559"/>
      <c r="G64" s="611">
        <f xml:space="preserve"> F222</f>
        <v>922.10591409984204</v>
      </c>
      <c r="H64" s="561"/>
      <c r="I64" s="745" t="str">
        <f ca="1" xml:space="preserve"> IFERROR("← " &amp; IF(G64 &lt; K64, "1 : " &amp; TEXT(K64 / G64, fmt_dec_2), TEXT(G64 / K64, fmt_dec_2) &amp; " : 1") &amp; " →","")</f>
        <v>← 1.72 : 1 →</v>
      </c>
      <c r="J64" s="354"/>
      <c r="K64" s="738">
        <f xml:space="preserve"> F223</f>
        <v>535.07628510547011</v>
      </c>
      <c r="L64" s="739"/>
      <c r="M64" s="767"/>
      <c r="N64" s="354"/>
      <c r="O64" s="384" t="s">
        <v>469</v>
      </c>
      <c r="U64" s="350"/>
      <c r="V64" s="350"/>
      <c r="W64" s="350"/>
      <c r="X64" s="350"/>
      <c r="Y64" s="350"/>
      <c r="Z64" s="350"/>
    </row>
    <row r="65" spans="1:26" ht="15" customHeight="1">
      <c r="A65" s="370"/>
      <c r="B65" s="439"/>
      <c r="C65" s="689" t="str">
        <f xml:space="preserve"> IF(AND(I248 &gt; 0, I236 = 0), "Warning: This is only an interim result. At least the volume of the biogas and its H₂S content are required to calculate a useful dosage.", "")</f>
        <v/>
      </c>
      <c r="D65" s="14"/>
      <c r="E65" s="439"/>
      <c r="F65" s="439"/>
      <c r="G65" s="690"/>
      <c r="H65" s="690"/>
      <c r="I65" s="439"/>
      <c r="J65" s="439"/>
      <c r="K65" s="439"/>
      <c r="L65" s="439"/>
      <c r="M65" s="362"/>
      <c r="N65" s="439"/>
      <c r="O65" s="362"/>
      <c r="P65" s="439"/>
      <c r="Q65" s="362"/>
      <c r="R65" s="362"/>
      <c r="S65" s="362"/>
      <c r="T65" s="362"/>
      <c r="U65" s="350"/>
      <c r="V65" s="350"/>
      <c r="W65" s="350"/>
      <c r="X65" s="350"/>
      <c r="Y65" s="350"/>
      <c r="Z65" s="350"/>
    </row>
    <row r="66" spans="1:26" ht="15" hidden="1" customHeight="1" outlineLevel="1">
      <c r="A66" s="350"/>
      <c r="B66" s="354"/>
      <c r="C66" s="354"/>
      <c r="D66" s="354"/>
      <c r="E66" s="354"/>
      <c r="F66" s="354"/>
      <c r="G66" s="354"/>
      <c r="H66" s="354"/>
      <c r="I66" s="354"/>
      <c r="J66" s="354"/>
      <c r="K66" s="354"/>
      <c r="L66" s="354"/>
      <c r="M66" s="354"/>
      <c r="N66" s="354"/>
      <c r="O66" s="354"/>
      <c r="P66" s="354"/>
      <c r="Q66" s="354"/>
      <c r="R66" s="354"/>
      <c r="S66" s="354"/>
      <c r="T66" s="354"/>
      <c r="U66" s="670" t="s">
        <v>566</v>
      </c>
      <c r="V66" s="350"/>
      <c r="W66" s="350"/>
      <c r="X66" s="350"/>
      <c r="Y66" s="350"/>
      <c r="Z66" s="350"/>
    </row>
    <row r="67" spans="1:26" ht="15" hidden="1" customHeight="1" outlineLevel="1">
      <c r="A67" s="352"/>
      <c r="B67" s="35" t="s">
        <v>573</v>
      </c>
      <c r="C67" s="35" t="s">
        <v>560</v>
      </c>
      <c r="K67" s="353"/>
      <c r="L67" s="353"/>
      <c r="M67" s="353"/>
      <c r="U67" s="352"/>
      <c r="V67" s="350"/>
      <c r="W67" s="350"/>
      <c r="X67" s="350"/>
      <c r="Y67" s="350"/>
      <c r="Z67" s="350"/>
    </row>
    <row r="68" spans="1:26" ht="15" hidden="1" customHeight="1" outlineLevel="1">
      <c r="A68" s="352"/>
      <c r="C68" s="671" t="s">
        <v>567</v>
      </c>
      <c r="D68" s="358"/>
      <c r="E68" s="358"/>
      <c r="F68" s="359"/>
      <c r="G68" s="681">
        <v>250.000001</v>
      </c>
      <c r="I68" s="675"/>
      <c r="K68" s="678" t="str">
        <f xml:space="preserve"> AB118</f>
        <v>SBGx by SwissBiogas.com</v>
      </c>
      <c r="L68" s="676"/>
      <c r="M68" s="676"/>
      <c r="U68" s="352"/>
      <c r="V68" s="350"/>
      <c r="W68" s="350"/>
      <c r="X68" s="350"/>
      <c r="Y68" s="350"/>
      <c r="Z68" s="350"/>
    </row>
    <row r="69" spans="1:26" ht="15" hidden="1" customHeight="1" outlineLevel="1">
      <c r="A69" s="352"/>
      <c r="C69" s="680" t="s">
        <v>568</v>
      </c>
      <c r="D69" s="373"/>
      <c r="E69" s="373"/>
      <c r="F69" s="639"/>
      <c r="G69" s="682">
        <v>21.000001000000001</v>
      </c>
      <c r="I69" s="675"/>
      <c r="K69" s="676"/>
      <c r="L69" s="676"/>
      <c r="M69" s="783" t="str">
        <f ca="1" xml:space="preserve"> "Ratio H₂S-RR" &amp; CHAR(10) &amp; "Factor " &amp; IFERROR(TEXT(AC107 / AD107, fmt_dec_3), "0") &amp; " : 1"</f>
        <v>Ratio H₂S-RR
Factor 4.910 : 1</v>
      </c>
      <c r="U69" s="352"/>
      <c r="V69" s="350"/>
      <c r="W69" s="350"/>
      <c r="X69" s="350"/>
      <c r="Y69" s="350"/>
      <c r="Z69" s="350"/>
    </row>
    <row r="70" spans="1:26" ht="15" hidden="1" customHeight="1" outlineLevel="1">
      <c r="A70" s="352"/>
      <c r="C70" s="688" t="s">
        <v>572</v>
      </c>
      <c r="D70" s="546"/>
      <c r="E70" s="672"/>
      <c r="F70" s="673"/>
      <c r="G70" s="679" t="str">
        <f ca="1" xml:space="preserve"> "(O₂: " &amp; TEXT(AB110 * G69 / 100 / 1000, fmt_dec_2) &amp; " kg)"</f>
        <v>(O₂: 74.01 kg)</v>
      </c>
      <c r="H70" s="617"/>
      <c r="I70" s="674"/>
      <c r="K70" s="677">
        <f xml:space="preserve"> AB110 * AB107 / AM133 / 1000</f>
        <v>363.36715827442976</v>
      </c>
      <c r="L70" s="676"/>
      <c r="M70" s="784"/>
      <c r="O70" s="350" t="str">
        <f xml:space="preserve"> IF(AI124 = 1, "", "* Notice: α is set for SBGx to " &amp; AI124 &amp; " (" &amp; M27 &amp; ") *")</f>
        <v/>
      </c>
      <c r="U70" s="352"/>
      <c r="V70" s="350"/>
      <c r="W70" s="350"/>
      <c r="X70" s="350"/>
      <c r="Y70" s="350"/>
      <c r="Z70" s="350"/>
    </row>
    <row r="71" spans="1:26" ht="15" hidden="1" customHeight="1" outlineLevel="1">
      <c r="A71" s="352"/>
      <c r="K71" s="353"/>
      <c r="O71" s="683"/>
      <c r="U71" s="641" t="s">
        <v>556</v>
      </c>
      <c r="V71" s="350"/>
      <c r="W71" s="350"/>
      <c r="X71" s="350"/>
      <c r="Y71" s="350"/>
      <c r="Z71" s="350"/>
    </row>
    <row r="72" spans="1:26" ht="15" customHeight="1" collapsed="1">
      <c r="A72" s="29"/>
      <c r="B72" s="467"/>
      <c r="C72" s="777" t="s">
        <v>139</v>
      </c>
      <c r="D72" s="777"/>
      <c r="E72" s="777"/>
      <c r="F72" s="777"/>
      <c r="G72" s="777"/>
      <c r="H72" s="691"/>
      <c r="I72" s="692"/>
      <c r="J72" s="693"/>
      <c r="K72" s="693"/>
      <c r="L72" s="693"/>
      <c r="M72" s="693"/>
      <c r="N72" s="693"/>
      <c r="O72" s="467"/>
      <c r="P72" s="693"/>
      <c r="Q72" s="467"/>
      <c r="R72" s="467"/>
      <c r="S72" s="467"/>
      <c r="T72" s="467"/>
      <c r="U72" s="350"/>
      <c r="V72" s="350"/>
      <c r="W72" s="350"/>
      <c r="X72" s="350"/>
      <c r="Y72" s="350"/>
      <c r="Z72" s="350"/>
    </row>
    <row r="73" spans="1:26" ht="15" customHeight="1">
      <c r="B73" s="402"/>
      <c r="I73" s="32"/>
      <c r="J73" s="403"/>
      <c r="K73" s="403"/>
      <c r="L73" s="403"/>
      <c r="M73" s="404" t="s">
        <v>407</v>
      </c>
      <c r="N73" s="403"/>
      <c r="P73" s="403"/>
      <c r="U73" s="350"/>
      <c r="V73" s="350"/>
      <c r="W73" s="350"/>
      <c r="X73" s="350"/>
      <c r="Y73" s="350"/>
      <c r="Z73" s="350"/>
    </row>
    <row r="74" spans="1:26" ht="15" customHeight="1">
      <c r="B74" s="402"/>
      <c r="I74" s="32"/>
      <c r="J74" s="403"/>
      <c r="K74" s="403"/>
      <c r="L74" s="403"/>
      <c r="M74" s="404"/>
      <c r="N74" s="403"/>
      <c r="P74" s="403"/>
      <c r="U74" s="350"/>
      <c r="V74" s="350"/>
      <c r="W74" s="350"/>
      <c r="X74" s="350"/>
      <c r="Y74" s="350"/>
      <c r="Z74" s="350"/>
    </row>
    <row r="75" spans="1:26" ht="15" customHeight="1">
      <c r="A75" s="350"/>
      <c r="U75" s="350"/>
      <c r="V75" s="350"/>
      <c r="W75" s="350"/>
      <c r="X75" s="350"/>
      <c r="Y75" s="350"/>
      <c r="Z75" s="350"/>
    </row>
    <row r="76" spans="1:26">
      <c r="A76" s="350"/>
      <c r="U76" s="350"/>
      <c r="V76" s="350"/>
      <c r="W76" s="350"/>
      <c r="X76" s="350"/>
      <c r="Y76" s="350"/>
      <c r="Z76" s="350"/>
    </row>
    <row r="77" spans="1:26">
      <c r="A77" s="350"/>
      <c r="U77" s="350"/>
      <c r="V77" s="350"/>
      <c r="W77" s="350"/>
      <c r="X77" s="350"/>
      <c r="Y77" s="350"/>
      <c r="Z77" s="350"/>
    </row>
    <row r="78" spans="1:26">
      <c r="A78" s="350"/>
      <c r="U78" s="350"/>
      <c r="V78" s="350"/>
      <c r="W78" s="350"/>
      <c r="X78" s="350"/>
      <c r="Y78" s="350"/>
      <c r="Z78" s="350"/>
    </row>
    <row r="79" spans="1:26">
      <c r="A79" s="350"/>
      <c r="U79" s="350"/>
      <c r="V79" s="350"/>
      <c r="W79" s="350"/>
      <c r="X79" s="350"/>
      <c r="Y79" s="350"/>
      <c r="Z79" s="350"/>
    </row>
    <row r="80" spans="1:26">
      <c r="A80" s="350"/>
      <c r="U80" s="350"/>
      <c r="V80" s="350"/>
      <c r="W80" s="350"/>
      <c r="X80" s="350"/>
      <c r="Y80" s="350"/>
      <c r="Z80" s="350"/>
    </row>
    <row r="81" spans="1:26">
      <c r="A81" s="350"/>
      <c r="U81" s="350"/>
      <c r="V81" s="350"/>
      <c r="W81" s="350"/>
      <c r="X81" s="350"/>
      <c r="Y81" s="350"/>
      <c r="Z81" s="350"/>
    </row>
    <row r="82" spans="1:26" ht="15" customHeight="1">
      <c r="A82" s="350"/>
      <c r="U82" s="350"/>
      <c r="V82" s="350"/>
      <c r="W82" s="350"/>
      <c r="X82" s="350"/>
      <c r="Y82" s="350"/>
      <c r="Z82" s="350"/>
    </row>
    <row r="83" spans="1:26" ht="15" customHeight="1">
      <c r="A83" s="350"/>
      <c r="U83" s="350"/>
      <c r="V83" s="350"/>
      <c r="W83" s="350"/>
      <c r="X83" s="350"/>
      <c r="Y83" s="350"/>
      <c r="Z83" s="350"/>
    </row>
    <row r="84" spans="1:26" ht="15" customHeight="1">
      <c r="A84" s="350"/>
      <c r="U84" s="350"/>
      <c r="V84" s="350"/>
      <c r="W84" s="350"/>
      <c r="X84" s="350"/>
      <c r="Y84" s="350"/>
      <c r="Z84" s="350"/>
    </row>
    <row r="85" spans="1:26" ht="15" customHeight="1">
      <c r="A85" s="350"/>
      <c r="U85" s="350"/>
      <c r="V85" s="350"/>
      <c r="W85" s="350"/>
      <c r="X85" s="350"/>
      <c r="Y85" s="350"/>
      <c r="Z85" s="350"/>
    </row>
    <row r="86" spans="1:26" ht="15" customHeight="1">
      <c r="A86" s="350"/>
      <c r="U86" s="350"/>
      <c r="V86" s="350"/>
      <c r="W86" s="350"/>
      <c r="X86" s="350"/>
      <c r="Y86" s="350"/>
      <c r="Z86" s="350"/>
    </row>
    <row r="87" spans="1:26" ht="15" customHeight="1">
      <c r="A87" s="350"/>
      <c r="U87" s="350"/>
      <c r="V87" s="350"/>
      <c r="W87" s="350"/>
      <c r="X87" s="350"/>
      <c r="Y87" s="350"/>
      <c r="Z87" s="350"/>
    </row>
    <row r="88" spans="1:26" ht="15" customHeight="1">
      <c r="A88" s="350"/>
      <c r="U88" s="350"/>
      <c r="Z88" s="350"/>
    </row>
    <row r="89" spans="1:26" ht="15" customHeight="1">
      <c r="A89" s="350"/>
      <c r="U89" s="350"/>
      <c r="V89" s="350"/>
      <c r="X89" s="350"/>
      <c r="Y89" s="350"/>
      <c r="Z89" s="350"/>
    </row>
    <row r="90" spans="1:26" ht="15" customHeight="1">
      <c r="A90" s="350"/>
      <c r="U90" s="350"/>
      <c r="V90" s="350"/>
      <c r="X90" s="350"/>
      <c r="Y90" s="350"/>
      <c r="Z90" s="350"/>
    </row>
    <row r="91" spans="1:26" ht="15" customHeight="1">
      <c r="A91" s="350"/>
      <c r="U91" s="350"/>
      <c r="V91" s="350"/>
      <c r="X91" s="350"/>
      <c r="Y91" s="350"/>
      <c r="Z91" s="350"/>
    </row>
    <row r="92" spans="1:26" ht="15" customHeight="1">
      <c r="A92" s="350"/>
      <c r="U92" s="350"/>
      <c r="V92" s="350"/>
      <c r="X92" s="350"/>
      <c r="Y92" s="350"/>
      <c r="Z92" s="350"/>
    </row>
    <row r="93" spans="1:26" ht="15" customHeight="1">
      <c r="A93" s="350"/>
      <c r="U93" s="350"/>
      <c r="V93" s="350"/>
      <c r="X93" s="350"/>
      <c r="Y93" s="350"/>
      <c r="Z93" s="350"/>
    </row>
    <row r="94" spans="1:26" ht="15" customHeight="1">
      <c r="A94" s="350"/>
      <c r="K94" s="669"/>
      <c r="U94" s="350"/>
      <c r="V94" s="350"/>
      <c r="X94" s="350"/>
      <c r="Y94" s="350"/>
      <c r="Z94" s="350"/>
    </row>
    <row r="95" spans="1:26" ht="15" customHeight="1">
      <c r="A95" s="350"/>
      <c r="K95" s="353"/>
      <c r="U95" s="350"/>
      <c r="V95" s="350"/>
      <c r="X95" s="350"/>
      <c r="Y95" s="350"/>
      <c r="Z95" s="350"/>
    </row>
    <row r="96" spans="1:26" ht="15" customHeight="1">
      <c r="A96" s="350"/>
      <c r="K96" s="353"/>
      <c r="U96" s="350"/>
      <c r="V96" s="350"/>
      <c r="X96" s="350"/>
      <c r="Y96" s="350"/>
      <c r="Z96" s="350"/>
    </row>
    <row r="97" spans="1:50" ht="15" customHeight="1">
      <c r="A97" s="350"/>
      <c r="K97" s="353"/>
      <c r="U97" s="350"/>
      <c r="V97" s="350"/>
      <c r="X97" s="350"/>
      <c r="Y97" s="350"/>
      <c r="Z97" s="350"/>
    </row>
    <row r="98" spans="1:50" ht="15" customHeight="1">
      <c r="A98" s="350"/>
      <c r="K98" s="353"/>
      <c r="U98" s="350"/>
      <c r="V98" s="350"/>
      <c r="X98" s="350"/>
      <c r="Y98" s="350"/>
      <c r="Z98" s="350"/>
    </row>
    <row r="99" spans="1:50" ht="15" customHeight="1">
      <c r="A99" s="350"/>
      <c r="K99" s="353"/>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row>
    <row r="100" spans="1:50" ht="15" customHeight="1">
      <c r="A100" s="350"/>
      <c r="K100" s="362"/>
      <c r="U100" s="350"/>
      <c r="V100" s="350"/>
      <c r="X100" s="350"/>
      <c r="Y100" s="350"/>
      <c r="Z100" s="350"/>
    </row>
    <row r="101" spans="1:50" ht="15" customHeight="1">
      <c r="A101" s="350"/>
      <c r="K101" s="362"/>
      <c r="U101" s="350"/>
      <c r="V101" s="643" t="s">
        <v>559</v>
      </c>
      <c r="W101" s="350"/>
      <c r="X101" s="350"/>
      <c r="Y101" s="350"/>
      <c r="Z101" s="350"/>
    </row>
    <row r="102" spans="1:50" ht="15" customHeight="1">
      <c r="A102" s="350"/>
      <c r="K102" s="362"/>
      <c r="U102" s="350"/>
      <c r="V102" s="648" t="s">
        <v>561</v>
      </c>
      <c r="W102" s="359"/>
      <c r="X102" s="359"/>
      <c r="Y102" s="359"/>
      <c r="Z102" s="359"/>
      <c r="AB102" s="642">
        <v>31.998799999999999</v>
      </c>
    </row>
    <row r="103" spans="1:50" ht="15" customHeight="1">
      <c r="A103" s="350"/>
      <c r="K103" s="353"/>
      <c r="L103" s="354"/>
      <c r="M103" s="660"/>
      <c r="U103" s="350"/>
      <c r="V103" s="659" t="s">
        <v>562</v>
      </c>
      <c r="AB103" s="650">
        <v>28.964700000000001</v>
      </c>
    </row>
    <row r="104" spans="1:50" ht="15" customHeight="1">
      <c r="A104" s="350"/>
      <c r="K104" s="353"/>
      <c r="U104" s="350"/>
      <c r="V104" s="667" t="s">
        <v>558</v>
      </c>
      <c r="W104" s="640"/>
      <c r="X104" s="640"/>
      <c r="Y104" s="640"/>
      <c r="Z104" s="640"/>
      <c r="AA104" s="666"/>
      <c r="AB104" s="665">
        <v>1</v>
      </c>
    </row>
    <row r="105" spans="1:50" ht="15" customHeight="1">
      <c r="A105" s="350"/>
      <c r="C105" s="654"/>
      <c r="D105" s="362"/>
      <c r="E105" s="362"/>
      <c r="F105" s="362"/>
      <c r="G105" s="362"/>
      <c r="H105" s="362"/>
      <c r="I105" s="362"/>
      <c r="J105" s="362"/>
      <c r="K105" s="362"/>
      <c r="U105" s="350"/>
      <c r="V105" s="662" t="s">
        <v>557</v>
      </c>
      <c r="W105" s="663"/>
      <c r="X105" s="663"/>
      <c r="Y105" s="663"/>
      <c r="Z105" s="663"/>
      <c r="AA105" s="664"/>
      <c r="AB105" s="649">
        <v>2</v>
      </c>
    </row>
    <row r="106" spans="1:50" ht="15" customHeight="1">
      <c r="A106" s="350"/>
      <c r="C106" s="654"/>
      <c r="D106" s="362"/>
      <c r="E106" s="362"/>
      <c r="F106" s="362"/>
      <c r="G106" s="362"/>
      <c r="H106" s="362"/>
      <c r="I106" s="8"/>
      <c r="J106" s="362"/>
      <c r="K106" s="362"/>
      <c r="U106" s="350"/>
      <c r="V106" s="668" t="s">
        <v>563</v>
      </c>
      <c r="W106" s="651"/>
      <c r="X106" s="651"/>
      <c r="Y106" s="651"/>
      <c r="Z106" s="651"/>
      <c r="AA106" s="651"/>
      <c r="AB106" s="652">
        <f xml:space="preserve"> G69 / 100 * AB104 * AB105 / AB102</f>
        <v>1.3125492830981163E-2</v>
      </c>
      <c r="AC106" s="686" t="s">
        <v>571</v>
      </c>
      <c r="AD106" s="687" t="s">
        <v>569</v>
      </c>
    </row>
    <row r="107" spans="1:50" s="353" customFormat="1" ht="15" customHeight="1">
      <c r="C107" s="655"/>
      <c r="D107" s="656"/>
      <c r="E107" s="362"/>
      <c r="F107" s="657"/>
      <c r="G107" s="658"/>
      <c r="H107" s="362"/>
      <c r="I107" s="362"/>
      <c r="J107" s="362"/>
      <c r="K107" s="362"/>
      <c r="V107" s="648" t="s">
        <v>564</v>
      </c>
      <c r="W107" s="359"/>
      <c r="X107" s="359"/>
      <c r="Y107" s="359"/>
      <c r="Z107" s="359"/>
      <c r="AA107" s="359"/>
      <c r="AB107" s="653">
        <f xml:space="preserve"> AB106 * I234</f>
        <v>0.44731679567983801</v>
      </c>
      <c r="AC107" s="684">
        <f xml:space="preserve"> AB107 / G69 * 100</f>
        <v>2.1300798779954246</v>
      </c>
      <c r="AD107" s="685">
        <f xml:space="preserve"> AM133</f>
        <v>0.43382779942355598</v>
      </c>
    </row>
    <row r="108" spans="1:50" ht="15" customHeight="1">
      <c r="A108" s="350"/>
      <c r="C108" s="362"/>
      <c r="D108" s="362"/>
      <c r="E108" s="362"/>
      <c r="F108" s="362"/>
      <c r="G108" s="362"/>
      <c r="H108" s="362"/>
      <c r="I108" s="362"/>
      <c r="J108" s="362"/>
      <c r="K108" s="362"/>
      <c r="U108" s="350"/>
      <c r="V108" s="647" t="s">
        <v>565</v>
      </c>
      <c r="W108" s="640"/>
      <c r="X108" s="640"/>
      <c r="Y108" s="640"/>
      <c r="Z108" s="640"/>
      <c r="AA108" s="661"/>
      <c r="AB108" s="642">
        <v>22.7</v>
      </c>
      <c r="AC108" s="683" t="s">
        <v>570</v>
      </c>
    </row>
    <row r="109" spans="1:50" ht="15" customHeight="1">
      <c r="A109" s="350"/>
      <c r="C109" s="362"/>
      <c r="D109" s="362"/>
      <c r="E109" s="362"/>
      <c r="F109" s="362"/>
      <c r="G109" s="362"/>
      <c r="H109" s="362"/>
      <c r="I109" s="362"/>
      <c r="J109" s="362"/>
      <c r="K109" s="362"/>
      <c r="U109" s="350"/>
      <c r="V109" s="644" t="str">
        <f xml:space="preserve"> "Moles in " &amp; G68 &amp; " m³"</f>
        <v>Moles in 250.000001 m³</v>
      </c>
      <c r="W109" s="359"/>
      <c r="X109" s="359"/>
      <c r="Y109" s="359"/>
      <c r="Z109" s="359"/>
      <c r="AA109" s="359"/>
      <c r="AB109" s="645">
        <f xml:space="preserve"> G68 * 1000 / AB108</f>
        <v>11013.215903083701</v>
      </c>
    </row>
    <row r="110" spans="1:50" ht="15" customHeight="1">
      <c r="A110" s="350"/>
      <c r="U110" s="350"/>
      <c r="V110" s="638" t="str">
        <f xml:space="preserve"> "m(O₂) (" &amp; G68 &amp; " m³) [g]"</f>
        <v>m(O₂) (250.000001 m³) [g]</v>
      </c>
      <c r="W110" s="640"/>
      <c r="X110" s="640"/>
      <c r="Y110" s="640"/>
      <c r="Z110" s="640"/>
      <c r="AA110" s="640"/>
      <c r="AB110" s="646">
        <f xml:space="preserve"> AB109 * AB102</f>
        <v>352409.69303959474</v>
      </c>
    </row>
    <row r="111" spans="1:50" ht="15" customHeight="1">
      <c r="A111" s="350"/>
      <c r="U111" s="356"/>
      <c r="V111" s="356"/>
      <c r="W111" s="356"/>
      <c r="X111" s="356"/>
      <c r="Y111" s="356"/>
      <c r="Z111" s="356"/>
      <c r="AA111" s="356"/>
      <c r="AB111" s="356"/>
      <c r="AC111" s="356"/>
      <c r="AD111" s="356"/>
      <c r="AE111" s="356"/>
      <c r="AF111" s="356"/>
      <c r="AG111" s="356"/>
      <c r="AH111" s="356"/>
      <c r="AI111" s="356"/>
      <c r="AJ111" s="356"/>
      <c r="AK111" s="356"/>
      <c r="AL111" s="356"/>
      <c r="AM111" s="356"/>
      <c r="AN111" s="356"/>
      <c r="AO111" s="356"/>
      <c r="AP111" s="356"/>
      <c r="AQ111" s="356"/>
      <c r="AR111" s="356"/>
      <c r="AS111" s="356"/>
      <c r="AT111" s="356"/>
      <c r="AU111" s="356"/>
      <c r="AV111" s="356"/>
      <c r="AW111" s="356"/>
    </row>
    <row r="112" spans="1:50" ht="15" customHeight="1">
      <c r="A112" s="350"/>
      <c r="U112" s="353"/>
      <c r="V112" s="353"/>
      <c r="W112" s="353"/>
      <c r="X112" s="353"/>
      <c r="Y112" s="353"/>
      <c r="Z112" s="353"/>
      <c r="AA112" s="353"/>
      <c r="AB112" s="353"/>
      <c r="AC112" s="353"/>
      <c r="AD112" s="353"/>
      <c r="AE112" s="353"/>
      <c r="AF112" s="353"/>
      <c r="AG112" s="353"/>
      <c r="AH112" s="353"/>
      <c r="AI112" s="353"/>
      <c r="AJ112" s="353"/>
      <c r="AK112" s="353"/>
      <c r="AL112" s="353"/>
      <c r="AM112" s="353"/>
      <c r="AN112" s="353"/>
      <c r="AO112" s="353"/>
      <c r="AP112" s="353"/>
      <c r="AQ112" s="353"/>
      <c r="AR112" s="353"/>
      <c r="AS112" s="353"/>
      <c r="AT112" s="353"/>
      <c r="AU112" s="353"/>
      <c r="AV112" s="353"/>
      <c r="AX112" s="353"/>
    </row>
    <row r="113" spans="1:50" ht="15" customHeight="1">
      <c r="A113" s="350"/>
      <c r="AA113" s="405"/>
      <c r="AB113" s="405"/>
      <c r="AC113" s="405"/>
      <c r="AD113" s="353"/>
      <c r="AE113" s="353"/>
      <c r="AF113" s="353"/>
      <c r="AG113" s="31" t="s">
        <v>336</v>
      </c>
      <c r="AH113" s="362"/>
      <c r="AI113" s="362"/>
      <c r="AO113" s="778" t="s">
        <v>339</v>
      </c>
      <c r="AP113" s="778"/>
      <c r="AQ113" s="778"/>
      <c r="AR113" s="778"/>
      <c r="AS113" s="778"/>
      <c r="AT113" s="778"/>
      <c r="AU113" s="778"/>
      <c r="AV113" s="778"/>
      <c r="AX113" s="353"/>
    </row>
    <row r="114" spans="1:50" ht="15" customHeight="1">
      <c r="A114" s="350"/>
      <c r="AA114" s="405"/>
      <c r="AB114" s="405"/>
      <c r="AC114" s="353"/>
      <c r="AD114" s="353"/>
      <c r="AE114" s="353"/>
      <c r="AF114" s="353"/>
      <c r="AG114" s="350" t="s">
        <v>337</v>
      </c>
      <c r="AH114" s="362"/>
      <c r="AJ114" s="362" t="s">
        <v>414</v>
      </c>
      <c r="AO114" s="778"/>
      <c r="AP114" s="778"/>
      <c r="AQ114" s="778"/>
      <c r="AR114" s="778"/>
      <c r="AS114" s="778"/>
      <c r="AT114" s="778"/>
      <c r="AU114" s="778"/>
      <c r="AV114" s="778"/>
      <c r="AX114" s="353"/>
    </row>
    <row r="115" spans="1:50" ht="15" customHeight="1">
      <c r="A115" s="350"/>
      <c r="AA115" s="405"/>
      <c r="AB115" s="405"/>
      <c r="AC115" s="405"/>
      <c r="AD115" s="353"/>
      <c r="AE115" s="353"/>
      <c r="AF115" s="353"/>
      <c r="AG115" s="350" t="s">
        <v>490</v>
      </c>
      <c r="AH115" s="362"/>
      <c r="AO115" s="778"/>
      <c r="AP115" s="778"/>
      <c r="AQ115" s="778"/>
      <c r="AR115" s="778"/>
      <c r="AS115" s="778"/>
      <c r="AT115" s="778"/>
      <c r="AU115" s="778"/>
      <c r="AV115" s="778"/>
      <c r="AX115" s="353"/>
    </row>
    <row r="116" spans="1:50" ht="15" customHeight="1">
      <c r="A116" s="350"/>
      <c r="AA116" s="406"/>
      <c r="AB116" s="406"/>
      <c r="AC116" s="406"/>
      <c r="AG116" s="350" t="s">
        <v>338</v>
      </c>
      <c r="AJ116" s="362" t="s">
        <v>415</v>
      </c>
      <c r="AO116" s="778"/>
      <c r="AP116" s="778"/>
      <c r="AQ116" s="778"/>
      <c r="AR116" s="778"/>
      <c r="AS116" s="778"/>
      <c r="AT116" s="778"/>
      <c r="AU116" s="778"/>
      <c r="AV116" s="778"/>
      <c r="AX116" s="353"/>
    </row>
    <row r="117" spans="1:50" ht="15" customHeight="1">
      <c r="A117" s="350"/>
      <c r="AA117" s="407" t="s">
        <v>81</v>
      </c>
      <c r="AB117" s="408" t="s">
        <v>16</v>
      </c>
      <c r="AC117" s="409"/>
      <c r="AL117" s="362"/>
      <c r="AN117" s="362"/>
      <c r="AO117" s="778"/>
      <c r="AP117" s="778"/>
      <c r="AQ117" s="778"/>
      <c r="AR117" s="778"/>
      <c r="AS117" s="778"/>
      <c r="AT117" s="778"/>
      <c r="AU117" s="778"/>
      <c r="AV117" s="778"/>
      <c r="AX117" s="353"/>
    </row>
    <row r="118" spans="1:50" ht="15" customHeight="1">
      <c r="A118" s="355"/>
      <c r="B118" s="354"/>
      <c r="C118" s="264"/>
      <c r="D118" s="410"/>
      <c r="E118" s="410"/>
      <c r="F118" s="410"/>
      <c r="G118" s="410"/>
      <c r="H118" s="410"/>
      <c r="I118" s="410"/>
      <c r="J118" s="410"/>
      <c r="K118" s="410"/>
      <c r="L118" s="410"/>
      <c r="M118" s="410"/>
      <c r="N118" s="410"/>
      <c r="O118" s="410"/>
      <c r="P118" s="354"/>
      <c r="Q118" s="354"/>
      <c r="R118" s="354"/>
      <c r="S118" s="354"/>
      <c r="T118" s="354"/>
      <c r="AA118" s="411" t="s">
        <v>82</v>
      </c>
      <c r="AB118" s="412" t="str">
        <f xml:space="preserve"> AB117 &amp; " by SwissBiogas.com"</f>
        <v>SBGx by SwissBiogas.com</v>
      </c>
      <c r="AC118" s="413"/>
      <c r="AG118" s="350" t="s">
        <v>352</v>
      </c>
      <c r="AO118" s="778"/>
      <c r="AP118" s="778"/>
      <c r="AQ118" s="778"/>
      <c r="AR118" s="778"/>
      <c r="AS118" s="778"/>
      <c r="AT118" s="778"/>
      <c r="AU118" s="778"/>
      <c r="AV118" s="778"/>
      <c r="AX118" s="353"/>
    </row>
    <row r="119" spans="1:50" ht="15" customHeight="1">
      <c r="A119" s="354"/>
      <c r="B119" s="354"/>
      <c r="C119" s="354"/>
      <c r="D119" s="354"/>
      <c r="E119" s="354"/>
      <c r="F119" s="354"/>
      <c r="G119" s="354"/>
      <c r="H119" s="354"/>
      <c r="I119" s="354"/>
      <c r="J119" s="354"/>
      <c r="K119" s="354"/>
      <c r="L119" s="354"/>
      <c r="M119" s="354"/>
      <c r="N119" s="354"/>
      <c r="O119" s="354"/>
      <c r="P119" s="354"/>
      <c r="Q119" s="354"/>
      <c r="R119" s="354"/>
      <c r="S119" s="354"/>
      <c r="T119" s="354"/>
      <c r="AX119" s="353"/>
    </row>
    <row r="120" spans="1:50" ht="15" customHeight="1">
      <c r="A120" s="350"/>
      <c r="AA120" s="259"/>
      <c r="AB120" s="258"/>
      <c r="AC120" s="258"/>
      <c r="AG120" s="414" t="s">
        <v>348</v>
      </c>
      <c r="AH120" s="365"/>
      <c r="AI120" s="415">
        <v>1</v>
      </c>
      <c r="AM120" s="362"/>
      <c r="AN120" s="362"/>
      <c r="AO120" s="414" t="s">
        <v>366</v>
      </c>
      <c r="AP120" s="365"/>
      <c r="AQ120" s="416" t="s">
        <v>217</v>
      </c>
      <c r="AR120" s="417" t="s">
        <v>184</v>
      </c>
      <c r="AX120" s="353"/>
    </row>
    <row r="121" spans="1:50" ht="15" customHeight="1">
      <c r="A121" s="350"/>
      <c r="AA121" s="418" t="s">
        <v>45</v>
      </c>
      <c r="AB121" s="419" t="s">
        <v>58</v>
      </c>
      <c r="AC121" s="420">
        <f xml:space="preserve"> IF(NOT(ISERR(G25)), IF(AND(ISNUMBER(G25), G25 &gt; 0), G25, 0), 0)</f>
        <v>0</v>
      </c>
      <c r="AD121" s="419" t="s">
        <v>59</v>
      </c>
      <c r="AE121" s="420">
        <f xml:space="preserve"> IF(NOT(ISERR(G25)), IF(ISNUMBER(G25), basis!D22, 0), 0)</f>
        <v>0</v>
      </c>
      <c r="AG121" s="421" t="s">
        <v>349</v>
      </c>
      <c r="AH121" s="366"/>
      <c r="AI121" s="368">
        <v>1.5</v>
      </c>
      <c r="AJ121" s="422" t="s">
        <v>353</v>
      </c>
      <c r="AL121" s="362"/>
      <c r="AO121" s="421"/>
      <c r="AP121" s="423" t="s">
        <v>360</v>
      </c>
      <c r="AQ121" s="407">
        <f xml:space="preserve"> IFERROR(IF(AJ133 = 0, 0, AM133 / AJ133), 0)</f>
        <v>1.7233167302828303</v>
      </c>
      <c r="AR121" s="424" t="str">
        <f ca="1" xml:space="preserve"> IFERROR(IF(AQ121 &lt; 1, TEXT(1 / AQ121, fmt_dec_3) &amp; " : 1", "1 : " &amp; TEXT(AQ121, fmt_dec_3)), 0)</f>
        <v>1 : 1.723</v>
      </c>
    </row>
    <row r="122" spans="1:50" ht="15" customHeight="1">
      <c r="A122" s="350"/>
      <c r="U122" s="362"/>
      <c r="V122" s="362"/>
      <c r="W122" s="365" t="s">
        <v>62</v>
      </c>
      <c r="X122" s="365" t="s">
        <v>389</v>
      </c>
      <c r="Y122" s="425" t="s">
        <v>393</v>
      </c>
      <c r="Z122" s="425" t="s">
        <v>394</v>
      </c>
      <c r="AA122" s="426" t="s">
        <v>55</v>
      </c>
      <c r="AB122" s="427" t="s">
        <v>50</v>
      </c>
      <c r="AC122" s="428" t="s">
        <v>51</v>
      </c>
      <c r="AD122" s="427" t="s">
        <v>52</v>
      </c>
      <c r="AE122" s="428" t="s">
        <v>53</v>
      </c>
      <c r="AG122" s="421" t="s">
        <v>341</v>
      </c>
      <c r="AH122" s="366"/>
      <c r="AI122" s="429">
        <f xml:space="preserve"> I234 / I230</f>
        <v>0.61026054257319362</v>
      </c>
      <c r="AJ122" s="422" t="s">
        <v>472</v>
      </c>
      <c r="AM122" s="362"/>
      <c r="AN122" s="362"/>
      <c r="AO122" s="421" t="s">
        <v>364</v>
      </c>
      <c r="AP122" s="421"/>
      <c r="AX122" s="26"/>
    </row>
    <row r="123" spans="1:50" ht="15" customHeight="1">
      <c r="A123" s="350"/>
      <c r="V123" s="365" t="str">
        <f xml:space="preserve"> basis!B8</f>
        <v>FeO</v>
      </c>
      <c r="W123" s="430" t="s">
        <v>169</v>
      </c>
      <c r="X123" s="430" t="s">
        <v>390</v>
      </c>
      <c r="Y123" s="368">
        <f t="shared" ref="Y123:Y131" si="1" xml:space="preserve"> IF($F$23 = V123, $G$23, IF($F$24 = V123, $G$24, 0))</f>
        <v>0</v>
      </c>
      <c r="Z123" s="368">
        <f xml:space="preserve"> SUM(AB123:AC123)</f>
        <v>0</v>
      </c>
      <c r="AA123" s="431" t="s">
        <v>56</v>
      </c>
      <c r="AB123" s="432">
        <f xml:space="preserve"> IF(ISERR(Y123), 0, IF(AND(ISNUMBER(Y123), Y123 &gt; 0), Y123 * basis!G8 / 100, 0))</f>
        <v>0</v>
      </c>
      <c r="AC123" s="433">
        <v>0</v>
      </c>
      <c r="AD123" s="432">
        <f xml:space="preserve"> IF(basis!B22 &gt; 0, basis!B22 * basis!G8 / 100, 0) * IFERROR((1 - K28 / 100), 1)</f>
        <v>32.506888497920507</v>
      </c>
      <c r="AE123" s="433">
        <v>0</v>
      </c>
      <c r="AF123" s="362"/>
      <c r="AG123" s="421" t="s">
        <v>355</v>
      </c>
      <c r="AH123" s="366"/>
      <c r="AI123" s="368">
        <f xml:space="preserve"> IFERROR(IF(OR(K26 &lt; 0, K26 &gt; 100), 0.5, IF(NOT(ISNUMBER(K26)), 0.5, K26 / 100)), 0.5)</f>
        <v>0.5</v>
      </c>
      <c r="AJ123" s="350" t="s">
        <v>354</v>
      </c>
      <c r="AK123" s="362"/>
      <c r="AL123" s="362"/>
      <c r="AM123" s="362"/>
      <c r="AN123" s="362"/>
      <c r="AO123" s="421"/>
      <c r="AP123" s="423" t="s">
        <v>363</v>
      </c>
      <c r="AQ123" s="407">
        <f xml:space="preserve"> IFERROR(1 / AQ121, 0)</f>
        <v>0.58027638357336686</v>
      </c>
      <c r="AR123" s="424" t="str">
        <f ca="1" xml:space="preserve"> IFERROR(IF(AQ123 &lt; 1, TEXT(1 / AQ123, fmt_dec_3) &amp; " : 1", "1 : " &amp; TEXT(AQ123, fmt_dec_3)), "")</f>
        <v>1.723 : 1</v>
      </c>
    </row>
    <row r="124" spans="1:50" ht="15" customHeight="1">
      <c r="A124" s="350"/>
      <c r="V124" s="366" t="str">
        <f xml:space="preserve"> basis!B9</f>
        <v>Fe₂O₃</v>
      </c>
      <c r="W124" s="430" t="s">
        <v>170</v>
      </c>
      <c r="X124" s="430" t="s">
        <v>391</v>
      </c>
      <c r="Y124" s="368">
        <f t="shared" si="1"/>
        <v>0</v>
      </c>
      <c r="Z124" s="368">
        <f t="shared" ref="Z124:Z131" si="2" xml:space="preserve"> SUM(AB124:AC124)</f>
        <v>0</v>
      </c>
      <c r="AA124" s="431" t="s">
        <v>57</v>
      </c>
      <c r="AB124" s="432">
        <v>0</v>
      </c>
      <c r="AC124" s="433">
        <f xml:space="preserve"> IF(ISERR(Y124), 0, IF(AND(ISNUMBER(Y124), Y124 &gt; 0), Y124 * basis!G9 / 100, 0))</f>
        <v>0</v>
      </c>
      <c r="AD124" s="432">
        <v>0</v>
      </c>
      <c r="AE124" s="433">
        <f xml:space="preserve"> IF(basis!C22 &gt; 0, basis!C22 * basis!G9 / 100, 0) * IFERROR((1 - K28 / 100), 1)</f>
        <v>30.865647555674123</v>
      </c>
      <c r="AG124" s="421" t="s">
        <v>343</v>
      </c>
      <c r="AH124" s="366"/>
      <c r="AI124" s="424">
        <f xml:space="preserve"> IFERROR(IF(OR(NOT(ISNUMBER(K27)), ISBLANK(K27), K27 &lt;= 0), AK124, K27), AK124)</f>
        <v>1</v>
      </c>
      <c r="AJ124" s="434" t="s">
        <v>470</v>
      </c>
      <c r="AK124" s="435">
        <v>1</v>
      </c>
      <c r="AL124" s="362"/>
      <c r="AM124" s="362"/>
      <c r="AN124" s="362"/>
      <c r="AO124" s="421" t="s">
        <v>365</v>
      </c>
      <c r="AP124" s="436"/>
    </row>
    <row r="125" spans="1:50" ht="15" customHeight="1">
      <c r="A125" s="350"/>
      <c r="V125" s="366" t="str">
        <f xml:space="preserve"> basis!B10</f>
        <v>Fe₃O₄</v>
      </c>
      <c r="W125" s="430" t="s">
        <v>384</v>
      </c>
      <c r="X125" s="430" t="s">
        <v>392</v>
      </c>
      <c r="Y125" s="368">
        <f t="shared" si="1"/>
        <v>0</v>
      </c>
      <c r="Z125" s="368">
        <f t="shared" si="2"/>
        <v>0</v>
      </c>
      <c r="AA125" s="431" t="s">
        <v>54</v>
      </c>
      <c r="AB125" s="432">
        <f xml:space="preserve"> IF(ISERR(Y125), 0, IF(AND(ISNUMBER(Y125), Y125 &gt; 0), Y125 / 3 * basis!G10 / 100, 0))</f>
        <v>0</v>
      </c>
      <c r="AC125" s="433">
        <f xml:space="preserve"> IF(ISERR(Y125), 0, IF(AND(ISNUMBER(Y125), Y125 &gt; 0), Y125 * 2 / 3 * basis!G10 / 100, 0))</f>
        <v>0</v>
      </c>
      <c r="AD125" s="432">
        <v>0</v>
      </c>
      <c r="AE125" s="433">
        <v>0</v>
      </c>
      <c r="AG125" s="421" t="s">
        <v>342</v>
      </c>
      <c r="AH125" s="366"/>
      <c r="AI125" s="437">
        <f xml:space="preserve"> I231 / I234</f>
        <v>0.94087441314553988</v>
      </c>
      <c r="AJ125" s="438" t="s">
        <v>473</v>
      </c>
      <c r="AK125" s="362"/>
      <c r="AL125" s="362"/>
      <c r="AM125" s="362"/>
      <c r="AN125" s="362"/>
      <c r="AO125" s="436"/>
      <c r="AP125" s="423" t="s">
        <v>367</v>
      </c>
      <c r="AQ125" s="407">
        <f xml:space="preserve"> IFERROR(AJ161 / AJ160 * AQ123, 0)</f>
        <v>0.85367583300043492</v>
      </c>
      <c r="AR125" s="424" t="str">
        <f ca="1" xml:space="preserve"> IFERROR(IF(AQ125 &lt; 1, TEXT(1 / AQ125, fmt_dec_3) &amp; " : 1", "1 : " &amp; TEXT(AQ125, fmt_dec_3)), "")</f>
        <v>1.171 : 1</v>
      </c>
      <c r="AS125" s="362"/>
      <c r="AT125" s="362"/>
      <c r="AU125" s="362"/>
      <c r="AV125" s="362"/>
    </row>
    <row r="126" spans="1:50" ht="15" customHeight="1">
      <c r="A126" s="350"/>
      <c r="V126" s="366" t="str">
        <f xml:space="preserve"> basis!B11</f>
        <v>FeCl₂</v>
      </c>
      <c r="W126" s="430" t="s">
        <v>385</v>
      </c>
      <c r="X126" s="430" t="s">
        <v>390</v>
      </c>
      <c r="Y126" s="368">
        <f t="shared" si="1"/>
        <v>0</v>
      </c>
      <c r="Z126" s="368">
        <f t="shared" si="2"/>
        <v>0</v>
      </c>
      <c r="AA126" s="431" t="s">
        <v>56</v>
      </c>
      <c r="AB126" s="432">
        <f xml:space="preserve"> IF(ISERR(Y126), 0, IF(AND(ISNUMBER(Y126), Y126 &gt; 0), Y126 * basis!G11 / 100, 0))</f>
        <v>0</v>
      </c>
      <c r="AC126" s="433">
        <v>0</v>
      </c>
      <c r="AD126" s="432">
        <v>0</v>
      </c>
      <c r="AE126" s="433">
        <v>0</v>
      </c>
      <c r="AG126" s="362"/>
      <c r="AH126" s="362"/>
      <c r="AI126" s="362"/>
      <c r="AJ126" s="362"/>
      <c r="AK126" s="362"/>
      <c r="AL126" s="362"/>
      <c r="AM126" s="362"/>
      <c r="AN126" s="439"/>
      <c r="AO126" s="362"/>
      <c r="AP126" s="362"/>
      <c r="AQ126" s="362"/>
      <c r="AR126" s="362"/>
      <c r="AS126" s="362"/>
      <c r="AT126" s="362"/>
      <c r="AU126" s="362"/>
      <c r="AV126" s="362"/>
    </row>
    <row r="127" spans="1:50" ht="15" customHeight="1">
      <c r="A127" s="350"/>
      <c r="V127" s="366" t="str">
        <f xml:space="preserve"> basis!B12</f>
        <v>FeCl₃</v>
      </c>
      <c r="W127" s="430" t="s">
        <v>171</v>
      </c>
      <c r="X127" s="430" t="s">
        <v>391</v>
      </c>
      <c r="Y127" s="368">
        <f t="shared" si="1"/>
        <v>0</v>
      </c>
      <c r="Z127" s="368">
        <f t="shared" si="2"/>
        <v>0</v>
      </c>
      <c r="AA127" s="431" t="s">
        <v>57</v>
      </c>
      <c r="AB127" s="432">
        <v>0</v>
      </c>
      <c r="AC127" s="433">
        <f xml:space="preserve"> IF(ISERR(Y127), 0, IF(AND(ISNUMBER(Y127), Y127 &gt; 0), Y127 * basis!G12 / 100, 0))</f>
        <v>0</v>
      </c>
      <c r="AD127" s="432">
        <v>0</v>
      </c>
      <c r="AE127" s="433">
        <v>0</v>
      </c>
      <c r="AG127" s="362"/>
      <c r="AH127" s="779" t="str">
        <f xml:space="preserve"> G21</f>
        <v>Your_Additive</v>
      </c>
      <c r="AI127" s="779"/>
      <c r="AJ127" s="260" t="s">
        <v>344</v>
      </c>
      <c r="AK127" s="779" t="str">
        <f xml:space="preserve"> AB117</f>
        <v>SBGx</v>
      </c>
      <c r="AL127" s="779"/>
      <c r="AM127" s="260" t="s">
        <v>344</v>
      </c>
      <c r="AO127" s="362"/>
      <c r="AP127" s="362"/>
      <c r="AQ127" s="362"/>
      <c r="AR127" s="362"/>
      <c r="AS127" s="362"/>
      <c r="AT127" s="362"/>
      <c r="AU127" s="362"/>
      <c r="AV127" s="362"/>
    </row>
    <row r="128" spans="1:50" ht="15" customHeight="1">
      <c r="A128" s="350"/>
      <c r="V128" s="366" t="str">
        <f xml:space="preserve"> basis!B13</f>
        <v>FeO(OH)</v>
      </c>
      <c r="W128" s="430" t="s">
        <v>172</v>
      </c>
      <c r="X128" s="430" t="s">
        <v>391</v>
      </c>
      <c r="Y128" s="368">
        <f t="shared" si="1"/>
        <v>52.505960999999999</v>
      </c>
      <c r="Z128" s="368">
        <f t="shared" si="2"/>
        <v>33.000990099293496</v>
      </c>
      <c r="AA128" s="431" t="s">
        <v>57</v>
      </c>
      <c r="AB128" s="432">
        <v>0</v>
      </c>
      <c r="AC128" s="433">
        <f xml:space="preserve"> IF(ISERR(Y128), 0, IF(AND(ISNUMBER(Y128), Y128 &gt; 0), Y128 * basis!G13 / 100, 0))</f>
        <v>33.000990099293496</v>
      </c>
      <c r="AD128" s="432">
        <v>0</v>
      </c>
      <c r="AE128" s="433">
        <v>0</v>
      </c>
      <c r="AG128" s="365" t="s">
        <v>351</v>
      </c>
      <c r="AH128" s="368">
        <f xml:space="preserve"> AB132 / 100</f>
        <v>0</v>
      </c>
      <c r="AI128" s="368">
        <f xml:space="preserve"> AC132 / 100</f>
        <v>0.33000990099293498</v>
      </c>
      <c r="AJ128" s="440">
        <f t="shared" ref="AJ128:AJ134" si="3">SUM(AH128:AI128)</f>
        <v>0.33000990099293498</v>
      </c>
      <c r="AK128" s="368">
        <f xml:space="preserve"> AD132 / 100</f>
        <v>0.32506888497920505</v>
      </c>
      <c r="AL128" s="368">
        <f xml:space="preserve"> AE132 / 100</f>
        <v>0.30865647555674125</v>
      </c>
      <c r="AM128" s="440">
        <f t="shared" ref="AM128:AM134" si="4">SUM(AK128:AL128)</f>
        <v>0.6337253605359463</v>
      </c>
      <c r="AO128" s="362"/>
      <c r="AP128" s="362"/>
      <c r="AQ128" s="362"/>
      <c r="AR128" s="362"/>
      <c r="AS128" s="362"/>
      <c r="AT128" s="362"/>
      <c r="AU128" s="362"/>
      <c r="AV128" s="362"/>
    </row>
    <row r="129" spans="1:50" ht="15" customHeight="1">
      <c r="A129" s="350"/>
      <c r="V129" s="366" t="str">
        <f xml:space="preserve"> basis!B14</f>
        <v>Fe(OH)₂</v>
      </c>
      <c r="W129" s="430" t="s">
        <v>386</v>
      </c>
      <c r="X129" s="430" t="s">
        <v>390</v>
      </c>
      <c r="Y129" s="368">
        <f t="shared" si="1"/>
        <v>0</v>
      </c>
      <c r="Z129" s="368">
        <f t="shared" si="2"/>
        <v>0</v>
      </c>
      <c r="AA129" s="431" t="s">
        <v>56</v>
      </c>
      <c r="AB129" s="432">
        <f xml:space="preserve"> IF(ISERR(Y129), 0, IF(AND(ISNUMBER(Y129), Y129 &gt; 0), Y129 * basis!G14 / 100, 0))</f>
        <v>0</v>
      </c>
      <c r="AC129" s="433">
        <v>0</v>
      </c>
      <c r="AD129" s="432">
        <v>0</v>
      </c>
      <c r="AE129" s="433">
        <v>0</v>
      </c>
      <c r="AG129" s="441" t="s">
        <v>340</v>
      </c>
      <c r="AH129" s="368">
        <f xml:space="preserve"> AH128 * (100 - $AC$121) / 100</f>
        <v>0</v>
      </c>
      <c r="AI129" s="368">
        <f xml:space="preserve"> AI128 * (100 - $AC$121) / 100</f>
        <v>0.33000990099293498</v>
      </c>
      <c r="AJ129" s="440">
        <f t="shared" si="3"/>
        <v>0.33000990099293498</v>
      </c>
      <c r="AK129" s="368">
        <f xml:space="preserve"> AK128 * (100 - $AE$121) / 100</f>
        <v>0.32506888497920505</v>
      </c>
      <c r="AL129" s="368">
        <f xml:space="preserve"> AL128 * (100 - $AE$121) / 100</f>
        <v>0.30865647555674125</v>
      </c>
      <c r="AM129" s="440">
        <f t="shared" si="4"/>
        <v>0.6337253605359463</v>
      </c>
      <c r="AO129" s="439"/>
      <c r="AP129" s="439"/>
      <c r="AQ129" s="439"/>
      <c r="AR129" s="439"/>
      <c r="AS129" s="439"/>
      <c r="AT129" s="439"/>
      <c r="AU129" s="439"/>
      <c r="AV129" s="439"/>
    </row>
    <row r="130" spans="1:50" ht="15" customHeight="1">
      <c r="A130" s="350"/>
      <c r="V130" s="366" t="str">
        <f xml:space="preserve"> basis!B15</f>
        <v>Fe(OH)₃</v>
      </c>
      <c r="W130" s="430" t="s">
        <v>387</v>
      </c>
      <c r="X130" s="430" t="s">
        <v>391</v>
      </c>
      <c r="Y130" s="368">
        <f t="shared" si="1"/>
        <v>0</v>
      </c>
      <c r="Z130" s="368">
        <f t="shared" si="2"/>
        <v>0</v>
      </c>
      <c r="AA130" s="431" t="s">
        <v>57</v>
      </c>
      <c r="AB130" s="432">
        <v>0</v>
      </c>
      <c r="AC130" s="433">
        <f xml:space="preserve"> IF(ISERR(Y130), 0, IF(AND(ISNUMBER(Y130), Y130 &gt; 0), Y130 * basis!G15 / 100, 0))</f>
        <v>0</v>
      </c>
      <c r="AD130" s="432">
        <v>0</v>
      </c>
      <c r="AE130" s="433">
        <v>0</v>
      </c>
      <c r="AG130" s="366" t="s">
        <v>350</v>
      </c>
      <c r="AH130" s="368">
        <f xml:space="preserve"> AH129 * $AI$120</f>
        <v>0</v>
      </c>
      <c r="AI130" s="368">
        <f xml:space="preserve"> AI129 * $AI$121</f>
        <v>0.4950148514894025</v>
      </c>
      <c r="AJ130" s="440">
        <f t="shared" si="3"/>
        <v>0.4950148514894025</v>
      </c>
      <c r="AK130" s="368">
        <f xml:space="preserve"> AK129 * $AI$120</f>
        <v>0.32506888497920505</v>
      </c>
      <c r="AL130" s="368">
        <f xml:space="preserve"> AL129 * $AI$121</f>
        <v>0.46298471333511187</v>
      </c>
      <c r="AM130" s="440">
        <f t="shared" si="4"/>
        <v>0.78805359831431687</v>
      </c>
      <c r="AN130" s="362" t="s">
        <v>347</v>
      </c>
      <c r="AO130" s="362"/>
      <c r="AP130" s="362"/>
      <c r="AQ130" s="362"/>
      <c r="AR130" s="362"/>
      <c r="AS130" s="362"/>
      <c r="AT130" s="362"/>
      <c r="AU130" s="362"/>
      <c r="AV130" s="362"/>
    </row>
    <row r="131" spans="1:50" ht="15" customHeight="1">
      <c r="A131" s="350"/>
      <c r="V131" s="366" t="str">
        <f xml:space="preserve"> basis!B16</f>
        <v>Fe₂O₃·3H₂O</v>
      </c>
      <c r="W131" s="430" t="s">
        <v>388</v>
      </c>
      <c r="X131" s="430" t="s">
        <v>391</v>
      </c>
      <c r="Y131" s="368">
        <f t="shared" si="1"/>
        <v>0</v>
      </c>
      <c r="Z131" s="368">
        <f t="shared" si="2"/>
        <v>0</v>
      </c>
      <c r="AA131" s="431" t="s">
        <v>57</v>
      </c>
      <c r="AB131" s="432">
        <v>0</v>
      </c>
      <c r="AC131" s="433">
        <f xml:space="preserve"> IF(ISERR(Y131), 0, IF(AND(ISNUMBER(Y131), Y131 &gt; 0), Y131 * basis!G16 / 100, 0))</f>
        <v>0</v>
      </c>
      <c r="AD131" s="432">
        <v>0</v>
      </c>
      <c r="AE131" s="433">
        <v>0</v>
      </c>
      <c r="AG131" s="365" t="s">
        <v>345</v>
      </c>
      <c r="AH131" s="424">
        <f xml:space="preserve"> AH130</f>
        <v>0</v>
      </c>
      <c r="AI131" s="424">
        <f xml:space="preserve"> AI130 - AI130 / 3 * $AI$123</f>
        <v>0.41251237624116877</v>
      </c>
      <c r="AJ131" s="424">
        <f t="shared" si="3"/>
        <v>0.41251237624116877</v>
      </c>
      <c r="AK131" s="424">
        <f xml:space="preserve"> AK130</f>
        <v>0.32506888497920505</v>
      </c>
      <c r="AL131" s="442">
        <f xml:space="preserve"> AL130 - AL130 / 3 * $AI$123</f>
        <v>0.38582059444592653</v>
      </c>
      <c r="AM131" s="442">
        <f t="shared" si="4"/>
        <v>0.71088947942513159</v>
      </c>
      <c r="AN131" s="438" t="s">
        <v>356</v>
      </c>
      <c r="AO131" s="362"/>
      <c r="AP131" s="362"/>
      <c r="AQ131" s="362"/>
      <c r="AR131" s="362"/>
      <c r="AS131" s="362"/>
      <c r="AT131" s="362"/>
      <c r="AU131" s="362"/>
      <c r="AV131" s="362"/>
    </row>
    <row r="132" spans="1:50" ht="15" customHeight="1">
      <c r="A132" s="350"/>
      <c r="AA132" s="443" t="s">
        <v>60</v>
      </c>
      <c r="AB132" s="444">
        <f xml:space="preserve"> SUM(AB123:AB131)</f>
        <v>0</v>
      </c>
      <c r="AC132" s="443">
        <f xml:space="preserve"> SUM(AC123:AC131)</f>
        <v>33.000990099293496</v>
      </c>
      <c r="AD132" s="444">
        <f xml:space="preserve"> SUM(AD123:AD131)</f>
        <v>32.506888497920507</v>
      </c>
      <c r="AE132" s="443">
        <f xml:space="preserve"> SUM(AE123:AE131)</f>
        <v>30.865647555674123</v>
      </c>
      <c r="AF132" s="362"/>
      <c r="AG132" s="261" t="s">
        <v>346</v>
      </c>
      <c r="AH132" s="437">
        <f xml:space="preserve"> AH131</f>
        <v>0</v>
      </c>
      <c r="AI132" s="437">
        <f xml:space="preserve"> AI131</f>
        <v>0.41251237624116877</v>
      </c>
      <c r="AJ132" s="262">
        <f t="shared" si="3"/>
        <v>0.41251237624116877</v>
      </c>
      <c r="AK132" s="437">
        <f xml:space="preserve"> AK131 / $AI$124</f>
        <v>0.32506888497920505</v>
      </c>
      <c r="AL132" s="437">
        <f xml:space="preserve"> AL131 / $AI$124</f>
        <v>0.38582059444592653</v>
      </c>
      <c r="AM132" s="263">
        <f t="shared" si="4"/>
        <v>0.71088947942513159</v>
      </c>
      <c r="AN132" s="438" t="s">
        <v>357</v>
      </c>
      <c r="AO132" s="362"/>
      <c r="AP132" s="362"/>
      <c r="AQ132" s="362"/>
      <c r="AR132" s="362"/>
      <c r="AS132" s="362"/>
      <c r="AT132" s="362"/>
      <c r="AU132" s="362"/>
      <c r="AV132" s="439"/>
    </row>
    <row r="133" spans="1:50" ht="15" customHeight="1">
      <c r="A133" s="350"/>
      <c r="AA133" s="445" t="s">
        <v>309</v>
      </c>
      <c r="AB133" s="446"/>
      <c r="AC133" s="447">
        <f xml:space="preserve"> (AB132 + AC132) * (100 - AC121) / 100</f>
        <v>33.000990099293496</v>
      </c>
      <c r="AD133" s="446"/>
      <c r="AE133" s="448">
        <f xml:space="preserve"> (AD132 + AE132) * (100 - AE121) / 100</f>
        <v>63.372536053594629</v>
      </c>
      <c r="AF133" s="362"/>
      <c r="AG133" s="261" t="s">
        <v>554</v>
      </c>
      <c r="AH133" s="437">
        <f xml:space="preserve"> AH132 * $AI$122</f>
        <v>0</v>
      </c>
      <c r="AI133" s="437">
        <f xml:space="preserve"> AI132 * $AI$122</f>
        <v>0.25174002654309302</v>
      </c>
      <c r="AJ133" s="262">
        <f t="shared" si="3"/>
        <v>0.25174002654309302</v>
      </c>
      <c r="AK133" s="437">
        <f xml:space="preserve"> AK132 * $AI$122</f>
        <v>0.19837671412107274</v>
      </c>
      <c r="AL133" s="437">
        <f xml:space="preserve"> AL132 * $AI$122</f>
        <v>0.23545108530248321</v>
      </c>
      <c r="AM133" s="263">
        <f t="shared" si="4"/>
        <v>0.43382779942355598</v>
      </c>
      <c r="AN133" s="438" t="s">
        <v>358</v>
      </c>
      <c r="AO133" s="362"/>
      <c r="AP133" s="362"/>
      <c r="AQ133" s="362"/>
      <c r="AR133" s="362"/>
      <c r="AS133" s="362"/>
      <c r="AT133" s="362"/>
      <c r="AU133" s="362"/>
      <c r="AV133" s="362"/>
    </row>
    <row r="134" spans="1:50" ht="15" customHeight="1">
      <c r="A134" s="350"/>
      <c r="AA134" s="443" t="s">
        <v>107</v>
      </c>
      <c r="AB134" s="444">
        <f xml:space="preserve"> AB132 / (AB132 + AC132) * 100</f>
        <v>0</v>
      </c>
      <c r="AC134" s="444">
        <f xml:space="preserve"> AC132 / (AB132 + AC132) * 100</f>
        <v>100</v>
      </c>
      <c r="AD134" s="444">
        <f xml:space="preserve"> AD132 / (AD132 + AE132) * 100</f>
        <v>51.29491499350631</v>
      </c>
      <c r="AE134" s="444">
        <f xml:space="preserve"> AE132 / (AD132 + AE132) * 100</f>
        <v>48.70508500649369</v>
      </c>
      <c r="AF134" s="8"/>
      <c r="AG134" s="261" t="s">
        <v>555</v>
      </c>
      <c r="AH134" s="437">
        <f xml:space="preserve"> AH133 * $AI$125</f>
        <v>0</v>
      </c>
      <c r="AI134" s="437">
        <f xml:space="preserve"> AI133 * $AI$125</f>
        <v>0.23685574973897527</v>
      </c>
      <c r="AJ134" s="262">
        <f t="shared" si="3"/>
        <v>0.23685574973897527</v>
      </c>
      <c r="AK134" s="437">
        <f xml:space="preserve"> AK133 * $AI$125</f>
        <v>0.18664757448040487</v>
      </c>
      <c r="AL134" s="437">
        <f xml:space="preserve"> AL133 * $AI$125</f>
        <v>0.22152990170845435</v>
      </c>
      <c r="AM134" s="263">
        <f t="shared" si="4"/>
        <v>0.40817747618885925</v>
      </c>
      <c r="AN134" s="438" t="s">
        <v>359</v>
      </c>
      <c r="AO134" s="362"/>
      <c r="AP134" s="362"/>
      <c r="AQ134" s="362"/>
      <c r="AR134" s="362"/>
      <c r="AS134" s="362"/>
      <c r="AT134" s="362"/>
      <c r="AU134" s="362"/>
      <c r="AV134" s="362"/>
    </row>
    <row r="135" spans="1:50" ht="15" customHeight="1">
      <c r="A135" s="350"/>
      <c r="AA135" s="449" t="s">
        <v>61</v>
      </c>
      <c r="AB135" s="450"/>
      <c r="AC135" s="449" t="str">
        <f xml:space="preserve">
IF(AB132 = 0,
    IF(AC132 = 0, "0 : 0", "0 : 100"),
    IF(AC132 = 0,
        "100 : 0",
        ROUND(AB134, 0) &amp; " : " &amp; 100 - ROUND(AB134, 0)
    )
)</f>
        <v>0 : 100</v>
      </c>
      <c r="AD135" s="450"/>
      <c r="AE135" s="449" t="str">
        <f xml:space="preserve">
IF(AD132 = 0,
    IF(AE132 = 0, "0 : 0", "0 : 100"),
    IF(AE132 = 0,
        "100 : 0",
        ROUND(AD134, 0) &amp; " : " &amp; 100 - ROUND(AD134, 0)
    )
)</f>
        <v>51 : 49</v>
      </c>
      <c r="AF135" s="362"/>
      <c r="AG135" s="362" t="s">
        <v>361</v>
      </c>
      <c r="AH135" s="362">
        <f xml:space="preserve"> AM133 / AJ133 - 1</f>
        <v>0.72331673028283028</v>
      </c>
      <c r="AI135" s="362"/>
      <c r="AJ135" s="362"/>
      <c r="AK135" s="362"/>
      <c r="AL135" s="383" t="s">
        <v>362</v>
      </c>
      <c r="AM135" s="362">
        <f xml:space="preserve"> AJ133 / AM133 - 1</f>
        <v>-0.41972361642663314</v>
      </c>
      <c r="AN135" s="362"/>
      <c r="AO135" s="362"/>
      <c r="AP135" s="362"/>
      <c r="AQ135" s="362"/>
      <c r="AR135" s="362"/>
      <c r="AS135" s="362"/>
      <c r="AT135" s="362"/>
      <c r="AU135" s="362"/>
      <c r="AV135" s="362"/>
    </row>
    <row r="136" spans="1:50" ht="15" customHeight="1">
      <c r="A136" s="350"/>
      <c r="AA136" s="451"/>
      <c r="AB136" s="451"/>
      <c r="AC136" s="451"/>
      <c r="AD136" s="451"/>
      <c r="AE136" s="451"/>
      <c r="AF136" s="362"/>
      <c r="AG136" s="354"/>
      <c r="AH136" s="354"/>
      <c r="AI136" s="354"/>
      <c r="AJ136" s="354"/>
      <c r="AK136" s="354"/>
      <c r="AL136" s="354"/>
      <c r="AM136" s="354"/>
      <c r="AN136" s="354"/>
      <c r="AO136" s="354"/>
      <c r="AP136" s="354"/>
      <c r="AQ136" s="354"/>
      <c r="AR136" s="354"/>
      <c r="AS136" s="354"/>
      <c r="AT136" s="354"/>
      <c r="AU136" s="354"/>
      <c r="AV136" s="354"/>
      <c r="AW136" s="354"/>
      <c r="AX136" s="354"/>
    </row>
    <row r="137" spans="1:50" ht="15" customHeight="1">
      <c r="A137" s="350"/>
      <c r="U137" s="356"/>
      <c r="V137" s="356"/>
      <c r="W137" s="356"/>
      <c r="X137" s="356"/>
      <c r="Y137" s="356"/>
      <c r="Z137" s="356"/>
      <c r="AA137" s="357"/>
      <c r="AB137" s="357"/>
      <c r="AC137" s="357"/>
      <c r="AD137" s="357"/>
      <c r="AE137" s="357"/>
      <c r="AF137" s="357"/>
      <c r="AG137" s="356"/>
      <c r="AH137" s="356"/>
      <c r="AI137" s="356"/>
      <c r="AJ137" s="356"/>
      <c r="AK137" s="356"/>
      <c r="AL137" s="356"/>
      <c r="AM137" s="356"/>
      <c r="AN137" s="356"/>
      <c r="AO137" s="356"/>
      <c r="AP137" s="356"/>
      <c r="AQ137" s="356"/>
      <c r="AR137" s="356"/>
      <c r="AS137" s="356"/>
      <c r="AT137" s="356"/>
      <c r="AU137" s="356"/>
      <c r="AV137" s="356"/>
      <c r="AW137" s="284"/>
      <c r="AX137" s="354"/>
    </row>
    <row r="138" spans="1:50" ht="15" customHeight="1">
      <c r="A138" s="350"/>
      <c r="AA138" s="362"/>
      <c r="AB138" s="362"/>
      <c r="AC138" s="362"/>
      <c r="AD138" s="362"/>
      <c r="AE138" s="362"/>
      <c r="AF138" s="362"/>
    </row>
    <row r="139" spans="1:50" ht="15" customHeight="1">
      <c r="A139" s="350"/>
      <c r="AA139" s="406"/>
      <c r="AB139" s="406"/>
      <c r="AC139" s="406"/>
    </row>
    <row r="140" spans="1:50" ht="15" customHeight="1">
      <c r="A140" s="350"/>
      <c r="AA140" s="406"/>
      <c r="AB140" s="406"/>
      <c r="AC140" s="406"/>
      <c r="AD140" s="22" t="s">
        <v>73</v>
      </c>
      <c r="AE140" s="452"/>
      <c r="AG140" s="365" t="s">
        <v>381</v>
      </c>
      <c r="AH140" s="442" t="str">
        <f xml:space="preserve"> F43</f>
        <v>Kilogram [kg/day]</v>
      </c>
      <c r="AI140" s="453"/>
      <c r="AJ140" s="533" t="s">
        <v>513</v>
      </c>
      <c r="AK140" s="442" t="b">
        <f xml:space="preserve"> IF(AND(AH140 = 0, AH141 = 0), TRUE, IF(OR(AH140 = AG149, AH140 = AG151, AH140 = AG154, AH141 = AH149, AH141 = AH151, AH141 = AH154), TRUE, FALSE))</f>
        <v>1</v>
      </c>
      <c r="AO140" s="273" t="s">
        <v>380</v>
      </c>
      <c r="AP140" s="417" t="s">
        <v>80</v>
      </c>
      <c r="AQ140" s="425" t="s">
        <v>368</v>
      </c>
    </row>
    <row r="141" spans="1:50" ht="15" customHeight="1">
      <c r="A141" s="350"/>
      <c r="AA141" s="406"/>
      <c r="AB141" s="406"/>
      <c r="AC141" s="406"/>
      <c r="AD141" s="454" t="s">
        <v>74</v>
      </c>
      <c r="AE141" s="455" t="s">
        <v>75</v>
      </c>
      <c r="AG141" s="366" t="s">
        <v>382</v>
      </c>
      <c r="AH141" s="368" t="str">
        <f xml:space="preserve"> F39</f>
        <v>Metric ton (Tonne) [/t]</v>
      </c>
      <c r="AI141" s="453"/>
      <c r="AO141" s="366" t="s">
        <v>87</v>
      </c>
      <c r="AP141" s="437" t="s">
        <v>76</v>
      </c>
      <c r="AQ141" s="368">
        <v>1</v>
      </c>
    </row>
    <row r="142" spans="1:50" ht="15" customHeight="1">
      <c r="A142" s="350"/>
      <c r="AA142" s="406"/>
      <c r="AB142" s="406"/>
      <c r="AC142" s="406"/>
      <c r="AD142" s="23" t="s">
        <v>65</v>
      </c>
      <c r="AE142" s="24" t="s">
        <v>66</v>
      </c>
      <c r="AO142" s="366" t="s">
        <v>88</v>
      </c>
      <c r="AP142" s="437" t="s">
        <v>77</v>
      </c>
      <c r="AQ142" s="368">
        <v>7</v>
      </c>
    </row>
    <row r="143" spans="1:50" ht="15" customHeight="1">
      <c r="A143" s="350"/>
      <c r="AA143" s="406"/>
      <c r="AB143" s="406"/>
      <c r="AC143" s="406"/>
      <c r="AD143" s="454" t="s">
        <v>67</v>
      </c>
      <c r="AE143" s="455">
        <v>0.45359237000000002</v>
      </c>
      <c r="AH143" s="416" t="s">
        <v>370</v>
      </c>
      <c r="AI143" s="425" t="s">
        <v>371</v>
      </c>
      <c r="AJ143" s="425" t="s">
        <v>375</v>
      </c>
      <c r="AK143" s="425" t="s">
        <v>376</v>
      </c>
      <c r="AO143" s="366" t="s">
        <v>89</v>
      </c>
      <c r="AP143" s="437" t="s">
        <v>78</v>
      </c>
      <c r="AQ143" s="368">
        <v>30</v>
      </c>
    </row>
    <row r="144" spans="1:50" ht="15" customHeight="1">
      <c r="A144" s="350"/>
      <c r="AA144" s="406"/>
      <c r="AB144" s="406"/>
      <c r="AC144" s="406"/>
      <c r="AD144" s="454" t="s">
        <v>68</v>
      </c>
      <c r="AE144" s="455">
        <v>1016.0469000000001</v>
      </c>
      <c r="AG144" s="456" t="str">
        <f xml:space="preserve"> "Input values for " &amp; G21</f>
        <v>Input values for Your_Additive</v>
      </c>
      <c r="AH144" s="457">
        <f xml:space="preserve"> IFERROR(IF(G43 &gt; 0, G43, 0), 0)</f>
        <v>920.000001</v>
      </c>
      <c r="AI144" s="458">
        <f xml:space="preserve"> IFERROR(IF(G40 &gt; 0, G40, 0), 0)</f>
        <v>0</v>
      </c>
      <c r="AJ144" s="458">
        <f xml:space="preserve"> G39</f>
        <v>520.000001</v>
      </c>
      <c r="AK144" s="459"/>
      <c r="AO144" s="366" t="s">
        <v>90</v>
      </c>
      <c r="AP144" s="437" t="s">
        <v>79</v>
      </c>
      <c r="AQ144" s="368">
        <v>365</v>
      </c>
    </row>
    <row r="145" spans="1:50" ht="15" customHeight="1">
      <c r="A145" s="350"/>
      <c r="AD145" s="454" t="s">
        <v>69</v>
      </c>
      <c r="AE145" s="455">
        <v>907.18474000000003</v>
      </c>
      <c r="AG145" s="421" t="str">
        <f xml:space="preserve"> "Input value for " &amp; AB117</f>
        <v>Input value for SBGx</v>
      </c>
      <c r="AH145" s="460"/>
      <c r="AI145" s="460"/>
      <c r="AJ145" s="460"/>
      <c r="AK145" s="461">
        <f xml:space="preserve"> IF(ISERR(K41), 0, IF(AND(ISNUMBER(K41), K41 &gt; 0), K41, 0))</f>
        <v>765.000001</v>
      </c>
      <c r="AO145" s="270" t="s">
        <v>378</v>
      </c>
      <c r="AP145" s="269" t="str">
        <f xml:space="preserve"> IFERROR(VLOOKUP(M46, AO141:AQ144, 2, FALSE), AP144)</f>
        <v>yearly</v>
      </c>
      <c r="AQ145" s="270">
        <f xml:space="preserve"> IFERROR(VLOOKUP(M46, AO141:AQ144, 3, FALSE), 365)</f>
        <v>365</v>
      </c>
    </row>
    <row r="146" spans="1:50" ht="15" customHeight="1">
      <c r="A146" s="350"/>
      <c r="AD146" s="454" t="s">
        <v>116</v>
      </c>
      <c r="AE146" s="455" t="s">
        <v>116</v>
      </c>
      <c r="AG146" s="421" t="s">
        <v>373</v>
      </c>
      <c r="AH146" s="462"/>
      <c r="AI146" s="430" t="b">
        <f xml:space="preserve">
IF(F39 = AH154,
    IF(OR(F43 = AG155, F43 = AG156), TRUE, FALSE),
    IF(F39 = AH155,
        IF(OR(F43 = AG154, F43 = AG156), TRUE, FALSE),
        IF(F39 = AH156,
            IF(OR(F43 = AG154, F43 = AG155), TRUE, FALSE),
            FALSE
        )
    )
)</f>
        <v>0</v>
      </c>
    </row>
    <row r="147" spans="1:50" ht="15" customHeight="1">
      <c r="A147" s="350"/>
      <c r="AA147" s="8"/>
      <c r="AB147" s="362"/>
      <c r="AC147" s="362"/>
      <c r="AD147" s="23" t="s">
        <v>70</v>
      </c>
      <c r="AE147" s="24" t="s">
        <v>71</v>
      </c>
    </row>
    <row r="148" spans="1:50" ht="15" customHeight="1">
      <c r="A148" s="350"/>
      <c r="AA148" s="362"/>
      <c r="AB148" s="362"/>
      <c r="AC148" s="362"/>
      <c r="AD148" s="454" t="s">
        <v>72</v>
      </c>
      <c r="AE148" s="455">
        <v>4.5460900000000004</v>
      </c>
      <c r="AG148" s="270" t="s">
        <v>372</v>
      </c>
      <c r="AH148" s="269" t="s">
        <v>379</v>
      </c>
      <c r="AI148" s="282" t="s">
        <v>374</v>
      </c>
      <c r="AJ148" s="282" t="s">
        <v>377</v>
      </c>
      <c r="AK148" s="269" t="s">
        <v>395</v>
      </c>
      <c r="AL148" s="269" t="s">
        <v>396</v>
      </c>
      <c r="AM148" s="624" t="s">
        <v>549</v>
      </c>
    </row>
    <row r="149" spans="1:50" ht="15" customHeight="1">
      <c r="A149" s="350"/>
      <c r="AA149" s="362"/>
      <c r="AB149" s="362"/>
      <c r="AC149" s="362"/>
      <c r="AD149" s="463" t="s">
        <v>102</v>
      </c>
      <c r="AE149" s="464">
        <v>3.7854117839999999</v>
      </c>
      <c r="AF149" s="26"/>
      <c r="AG149" s="465" t="s">
        <v>83</v>
      </c>
      <c r="AH149" s="366" t="s">
        <v>91</v>
      </c>
      <c r="AI149" s="368">
        <f xml:space="preserve"> AH144</f>
        <v>920.000001</v>
      </c>
      <c r="AJ149" s="368">
        <f xml:space="preserve"> AJ144 * 1000</f>
        <v>520000.00099999999</v>
      </c>
      <c r="AK149" s="368"/>
      <c r="AL149" s="283"/>
      <c r="AM149" s="622">
        <f xml:space="preserve"> AM151 * 1000</f>
        <v>1000</v>
      </c>
      <c r="AN149" s="26"/>
      <c r="AO149" s="26"/>
      <c r="AP149" s="26"/>
      <c r="AQ149" s="26"/>
      <c r="AR149" s="26"/>
      <c r="AS149" s="26"/>
    </row>
    <row r="150" spans="1:50" ht="15" customHeight="1">
      <c r="A150" s="350"/>
      <c r="AA150" s="383"/>
      <c r="AB150" s="362"/>
      <c r="AC150" s="362"/>
      <c r="AD150" s="26"/>
      <c r="AE150" s="26"/>
      <c r="AF150" s="26"/>
      <c r="AG150" s="465" t="s">
        <v>86</v>
      </c>
      <c r="AH150" s="366" t="s">
        <v>94</v>
      </c>
      <c r="AI150" s="368">
        <f xml:space="preserve"> AH144 * AE143</f>
        <v>417.30498085359238</v>
      </c>
      <c r="AJ150" s="368">
        <f xml:space="preserve"> AJ144 / AE143 * 1000</f>
        <v>1146403.765565986</v>
      </c>
      <c r="AK150" s="368"/>
      <c r="AL150" s="283"/>
      <c r="AM150" s="622">
        <f xml:space="preserve"> AM151 / AE143 * 1000</f>
        <v>2204.6226218487755</v>
      </c>
      <c r="AN150" s="26"/>
      <c r="AO150" s="26"/>
      <c r="AP150" s="26"/>
      <c r="AQ150" s="26"/>
      <c r="AR150" s="26"/>
      <c r="AS150" s="26"/>
      <c r="AT150" s="26"/>
      <c r="AU150" s="26"/>
      <c r="AV150" s="26"/>
      <c r="AW150" s="26"/>
      <c r="AX150" s="26"/>
    </row>
    <row r="151" spans="1:50" ht="15" customHeight="1">
      <c r="A151" s="350"/>
      <c r="AA151" s="362"/>
      <c r="AB151" s="362"/>
      <c r="AC151" s="362"/>
      <c r="AG151" s="465" t="s">
        <v>84</v>
      </c>
      <c r="AH151" s="366" t="s">
        <v>92</v>
      </c>
      <c r="AI151" s="368">
        <f xml:space="preserve"> AH144 * 1000</f>
        <v>920000.00100000005</v>
      </c>
      <c r="AJ151" s="368">
        <f xml:space="preserve"> AJ144</f>
        <v>520.000001</v>
      </c>
      <c r="AK151" s="368"/>
      <c r="AL151" s="368"/>
      <c r="AM151" s="622">
        <v>1</v>
      </c>
      <c r="AT151" s="26"/>
      <c r="AU151" s="26"/>
      <c r="AV151" s="26"/>
      <c r="AW151" s="26"/>
      <c r="AX151" s="26"/>
    </row>
    <row r="152" spans="1:50" ht="15" customHeight="1">
      <c r="A152" s="350"/>
      <c r="AA152" s="362"/>
      <c r="AB152" s="362"/>
      <c r="AC152" s="362"/>
      <c r="AD152" s="26"/>
      <c r="AE152" s="26"/>
      <c r="AF152" s="26"/>
      <c r="AG152" s="465" t="s">
        <v>99</v>
      </c>
      <c r="AH152" s="366" t="s">
        <v>97</v>
      </c>
      <c r="AI152" s="368">
        <f xml:space="preserve"> AH144 * AE144</f>
        <v>934763.1490160469</v>
      </c>
      <c r="AJ152" s="368">
        <f xml:space="preserve"> AJ144 / AE144 * 1000</f>
        <v>511.78739977455768</v>
      </c>
      <c r="AK152" s="368"/>
      <c r="AL152" s="283"/>
      <c r="AM152" s="622">
        <f xml:space="preserve"> AM151 / AE144 * 1000</f>
        <v>0.98420653613529052</v>
      </c>
      <c r="AN152" s="26"/>
      <c r="AO152" s="26"/>
      <c r="AP152" s="26"/>
      <c r="AQ152" s="26"/>
      <c r="AR152" s="26"/>
      <c r="AS152" s="26"/>
    </row>
    <row r="153" spans="1:50" ht="15" customHeight="1">
      <c r="A153" s="350"/>
      <c r="AA153" s="362"/>
      <c r="AB153" s="362"/>
      <c r="AC153" s="362"/>
      <c r="AD153" s="26"/>
      <c r="AE153" s="26"/>
      <c r="AF153" s="26"/>
      <c r="AG153" s="465" t="s">
        <v>95</v>
      </c>
      <c r="AH153" s="366" t="s">
        <v>96</v>
      </c>
      <c r="AI153" s="368">
        <f xml:space="preserve"> AH144 * AE145</f>
        <v>834609.96170718479</v>
      </c>
      <c r="AJ153" s="368">
        <f xml:space="preserve"> AJ144 / AE145 * 1000</f>
        <v>573.20188278299304</v>
      </c>
      <c r="AK153" s="368"/>
      <c r="AL153" s="283"/>
      <c r="AM153" s="622">
        <f xml:space="preserve"> AM151 / AE145 * 1000</f>
        <v>1.1023113109243878</v>
      </c>
      <c r="AN153" s="26"/>
      <c r="AO153" s="26"/>
      <c r="AP153" s="26"/>
      <c r="AQ153" s="26"/>
      <c r="AR153" s="26"/>
      <c r="AS153" s="26"/>
      <c r="AT153" s="26"/>
      <c r="AU153" s="26"/>
      <c r="AV153" s="26"/>
      <c r="AW153" s="26"/>
      <c r="AX153" s="26"/>
    </row>
    <row r="154" spans="1:50" ht="15" customHeight="1">
      <c r="A154" s="350"/>
      <c r="AA154" s="362"/>
      <c r="AB154" s="362"/>
      <c r="AC154" s="362"/>
      <c r="AG154" s="465" t="s">
        <v>85</v>
      </c>
      <c r="AH154" s="366" t="s">
        <v>93</v>
      </c>
      <c r="AI154" s="368">
        <f xml:space="preserve"> AH144 * AI144</f>
        <v>0</v>
      </c>
      <c r="AJ154" s="368" t="e">
        <f xml:space="preserve"> IF(AI146, 0, (AJ144 / AI144) * 1000)</f>
        <v>#DIV/0!</v>
      </c>
      <c r="AK154" s="368" t="s">
        <v>117</v>
      </c>
      <c r="AL154" s="368" t="s">
        <v>117</v>
      </c>
      <c r="AM154" s="622" t="e">
        <f xml:space="preserve"> IF(AI146, 0, (AM151 / AI144) * 1000)</f>
        <v>#DIV/0!</v>
      </c>
      <c r="AT154" s="26"/>
      <c r="AU154" s="26"/>
      <c r="AV154" s="26"/>
      <c r="AW154" s="26"/>
      <c r="AX154" s="26"/>
    </row>
    <row r="155" spans="1:50" ht="15" customHeight="1">
      <c r="A155" s="350"/>
      <c r="AC155" s="362"/>
      <c r="AD155" s="589"/>
      <c r="AG155" s="465" t="s">
        <v>100</v>
      </c>
      <c r="AH155" s="366" t="s">
        <v>98</v>
      </c>
      <c r="AI155" s="368">
        <f xml:space="preserve"> (AH144 * AI144) * AE143</f>
        <v>0</v>
      </c>
      <c r="AJ155" s="368" t="e">
        <f xml:space="preserve"> IF(AI146, 0, (AJ144 / AI144) / AE143 * 1000)</f>
        <v>#DIV/0!</v>
      </c>
      <c r="AK155" s="368" t="s">
        <v>408</v>
      </c>
      <c r="AL155" s="368" t="s">
        <v>408</v>
      </c>
      <c r="AM155" s="622" t="e">
        <f xml:space="preserve"> IF(AI146, 0, (AM151 / AI144) / AE143 * 1000)</f>
        <v>#DIV/0!</v>
      </c>
    </row>
    <row r="156" spans="1:50" ht="15" customHeight="1">
      <c r="A156" s="350"/>
      <c r="AA156" s="362"/>
      <c r="AB156" s="362"/>
      <c r="AC156" s="362"/>
      <c r="AD156" s="353"/>
      <c r="AG156" s="465" t="s">
        <v>103</v>
      </c>
      <c r="AH156" s="366" t="s">
        <v>104</v>
      </c>
      <c r="AI156" s="368">
        <f xml:space="preserve"> ( AH144 * AI144) * AE143</f>
        <v>0</v>
      </c>
      <c r="AJ156" s="368" t="e">
        <f xml:space="preserve"> IF(AI146, 0, (AJ144 / AI144) / AE143 * 1000)</f>
        <v>#DIV/0!</v>
      </c>
      <c r="AK156" s="368" t="s">
        <v>409</v>
      </c>
      <c r="AL156" s="368" t="s">
        <v>409</v>
      </c>
      <c r="AM156" s="622" t="e">
        <f xml:space="preserve"> IF(AI146, 0, (AM151 / AI144) / AE143 * 1000)</f>
        <v>#DIV/0!</v>
      </c>
    </row>
    <row r="157" spans="1:50" ht="15" customHeight="1">
      <c r="A157" s="350"/>
      <c r="AG157" s="456" t="str">
        <f xml:space="preserve"> "Dosage " &amp; G21 &amp; " [kg/day]"</f>
        <v>Dosage Your_Additive [kg/day]</v>
      </c>
      <c r="AH157" s="267"/>
      <c r="AI157" s="276">
        <f xml:space="preserve"> IFERROR(VLOOKUP(F43, AG149:AI156,3, FALSE), 0)</f>
        <v>920.000001</v>
      </c>
      <c r="AJ157" s="281" t="s">
        <v>383</v>
      </c>
      <c r="AK157" s="261">
        <f xml:space="preserve"> IFERROR(VLOOKUP(AH140, AG149:AK156, 5, FALSE), 0)</f>
        <v>0</v>
      </c>
      <c r="AL157" s="291">
        <f xml:space="preserve"> IFERROR(VLOOKUP(AH141, AH149:AL156, 5, FALSE), 0)</f>
        <v>0</v>
      </c>
      <c r="AM157" s="623">
        <f xml:space="preserve"> IFERROR(VLOOKUP(AH141, AH149:AM156, 6, FALSE), 0)</f>
        <v>1</v>
      </c>
    </row>
    <row r="158" spans="1:50" ht="15" customHeight="1">
      <c r="A158" s="350"/>
      <c r="AG158" s="466" t="str">
        <f xml:space="preserve"> "Dosage " &amp; AB117 &amp; " [kg/day]"</f>
        <v>Dosage SBGx [kg/day]</v>
      </c>
      <c r="AH158" s="268"/>
      <c r="AI158" s="276">
        <f xml:space="preserve"> AI157 * AQ123</f>
        <v>533.85427346777385</v>
      </c>
      <c r="AK158" s="577" t="s">
        <v>540</v>
      </c>
      <c r="AL158" s="368" t="b">
        <f xml:space="preserve"> IF(AND($AK$157 = 0, $AL$157 = 0), FALSE, TRUE)</f>
        <v>0</v>
      </c>
      <c r="AM158" s="621"/>
      <c r="AN158" s="353"/>
    </row>
    <row r="159" spans="1:50" ht="15" customHeight="1">
      <c r="A159" s="350"/>
    </row>
    <row r="160" spans="1:50" ht="15" customHeight="1">
      <c r="A160" s="350"/>
      <c r="AG160" s="414" t="str">
        <f xml:space="preserve"> "Price of " &amp; G21 &amp; " [/mt]"</f>
        <v>Price of Your_Additive [/mt]</v>
      </c>
      <c r="AH160" s="356"/>
      <c r="AI160" s="592">
        <f xml:space="preserve"> IFERROR(VLOOKUP(AH141, AH149:AJ156, 3, FALSE), 0)</f>
        <v>520.000001</v>
      </c>
      <c r="AJ160" s="277">
        <f xml:space="preserve"> AI160</f>
        <v>520.000001</v>
      </c>
      <c r="AK160" s="588" t="s">
        <v>543</v>
      </c>
      <c r="AL160" s="442">
        <f xml:space="preserve"> IF(AQ121 = 0, 0, AI161 / AQ121) + 0.0000001</f>
        <v>443.91143411390203</v>
      </c>
      <c r="AM160" s="442">
        <f xml:space="preserve"> IFERROR(AL160 / AM157, 0)</f>
        <v>443.91143411390203</v>
      </c>
    </row>
    <row r="161" spans="1:39" ht="15" customHeight="1" thickBot="1">
      <c r="A161" s="350"/>
      <c r="AG161" s="380" t="str">
        <f xml:space="preserve"> "Price of " &amp; AB117 &amp; " [/mT]"</f>
        <v>Price of SBGx [/mT]</v>
      </c>
      <c r="AH161" s="467"/>
      <c r="AI161" s="593">
        <f xml:space="preserve"> IF(AK145 &gt; 0, AK145, 0)</f>
        <v>765.000001</v>
      </c>
      <c r="AJ161" s="278">
        <f xml:space="preserve"> AI161</f>
        <v>765.000001</v>
      </c>
      <c r="AK161" s="588" t="s">
        <v>542</v>
      </c>
      <c r="AL161" s="368">
        <f xml:space="preserve"> AI160 * AQ121 - 0.0000001</f>
        <v>896.12470137038849</v>
      </c>
      <c r="AM161" s="621"/>
    </row>
    <row r="162" spans="1:39" ht="15" customHeight="1" thickTop="1">
      <c r="A162" s="350"/>
      <c r="AG162" s="274" t="str">
        <f xml:space="preserve"> "Cost " &amp; G21 &amp; " [/day]"</f>
        <v>Cost Your_Additive [/day]</v>
      </c>
      <c r="AH162" s="275"/>
      <c r="AI162" s="590"/>
      <c r="AJ162" s="279">
        <f xml:space="preserve"> AI157 * AJ160 / 1000</f>
        <v>478.40000144000004</v>
      </c>
      <c r="AM162" s="621"/>
    </row>
    <row r="163" spans="1:39" ht="15" customHeight="1">
      <c r="A163" s="350"/>
      <c r="U163" s="350"/>
      <c r="V163" s="350"/>
      <c r="W163" s="350"/>
      <c r="X163" s="350"/>
      <c r="Y163" s="350"/>
      <c r="Z163" s="350"/>
      <c r="AG163" s="271" t="str">
        <f xml:space="preserve"> "Cost " &amp; AB117 &amp; " [/day]"</f>
        <v>Cost SBGx [/day]</v>
      </c>
      <c r="AH163" s="272"/>
      <c r="AI163" s="591"/>
      <c r="AJ163" s="280">
        <f xml:space="preserve"> AI158 * AJ161 / 1000</f>
        <v>408.39851973670125</v>
      </c>
      <c r="AM163" s="621"/>
    </row>
    <row r="164" spans="1:39" ht="15" customHeight="1">
      <c r="A164" s="350"/>
      <c r="U164" s="350"/>
      <c r="V164" s="350"/>
      <c r="W164" s="350"/>
      <c r="X164" s="350"/>
      <c r="Y164" s="350"/>
      <c r="Z164" s="350"/>
    </row>
    <row r="165" spans="1:39" ht="15" customHeight="1">
      <c r="A165" s="350"/>
      <c r="U165" s="350"/>
      <c r="V165" s="350"/>
      <c r="W165" s="350"/>
      <c r="X165" s="350"/>
      <c r="Y165" s="350"/>
      <c r="Z165" s="350"/>
    </row>
    <row r="166" spans="1:39" ht="15" customHeight="1">
      <c r="A166" s="350"/>
    </row>
    <row r="167" spans="1:39" ht="15" customHeight="1">
      <c r="A167" s="350"/>
    </row>
    <row r="168" spans="1:39" ht="15" customHeight="1">
      <c r="A168" s="350"/>
    </row>
    <row r="169" spans="1:39" ht="15" customHeight="1">
      <c r="A169" s="350"/>
    </row>
    <row r="170" spans="1:39" ht="15" customHeight="1">
      <c r="A170" s="350"/>
    </row>
    <row r="171" spans="1:39" ht="15" customHeight="1">
      <c r="A171" s="350"/>
    </row>
    <row r="172" spans="1:39" ht="15" customHeight="1">
      <c r="A172" s="350"/>
    </row>
    <row r="173" spans="1:39" ht="15" customHeight="1">
      <c r="A173" s="350"/>
    </row>
    <row r="174" spans="1:39" ht="15" customHeight="1">
      <c r="A174" s="350"/>
    </row>
    <row r="175" spans="1:39" ht="15" customHeight="1">
      <c r="A175" s="350"/>
    </row>
    <row r="176" spans="1:39" ht="15" customHeight="1">
      <c r="A176" s="350"/>
    </row>
    <row r="177" spans="1:55" ht="15" customHeight="1">
      <c r="A177" s="350"/>
    </row>
    <row r="178" spans="1:55" ht="15" customHeight="1">
      <c r="A178" s="350"/>
    </row>
    <row r="179" spans="1:55" ht="15" customHeight="1">
      <c r="A179" s="350"/>
    </row>
    <row r="180" spans="1:55" ht="15" customHeight="1">
      <c r="A180" s="350"/>
    </row>
    <row r="181" spans="1:55" ht="15" customHeight="1">
      <c r="A181" s="350"/>
    </row>
    <row r="182" spans="1:55" ht="15" customHeight="1">
      <c r="A182" s="350"/>
    </row>
    <row r="183" spans="1:55" ht="15" customHeight="1">
      <c r="A183" s="350"/>
    </row>
    <row r="184" spans="1:55" ht="15" customHeight="1">
      <c r="A184" s="350"/>
    </row>
    <row r="185" spans="1:55" ht="15" customHeight="1">
      <c r="A185" s="350"/>
      <c r="BC185" s="362"/>
    </row>
    <row r="186" spans="1:55" ht="15" customHeight="1">
      <c r="A186" s="350"/>
      <c r="BC186" s="362"/>
    </row>
    <row r="187" spans="1:55" ht="15" customHeight="1">
      <c r="A187" s="350"/>
      <c r="BC187" s="362"/>
    </row>
    <row r="188" spans="1:55" ht="15" customHeight="1">
      <c r="A188" s="350"/>
      <c r="BC188" s="362"/>
    </row>
    <row r="189" spans="1:55" ht="15" customHeight="1">
      <c r="A189" s="350"/>
      <c r="BC189" s="362"/>
    </row>
    <row r="190" spans="1:55" ht="15" customHeight="1">
      <c r="A190" s="350"/>
      <c r="BC190" s="362"/>
    </row>
    <row r="191" spans="1:55" ht="15" customHeight="1">
      <c r="A191" s="350"/>
      <c r="BC191" s="362"/>
    </row>
    <row r="192" spans="1:55" ht="15" customHeight="1">
      <c r="A192" s="350"/>
      <c r="BC192" s="362"/>
    </row>
    <row r="193" spans="1:55" ht="15" customHeight="1">
      <c r="A193" s="350"/>
      <c r="BC193" s="362"/>
    </row>
    <row r="194" spans="1:55" ht="15" customHeight="1">
      <c r="A194" s="350"/>
      <c r="BC194" s="362"/>
    </row>
    <row r="195" spans="1:55" ht="15" customHeight="1">
      <c r="A195" s="350"/>
      <c r="BC195" s="362"/>
    </row>
    <row r="196" spans="1:55" ht="15" customHeight="1">
      <c r="A196" s="350"/>
      <c r="BC196" s="362"/>
    </row>
    <row r="197" spans="1:55" ht="15" customHeight="1">
      <c r="A197" s="350"/>
      <c r="BC197" s="362"/>
    </row>
    <row r="198" spans="1:55" ht="15" customHeight="1">
      <c r="A198" s="350"/>
      <c r="BC198" s="362"/>
    </row>
    <row r="199" spans="1:55" ht="15" customHeight="1">
      <c r="A199" s="350"/>
      <c r="BC199" s="362"/>
    </row>
    <row r="200" spans="1:55" ht="15" customHeight="1">
      <c r="A200" s="350"/>
      <c r="BC200" s="362"/>
    </row>
    <row r="201" spans="1:55" ht="15" customHeight="1">
      <c r="A201" s="350"/>
      <c r="BC201" s="362"/>
    </row>
    <row r="202" spans="1:55" ht="15" customHeight="1">
      <c r="A202" s="350"/>
      <c r="BC202" s="362"/>
    </row>
    <row r="203" spans="1:55" ht="15" customHeight="1">
      <c r="A203" s="350"/>
      <c r="BC203" s="362"/>
    </row>
    <row r="204" spans="1:55" ht="15" customHeight="1">
      <c r="A204" s="350"/>
      <c r="BC204" s="362"/>
    </row>
    <row r="205" spans="1:55" ht="15" customHeight="1">
      <c r="A205" s="350"/>
      <c r="BC205" s="362"/>
    </row>
    <row r="206" spans="1:55" ht="15" customHeight="1">
      <c r="A206" s="350"/>
      <c r="BC206" s="362"/>
    </row>
    <row r="207" spans="1:55" ht="15" customHeight="1">
      <c r="A207" s="350"/>
      <c r="BC207" s="362"/>
    </row>
    <row r="208" spans="1:55" ht="15" customHeight="1">
      <c r="A208" s="350"/>
      <c r="BC208" s="362"/>
    </row>
    <row r="209" spans="1:55" ht="15" customHeight="1">
      <c r="A209" s="350"/>
      <c r="U209" s="252" t="s">
        <v>310</v>
      </c>
      <c r="V209" s="252"/>
      <c r="W209" s="252"/>
      <c r="X209" s="252"/>
      <c r="Y209" s="252"/>
      <c r="Z209" s="252"/>
      <c r="BC209" s="362"/>
    </row>
    <row r="210" spans="1:55" ht="15" hidden="1" customHeight="1">
      <c r="A210" s="468"/>
      <c r="B210" s="469"/>
      <c r="C210" s="403" t="s">
        <v>163</v>
      </c>
      <c r="D210" s="403"/>
      <c r="E210" s="403"/>
      <c r="F210" s="470" t="s">
        <v>319</v>
      </c>
      <c r="I210" s="471" t="s">
        <v>164</v>
      </c>
      <c r="J210" s="403"/>
      <c r="K210" s="403"/>
      <c r="L210" s="403"/>
      <c r="M210" s="257" t="s">
        <v>320</v>
      </c>
      <c r="N210" s="472"/>
      <c r="O210" s="353"/>
      <c r="P210" s="257"/>
      <c r="Q210" s="258"/>
      <c r="R210" s="258"/>
      <c r="S210" s="254"/>
      <c r="T210" s="352"/>
      <c r="U210" s="351"/>
      <c r="V210" s="351"/>
      <c r="W210" s="351"/>
      <c r="X210" s="351"/>
      <c r="Y210" s="351"/>
      <c r="Z210" s="351"/>
      <c r="AA210" s="352"/>
      <c r="AB210" s="352"/>
      <c r="AC210" s="352"/>
      <c r="AD210" s="352"/>
      <c r="AE210" s="352"/>
      <c r="AF210" s="352"/>
      <c r="AG210" s="352"/>
      <c r="AH210" s="352"/>
      <c r="AI210" s="352"/>
      <c r="AJ210" s="352"/>
      <c r="AK210" s="352"/>
      <c r="AL210" s="352"/>
      <c r="AM210" s="352"/>
      <c r="AN210" s="352"/>
      <c r="AO210" s="352"/>
      <c r="BC210" s="362"/>
    </row>
    <row r="211" spans="1:55" ht="15" hidden="1" customHeight="1">
      <c r="A211" s="468"/>
      <c r="B211" s="469"/>
      <c r="C211" s="349"/>
      <c r="D211" s="403"/>
      <c r="E211" s="403"/>
      <c r="F211" s="473">
        <f xml:space="preserve"> IF(OR(ISBLANK(I55), I55 = I210), K55, IF(I55 = I211, K55 * AE148 / 1000, K55 * AE149 / 1000))</f>
        <v>53000.000001</v>
      </c>
      <c r="I211" s="474" t="s">
        <v>165</v>
      </c>
      <c r="J211" s="403"/>
      <c r="K211" s="475" t="s">
        <v>322</v>
      </c>
      <c r="L211" s="403"/>
      <c r="M211" s="473">
        <f xml:space="preserve"> 1 / (1000 / AE148)</f>
        <v>4.54609E-3</v>
      </c>
      <c r="N211" s="403"/>
      <c r="O211" s="403"/>
      <c r="P211" s="403"/>
      <c r="BC211" s="362"/>
    </row>
    <row r="212" spans="1:55" ht="15" hidden="1" customHeight="1">
      <c r="A212" s="468"/>
      <c r="B212" s="468"/>
      <c r="C212" s="402"/>
      <c r="D212" s="402"/>
      <c r="E212" s="402"/>
      <c r="F212" s="470" t="s">
        <v>317</v>
      </c>
      <c r="I212" s="474" t="s">
        <v>166</v>
      </c>
      <c r="J212" s="402"/>
      <c r="K212" s="475" t="s">
        <v>323</v>
      </c>
      <c r="L212" s="402"/>
      <c r="M212" s="473">
        <f xml:space="preserve"> 1 / (1000 / AE149)</f>
        <v>3.7854117839999997E-3</v>
      </c>
      <c r="N212" s="402"/>
      <c r="O212" s="402"/>
      <c r="P212" s="402"/>
      <c r="Q212" s="354"/>
      <c r="R212" s="354"/>
      <c r="S212" s="354"/>
      <c r="T212" s="354"/>
      <c r="BC212" s="362"/>
    </row>
    <row r="213" spans="1:55" ht="15" hidden="1" customHeight="1">
      <c r="A213" s="468"/>
      <c r="B213" s="469"/>
      <c r="C213" s="403"/>
      <c r="D213" s="403"/>
      <c r="E213" s="403"/>
      <c r="F213" s="476">
        <f xml:space="preserve"> IF(OR(ISBLANK(I58), I58 = I210), K58, IF(I58 = I211, K58 * AE148 / 1000, K58 * AE149 / 1000))</f>
        <v>80.000000999999997</v>
      </c>
      <c r="I213" s="403"/>
      <c r="J213" s="403"/>
      <c r="K213" s="403"/>
      <c r="L213" s="403"/>
      <c r="N213" s="403"/>
      <c r="O213" s="403"/>
      <c r="P213" s="403"/>
      <c r="BC213" s="362"/>
    </row>
    <row r="214" spans="1:55" ht="15" hidden="1" customHeight="1">
      <c r="A214" s="468"/>
      <c r="B214" s="469"/>
      <c r="C214" s="403"/>
      <c r="D214" s="403"/>
      <c r="E214" s="403"/>
      <c r="F214" s="403"/>
      <c r="I214" s="403"/>
      <c r="J214" s="403"/>
      <c r="K214" s="403"/>
      <c r="L214" s="403"/>
      <c r="N214" s="403"/>
      <c r="O214" s="403"/>
      <c r="P214" s="403"/>
      <c r="BC214" s="362"/>
    </row>
    <row r="215" spans="1:55" ht="15" hidden="1" customHeight="1">
      <c r="A215" s="468"/>
      <c r="B215" s="469"/>
      <c r="C215" s="403" t="s">
        <v>330</v>
      </c>
      <c r="D215" s="403"/>
      <c r="E215" s="403"/>
      <c r="F215" s="477" t="s">
        <v>316</v>
      </c>
      <c r="I215" s="474" t="s">
        <v>115</v>
      </c>
      <c r="J215" s="403"/>
      <c r="K215" s="403"/>
      <c r="L215" s="403"/>
      <c r="N215" s="403"/>
      <c r="P215" s="403"/>
      <c r="BC215" s="362"/>
    </row>
    <row r="216" spans="1:55" ht="15" hidden="1" customHeight="1">
      <c r="A216" s="468"/>
      <c r="B216" s="469"/>
      <c r="F216" s="473">
        <f xml:space="preserve"> IF(OR(ISBLANK(I56), I56 = I215), K56, I235 * K56 / I234)</f>
        <v>1800.0000010000001</v>
      </c>
      <c r="I216" s="474" t="s">
        <v>114</v>
      </c>
      <c r="J216" s="403"/>
      <c r="K216" s="478" t="s">
        <v>321</v>
      </c>
      <c r="L216" s="403"/>
      <c r="M216" s="435">
        <v>64.798910000000006</v>
      </c>
      <c r="N216" s="403"/>
      <c r="P216" s="403"/>
      <c r="BC216" s="362"/>
    </row>
    <row r="217" spans="1:55" ht="15" hidden="1" customHeight="1">
      <c r="A217" s="468"/>
      <c r="B217" s="469"/>
      <c r="C217" s="354"/>
      <c r="D217" s="354"/>
      <c r="E217" s="354"/>
      <c r="F217" s="403"/>
      <c r="I217" s="403"/>
      <c r="J217" s="403"/>
      <c r="K217" s="403"/>
      <c r="L217" s="403"/>
      <c r="N217" s="403"/>
      <c r="O217" s="403"/>
      <c r="P217" s="403"/>
      <c r="BC217" s="362"/>
    </row>
    <row r="218" spans="1:55" ht="15" hidden="1" customHeight="1">
      <c r="A218" s="468"/>
      <c r="B218" s="469"/>
      <c r="C218" s="354" t="s">
        <v>312</v>
      </c>
      <c r="D218" s="354"/>
      <c r="E218" s="354"/>
      <c r="F218" s="477" t="s">
        <v>315</v>
      </c>
      <c r="I218" s="474" t="s">
        <v>313</v>
      </c>
      <c r="J218" s="403"/>
      <c r="L218" s="403"/>
      <c r="N218" s="403"/>
      <c r="O218" s="403"/>
      <c r="P218" s="403"/>
      <c r="BC218" s="362"/>
    </row>
    <row r="219" spans="1:55" ht="15" hidden="1" customHeight="1">
      <c r="A219" s="468"/>
      <c r="B219" s="469"/>
      <c r="C219" s="354"/>
      <c r="D219" s="354"/>
      <c r="E219" s="354"/>
      <c r="F219" s="473">
        <f xml:space="preserve"> IF(OR(ISBLANK(I61), I61 = I218), K61, (K61 - 32) * 5 / 9)</f>
        <v>39.500000999999997</v>
      </c>
      <c r="I219" s="474" t="s">
        <v>314</v>
      </c>
      <c r="J219" s="403"/>
      <c r="K219" s="354" t="s">
        <v>318</v>
      </c>
      <c r="L219" s="403"/>
      <c r="N219" s="403"/>
      <c r="O219" s="403"/>
      <c r="P219" s="403"/>
      <c r="BC219" s="362"/>
    </row>
    <row r="220" spans="1:55" ht="15" hidden="1" customHeight="1">
      <c r="A220" s="468"/>
      <c r="B220" s="469"/>
      <c r="C220" s="354"/>
      <c r="D220" s="354"/>
      <c r="E220" s="354"/>
      <c r="F220" s="402"/>
      <c r="G220" s="402"/>
      <c r="H220" s="402"/>
      <c r="I220" s="403"/>
      <c r="J220" s="403"/>
      <c r="K220" s="403"/>
      <c r="L220" s="403"/>
      <c r="M220" s="403"/>
      <c r="N220" s="403"/>
      <c r="O220" s="403"/>
      <c r="P220" s="403"/>
      <c r="BC220" s="362"/>
    </row>
    <row r="221" spans="1:55" ht="15" hidden="1" customHeight="1">
      <c r="A221" s="468"/>
      <c r="B221" s="469"/>
      <c r="C221" s="354" t="s">
        <v>324</v>
      </c>
      <c r="D221" s="354"/>
      <c r="E221" s="354"/>
      <c r="F221" s="402" t="str">
        <f xml:space="preserve"> "Masses in selectd unit " &amp; IF(SI_unit, I221, I222)</f>
        <v>Masses in selectd unit [kg/day]</v>
      </c>
      <c r="G221" s="402"/>
      <c r="H221" s="402"/>
      <c r="I221" s="474" t="s">
        <v>326</v>
      </c>
      <c r="J221" s="403"/>
      <c r="K221" s="477" t="s">
        <v>325</v>
      </c>
      <c r="L221" s="403"/>
      <c r="M221" s="476">
        <f xml:space="preserve"> 1 / AE143</f>
        <v>2.2046226218487757</v>
      </c>
      <c r="N221" s="403"/>
      <c r="O221" s="403"/>
      <c r="P221" s="403"/>
      <c r="BC221" s="362"/>
    </row>
    <row r="222" spans="1:55" ht="15" hidden="1" customHeight="1">
      <c r="A222" s="468"/>
      <c r="B222" s="469"/>
      <c r="C222" s="354"/>
      <c r="D222" s="356" t="str">
        <f xml:space="preserve"> G21</f>
        <v>Your_Additive</v>
      </c>
      <c r="E222" s="354"/>
      <c r="F222" s="476">
        <f xml:space="preserve"> IF(SI_unit, I255, I255 * fact_kg2lb)</f>
        <v>922.10591409984204</v>
      </c>
      <c r="G222" s="402"/>
      <c r="H222" s="402"/>
      <c r="I222" s="474" t="s">
        <v>327</v>
      </c>
      <c r="J222" s="403"/>
      <c r="K222" s="403"/>
      <c r="L222" s="403"/>
      <c r="M222" s="403"/>
      <c r="N222" s="403"/>
      <c r="O222" s="403"/>
      <c r="P222" s="403"/>
    </row>
    <row r="223" spans="1:55" ht="15" hidden="1" customHeight="1">
      <c r="A223" s="468"/>
      <c r="B223" s="469"/>
      <c r="C223" s="354"/>
      <c r="D223" s="462" t="str">
        <f xml:space="preserve"> AB117</f>
        <v>SBGx</v>
      </c>
      <c r="E223" s="354"/>
      <c r="F223" s="476">
        <f xml:space="preserve"> IF(SI_unit, I256, I256 * fact_kg2lb)</f>
        <v>535.07628510547011</v>
      </c>
      <c r="G223" s="402"/>
      <c r="H223" s="402"/>
      <c r="I223" s="403"/>
      <c r="J223" s="403"/>
      <c r="K223" s="403"/>
      <c r="L223" s="403"/>
      <c r="M223" s="403"/>
      <c r="N223" s="403"/>
      <c r="O223" s="403"/>
      <c r="P223" s="403"/>
    </row>
    <row r="224" spans="1:55" ht="15" hidden="1" customHeight="1">
      <c r="A224" s="468"/>
      <c r="B224" s="469"/>
    </row>
    <row r="225" spans="1:55" ht="15" hidden="1" customHeight="1">
      <c r="A225" s="468"/>
      <c r="B225" s="469"/>
      <c r="C225" s="350" t="s">
        <v>332</v>
      </c>
      <c r="D225" s="354"/>
      <c r="E225" s="354"/>
      <c r="F225" s="383" t="s">
        <v>331</v>
      </c>
      <c r="I225" s="474" t="s">
        <v>333</v>
      </c>
      <c r="M225" s="352" t="s">
        <v>334</v>
      </c>
      <c r="N225" s="352"/>
      <c r="O225" s="352"/>
      <c r="P225" s="352"/>
      <c r="Q225" s="352"/>
      <c r="R225" s="352"/>
    </row>
    <row r="226" spans="1:55" ht="15" hidden="1" customHeight="1">
      <c r="A226" s="468"/>
      <c r="B226" s="469"/>
      <c r="F226" s="473">
        <f xml:space="preserve"> IFERROR(IF(AND(ISNUMBER(K59), K59 &gt; 0), IF(OR(ISBLANK(I59), I59 = I225), K59, K59 * M226), 0), 0)</f>
        <v>0</v>
      </c>
      <c r="I226" s="474" t="s">
        <v>115</v>
      </c>
      <c r="M226" s="435">
        <v>0.99885900000000005</v>
      </c>
      <c r="O226" s="350" t="s">
        <v>335</v>
      </c>
    </row>
    <row r="227" spans="1:55" ht="15" hidden="1" customHeight="1">
      <c r="A227" s="468"/>
      <c r="B227" s="469"/>
    </row>
    <row r="228" spans="1:55" ht="15" hidden="1" customHeight="1">
      <c r="A228" s="468"/>
      <c r="B228" s="469"/>
    </row>
    <row r="229" spans="1:55" ht="15" hidden="1" customHeight="1">
      <c r="A229" s="468"/>
      <c r="B229" s="469"/>
      <c r="C229" s="354"/>
      <c r="D229" s="354"/>
      <c r="E229" s="354"/>
      <c r="F229" s="402"/>
      <c r="G229" s="402"/>
      <c r="H229" s="402"/>
      <c r="I229" s="403"/>
      <c r="J229" s="403"/>
      <c r="K229" s="403"/>
      <c r="L229" s="403"/>
      <c r="M229" s="403"/>
      <c r="N229" s="403"/>
      <c r="O229" s="403"/>
      <c r="P229" s="403"/>
    </row>
    <row r="230" spans="1:55" ht="15" hidden="1" customHeight="1">
      <c r="A230" s="468"/>
      <c r="B230" s="469"/>
      <c r="C230" s="402" t="s">
        <v>27</v>
      </c>
      <c r="D230" s="354"/>
      <c r="E230" s="354"/>
      <c r="F230" s="354"/>
      <c r="G230" s="354"/>
      <c r="H230" s="354"/>
      <c r="I230" s="479">
        <v>55.844999999999999</v>
      </c>
      <c r="K230" s="480"/>
      <c r="L230" s="480"/>
      <c r="M230" s="403"/>
      <c r="N230" s="403"/>
      <c r="O230" s="403"/>
      <c r="P230" s="403"/>
    </row>
    <row r="231" spans="1:55" ht="15" hidden="1" customHeight="1">
      <c r="A231" s="468"/>
      <c r="B231" s="469"/>
      <c r="C231" s="402" t="s">
        <v>329</v>
      </c>
      <c r="D231" s="354"/>
      <c r="E231" s="354"/>
      <c r="F231" s="354"/>
      <c r="G231" s="354"/>
      <c r="H231" s="354"/>
      <c r="I231" s="479">
        <v>32.064999999999998</v>
      </c>
      <c r="K231" s="480"/>
      <c r="L231" s="480"/>
      <c r="M231" s="403"/>
      <c r="N231" s="403"/>
      <c r="O231" s="403"/>
      <c r="P231" s="403"/>
    </row>
    <row r="232" spans="1:55" ht="15" hidden="1" customHeight="1">
      <c r="A232" s="468"/>
      <c r="B232" s="469"/>
      <c r="C232" s="402" t="s">
        <v>424</v>
      </c>
      <c r="D232" s="354"/>
      <c r="E232" s="354"/>
      <c r="F232" s="354"/>
      <c r="G232" s="354"/>
      <c r="H232" s="354"/>
      <c r="I232" s="479">
        <v>33.07</v>
      </c>
      <c r="K232" s="480" t="s">
        <v>423</v>
      </c>
      <c r="L232" s="480"/>
      <c r="M232" s="403"/>
      <c r="N232" s="403"/>
      <c r="O232" s="403"/>
      <c r="P232" s="403"/>
    </row>
    <row r="233" spans="1:55" ht="15" hidden="1" customHeight="1">
      <c r="A233" s="468"/>
      <c r="B233" s="469"/>
      <c r="C233" s="402" t="s">
        <v>425</v>
      </c>
      <c r="D233" s="354"/>
      <c r="E233" s="354"/>
      <c r="F233" s="354"/>
      <c r="G233" s="354"/>
      <c r="H233" s="354"/>
      <c r="I233" s="479">
        <v>34.08</v>
      </c>
      <c r="K233" s="480" t="s">
        <v>109</v>
      </c>
      <c r="L233" s="480"/>
      <c r="M233" s="403"/>
      <c r="N233" s="403"/>
      <c r="O233" s="403"/>
      <c r="P233" s="403"/>
      <c r="BC233" s="26"/>
    </row>
    <row r="234" spans="1:55" ht="15" hidden="1" customHeight="1">
      <c r="A234" s="468"/>
      <c r="B234" s="469"/>
      <c r="C234" s="39" t="s">
        <v>426</v>
      </c>
      <c r="D234" s="354"/>
      <c r="E234" s="354"/>
      <c r="F234" s="354"/>
      <c r="G234" s="354"/>
      <c r="H234" s="354"/>
      <c r="I234" s="310">
        <f xml:space="preserve"> I233</f>
        <v>34.08</v>
      </c>
      <c r="K234" s="480"/>
      <c r="L234" s="480"/>
      <c r="M234" s="403"/>
      <c r="N234" s="403"/>
      <c r="O234" s="403"/>
      <c r="P234" s="403"/>
      <c r="BC234" s="26"/>
    </row>
    <row r="235" spans="1:55" ht="15" hidden="1" customHeight="1">
      <c r="A235" s="468"/>
      <c r="B235" s="469"/>
      <c r="C235" s="402" t="s">
        <v>181</v>
      </c>
      <c r="D235" s="354"/>
      <c r="E235" s="354"/>
      <c r="F235" s="354"/>
      <c r="G235" s="354"/>
      <c r="H235" s="354"/>
      <c r="I235" s="479">
        <v>24.45</v>
      </c>
      <c r="K235" s="480" t="s">
        <v>110</v>
      </c>
      <c r="L235" s="480"/>
      <c r="M235" s="403"/>
      <c r="N235" s="403"/>
      <c r="O235" s="403"/>
      <c r="P235" s="403"/>
      <c r="BC235" s="26"/>
    </row>
    <row r="236" spans="1:55" ht="15" hidden="1" customHeight="1">
      <c r="A236" s="468"/>
      <c r="B236" s="352"/>
      <c r="C236" s="64" t="s">
        <v>182</v>
      </c>
      <c r="D236" s="481"/>
      <c r="E236" s="481"/>
      <c r="F236" s="481"/>
      <c r="G236" s="482"/>
      <c r="H236" s="482"/>
      <c r="I236" s="62">
        <f xml:space="preserve"> F216 / 1000 / I235 * I234 * F211</f>
        <v>132974.72400276418</v>
      </c>
      <c r="M236" s="350" t="s">
        <v>113</v>
      </c>
      <c r="BC236" s="26"/>
    </row>
    <row r="237" spans="1:55" ht="15" hidden="1" customHeight="1">
      <c r="A237" s="468"/>
      <c r="B237" s="352"/>
    </row>
    <row r="238" spans="1:55" ht="15" hidden="1" customHeight="1">
      <c r="A238" s="468"/>
      <c r="B238" s="469"/>
      <c r="C238" s="402" t="s">
        <v>28</v>
      </c>
      <c r="D238" s="354"/>
      <c r="E238" s="354"/>
      <c r="F238" s="354"/>
      <c r="G238" s="354"/>
      <c r="H238" s="354"/>
      <c r="I238" s="483">
        <f xml:space="preserve"> IF(K60 &gt; 0, 10 ^ -K60, 0)</f>
        <v>1.2302659380171094E-8</v>
      </c>
      <c r="K238" s="484"/>
      <c r="L238" s="403"/>
      <c r="M238" s="403"/>
      <c r="N238" s="403"/>
      <c r="O238" s="403"/>
      <c r="P238" s="403"/>
      <c r="BC238" s="26"/>
    </row>
    <row r="239" spans="1:55" ht="15" hidden="1" customHeight="1">
      <c r="A239" s="468"/>
      <c r="B239" s="469"/>
      <c r="C239" s="402" t="s">
        <v>29</v>
      </c>
      <c r="D239" s="354"/>
      <c r="E239" s="354"/>
      <c r="F239" s="354"/>
      <c r="G239" s="354"/>
      <c r="H239" s="354"/>
      <c r="I239" s="483">
        <f xml:space="preserve"> IF(F219 &gt; 0, 10 ^ -(1351.9 / (F219 + 273.15) + 0.0992 + 0.00792 * (F219 + 273.15)), 0)</f>
        <v>1.2606877360933468E-7</v>
      </c>
      <c r="K239" s="403"/>
      <c r="L239" s="403"/>
      <c r="M239" s="403"/>
      <c r="N239" s="403"/>
      <c r="O239" s="403"/>
      <c r="P239" s="403"/>
      <c r="BC239" s="26"/>
    </row>
    <row r="240" spans="1:55" ht="15" hidden="1" customHeight="1">
      <c r="A240" s="468"/>
      <c r="B240" s="469"/>
      <c r="C240" s="402" t="s">
        <v>30</v>
      </c>
      <c r="D240" s="354"/>
      <c r="E240" s="354"/>
      <c r="F240" s="354"/>
      <c r="G240" s="354"/>
      <c r="H240" s="354"/>
      <c r="I240" s="485">
        <f xml:space="preserve"> 10 ^ -11.96</f>
        <v>1.0964781961431817E-12</v>
      </c>
      <c r="K240" s="439"/>
      <c r="L240" s="439"/>
      <c r="M240" s="403"/>
      <c r="N240" s="403"/>
      <c r="O240" s="403"/>
      <c r="P240" s="403"/>
    </row>
    <row r="241" spans="1:20" ht="15" hidden="1" customHeight="1">
      <c r="A241" s="468"/>
      <c r="B241" s="469"/>
      <c r="C241" s="402" t="s">
        <v>108</v>
      </c>
      <c r="D241" s="354"/>
      <c r="E241" s="354"/>
      <c r="F241" s="354"/>
      <c r="G241" s="354"/>
      <c r="H241" s="354"/>
      <c r="I241" s="483">
        <f xml:space="preserve"> IF(I239 * I238 &gt; 0, (1 + I239 / I238 + I239 * I240 / I238 ^ 2) ^ -1, 0)</f>
        <v>8.8903180415388625E-2</v>
      </c>
      <c r="K241" s="439"/>
      <c r="L241" s="439"/>
      <c r="M241" s="403"/>
      <c r="N241" s="403"/>
      <c r="O241" s="403"/>
      <c r="P241" s="403"/>
    </row>
    <row r="242" spans="1:20" ht="15" hidden="1" customHeight="1">
      <c r="A242" s="468"/>
      <c r="B242" s="469"/>
      <c r="C242" s="402" t="s">
        <v>491</v>
      </c>
      <c r="D242" s="354"/>
      <c r="E242" s="354"/>
      <c r="F242" s="354"/>
      <c r="G242" s="354"/>
      <c r="H242" s="354"/>
      <c r="I242" s="483">
        <f xml:space="preserve"> IF(I241 &gt; 0, I239 / I238 * I241, 0)</f>
        <v>0.91101562504460687</v>
      </c>
      <c r="K242" s="486" t="s">
        <v>111</v>
      </c>
      <c r="L242" s="486"/>
      <c r="M242" s="469"/>
      <c r="N242" s="469"/>
      <c r="O242" s="469"/>
      <c r="P242" s="469"/>
      <c r="Q242" s="352"/>
      <c r="R242" s="352"/>
      <c r="S242" s="352"/>
    </row>
    <row r="243" spans="1:20" ht="15" hidden="1" customHeight="1">
      <c r="A243" s="468"/>
      <c r="B243" s="469"/>
      <c r="C243" s="402" t="s">
        <v>187</v>
      </c>
      <c r="D243" s="354"/>
      <c r="E243" s="354"/>
      <c r="F243" s="354"/>
      <c r="G243" s="487"/>
      <c r="H243" s="487"/>
      <c r="I243" s="483">
        <f xml:space="preserve"> I239 * I240 / I238 ^ 2 * I241</f>
        <v>8.1194540004672714E-5</v>
      </c>
      <c r="K243" s="33" t="s">
        <v>106</v>
      </c>
      <c r="L243" s="486"/>
      <c r="M243" s="469"/>
      <c r="N243" s="469"/>
      <c r="O243" s="469"/>
      <c r="P243" s="469"/>
      <c r="Q243" s="352"/>
      <c r="R243" s="352"/>
      <c r="S243" s="352"/>
    </row>
    <row r="244" spans="1:20" ht="15" hidden="1" customHeight="1">
      <c r="A244" s="468"/>
      <c r="B244" s="469"/>
      <c r="C244" s="39" t="s">
        <v>101</v>
      </c>
      <c r="D244" s="40"/>
      <c r="E244" s="40"/>
      <c r="F244" s="40"/>
      <c r="G244" s="40"/>
      <c r="H244" s="40"/>
      <c r="I244" s="36"/>
      <c r="K244" s="439"/>
      <c r="L244" s="439"/>
      <c r="M244" s="403"/>
      <c r="N244" s="403"/>
      <c r="O244" s="403"/>
      <c r="P244" s="403"/>
    </row>
    <row r="245" spans="1:20" ht="15" hidden="1" customHeight="1">
      <c r="A245" s="468"/>
      <c r="B245" s="469"/>
      <c r="C245" s="402" t="s">
        <v>185</v>
      </c>
      <c r="G245" s="403"/>
      <c r="H245" s="403"/>
      <c r="I245" s="402"/>
      <c r="J245" s="403"/>
    </row>
    <row r="246" spans="1:20" ht="15" hidden="1" customHeight="1">
      <c r="A246" s="468"/>
      <c r="B246" s="469"/>
      <c r="C246" s="488" t="s">
        <v>186</v>
      </c>
      <c r="G246" s="403"/>
      <c r="H246" s="403"/>
      <c r="I246" s="403"/>
      <c r="J246" s="403"/>
    </row>
    <row r="247" spans="1:20" ht="15" hidden="1" customHeight="1">
      <c r="A247" s="468"/>
      <c r="B247" s="469"/>
      <c r="C247" s="488" t="s">
        <v>173</v>
      </c>
      <c r="D247" s="354"/>
      <c r="E247" s="354"/>
      <c r="F247" s="354"/>
      <c r="G247" s="487"/>
      <c r="H247" s="487"/>
      <c r="I247" s="483">
        <f xml:space="preserve"> IF(K56 * I241 &gt; 0, EXP((LN(K56) - 6.42) / 0.78) / I241, 0)</f>
        <v>44.661297135397184</v>
      </c>
      <c r="K247" s="472"/>
      <c r="L247" s="472"/>
      <c r="P247" s="403"/>
    </row>
    <row r="248" spans="1:20" ht="15" hidden="1" customHeight="1">
      <c r="A248" s="468"/>
      <c r="B248" s="469"/>
      <c r="C248" s="65" t="s">
        <v>183</v>
      </c>
      <c r="D248" s="481"/>
      <c r="E248" s="481"/>
      <c r="F248" s="481"/>
      <c r="G248" s="482"/>
      <c r="H248" s="482"/>
      <c r="I248" s="255">
        <f xml:space="preserve"> IF(F226 &gt; 0, F226, I247) * F213</f>
        <v>3572.9038154930718</v>
      </c>
      <c r="N248" s="472"/>
      <c r="O248" s="489"/>
      <c r="P248" s="403"/>
    </row>
    <row r="249" spans="1:20" ht="15" hidden="1" customHeight="1">
      <c r="A249" s="468"/>
      <c r="B249" s="469"/>
      <c r="C249" s="403"/>
    </row>
    <row r="250" spans="1:20" ht="15" hidden="1" customHeight="1">
      <c r="A250" s="468"/>
      <c r="B250" s="469"/>
      <c r="C250" s="403"/>
    </row>
    <row r="251" spans="1:20" ht="15" hidden="1" customHeight="1">
      <c r="A251" s="468"/>
      <c r="B251" s="469"/>
      <c r="C251" s="66" t="s">
        <v>122</v>
      </c>
      <c r="D251" s="481"/>
      <c r="E251" s="481"/>
      <c r="F251" s="481"/>
      <c r="G251" s="482"/>
      <c r="H251" s="482"/>
      <c r="I251" s="490">
        <f xml:space="preserve"> IF(OR(I236 &gt; 0, I248 &gt; 0), I230 / I234 * (I236 + I248), 0)</f>
        <v>223753.00104197703</v>
      </c>
      <c r="K251" s="491" t="s">
        <v>468</v>
      </c>
      <c r="M251" s="479">
        <v>1.7</v>
      </c>
      <c r="N251" s="362"/>
      <c r="O251" s="362"/>
    </row>
    <row r="252" spans="1:20" ht="15" hidden="1" customHeight="1">
      <c r="A252" s="468"/>
      <c r="B252" s="469"/>
      <c r="C252" s="37" t="s">
        <v>121</v>
      </c>
      <c r="D252" s="492"/>
      <c r="E252" s="492"/>
      <c r="F252" s="492"/>
      <c r="G252" s="492"/>
      <c r="H252" s="492"/>
      <c r="I252" s="490">
        <f xml:space="preserve"> IF(AND(M252 &gt; 0, OR(I236 &gt; 0, I248 &gt; 0)), M252 * I230 / I234 * (I236 + I248), 0)</f>
        <v>380380.1017713609</v>
      </c>
      <c r="K252" s="491" t="s">
        <v>151</v>
      </c>
      <c r="L252" s="403"/>
      <c r="M252" s="493">
        <f xml:space="preserve"> IF(ISBLANK(K57), M251, IF(ISNUMBER(K57), IF(K57 &gt; 0, K57, 0), 0))</f>
        <v>1.7</v>
      </c>
      <c r="N252" s="439"/>
      <c r="O252" s="494"/>
      <c r="P252" s="403"/>
    </row>
    <row r="253" spans="1:20" ht="15" hidden="1" customHeight="1">
      <c r="A253" s="468"/>
      <c r="B253" s="469"/>
      <c r="C253" s="38" t="s">
        <v>112</v>
      </c>
      <c r="D253" s="353"/>
      <c r="E253" s="353"/>
      <c r="F253" s="353"/>
      <c r="G253" s="353"/>
      <c r="H253" s="353"/>
      <c r="I253" s="495"/>
      <c r="K253" s="403"/>
      <c r="L253" s="403"/>
      <c r="M253" s="494"/>
      <c r="N253" s="439"/>
      <c r="O253" s="439"/>
      <c r="P253" s="403"/>
    </row>
    <row r="254" spans="1:20" ht="15" hidden="1" customHeight="1">
      <c r="A254" s="496"/>
      <c r="B254" s="497"/>
      <c r="C254" s="498"/>
      <c r="D254" s="379"/>
      <c r="E254" s="379"/>
      <c r="F254" s="379"/>
      <c r="G254" s="390"/>
      <c r="H254" s="390"/>
      <c r="I254" s="498"/>
      <c r="J254" s="346"/>
      <c r="K254" s="498"/>
      <c r="L254" s="484"/>
      <c r="M254" s="346"/>
      <c r="N254" s="346"/>
      <c r="O254" s="346"/>
      <c r="P254" s="484"/>
      <c r="Q254" s="346"/>
      <c r="R254" s="346"/>
      <c r="S254" s="346"/>
      <c r="T254" s="346"/>
    </row>
    <row r="255" spans="1:20" ht="15" hidden="1" customHeight="1">
      <c r="A255" s="496"/>
      <c r="B255" s="497"/>
      <c r="C255" s="498"/>
      <c r="D255" s="379"/>
      <c r="E255" s="379"/>
      <c r="F255" s="379"/>
      <c r="G255" s="390" t="str">
        <f xml:space="preserve"> G21 &amp; " [kg]"</f>
        <v>Your_Additive [kg]</v>
      </c>
      <c r="H255" s="390"/>
      <c r="I255" s="499">
        <f xml:space="preserve"> IF(AJ132 &gt; 0, I252 / AJ132 / 1000, 0)</f>
        <v>922.10591409984204</v>
      </c>
      <c r="J255" s="346"/>
      <c r="K255" s="498"/>
      <c r="L255" s="484"/>
      <c r="M255" s="346"/>
      <c r="N255" s="346"/>
      <c r="O255" s="346"/>
      <c r="P255" s="484"/>
      <c r="Q255" s="346"/>
      <c r="R255" s="346"/>
      <c r="S255" s="346"/>
      <c r="T255" s="346"/>
    </row>
    <row r="256" spans="1:20" ht="15" hidden="1" customHeight="1">
      <c r="A256" s="496"/>
      <c r="B256" s="497"/>
      <c r="C256" s="498"/>
      <c r="D256" s="379"/>
      <c r="E256" s="379"/>
      <c r="F256" s="379"/>
      <c r="G256" s="390" t="str">
        <f xml:space="preserve"> AB118 &amp; " [kg]"</f>
        <v>SBGx by SwissBiogas.com [kg]</v>
      </c>
      <c r="H256" s="390"/>
      <c r="I256" s="499">
        <f xml:space="preserve"> I252 / AM132 / 1000</f>
        <v>535.07628510547011</v>
      </c>
      <c r="J256" s="346"/>
      <c r="K256" s="498" t="s">
        <v>328</v>
      </c>
      <c r="L256" s="484"/>
      <c r="M256" s="346"/>
      <c r="N256" s="346"/>
      <c r="O256" s="346"/>
      <c r="P256" s="484"/>
      <c r="Q256" s="346"/>
      <c r="R256" s="346"/>
      <c r="S256" s="346"/>
      <c r="T256" s="346"/>
    </row>
    <row r="257" spans="1:20" ht="15" hidden="1" customHeight="1">
      <c r="A257" s="496"/>
      <c r="B257" s="497"/>
      <c r="C257" s="498"/>
      <c r="D257" s="379"/>
      <c r="E257" s="379"/>
      <c r="F257" s="379"/>
      <c r="G257" s="390" t="s">
        <v>184</v>
      </c>
      <c r="H257" s="390"/>
      <c r="I257" s="498">
        <f xml:space="preserve"> I255 / I256</f>
        <v>1.7233167302828298</v>
      </c>
      <c r="J257" s="346"/>
      <c r="K257" s="498"/>
      <c r="L257" s="484"/>
      <c r="M257" s="346"/>
      <c r="N257" s="346"/>
      <c r="O257" s="346"/>
      <c r="P257" s="484"/>
      <c r="Q257" s="346"/>
      <c r="R257" s="346"/>
      <c r="S257" s="346"/>
      <c r="T257" s="346"/>
    </row>
    <row r="258" spans="1:20" ht="15" hidden="1" customHeight="1">
      <c r="A258" s="496"/>
      <c r="B258" s="497"/>
      <c r="C258" s="498"/>
      <c r="D258" s="379"/>
      <c r="E258" s="379"/>
      <c r="F258" s="379"/>
      <c r="G258" s="379"/>
      <c r="H258" s="379"/>
      <c r="I258" s="498"/>
      <c r="J258" s="346"/>
      <c r="K258" s="484"/>
      <c r="L258" s="484"/>
      <c r="M258" s="346"/>
      <c r="N258" s="346"/>
      <c r="O258" s="346"/>
      <c r="P258" s="484"/>
      <c r="Q258" s="346"/>
      <c r="R258" s="346"/>
      <c r="S258" s="346"/>
      <c r="T258" s="346"/>
    </row>
    <row r="259" spans="1:20" ht="15" hidden="1" customHeight="1">
      <c r="A259" s="496"/>
      <c r="B259" s="497"/>
      <c r="C259" s="500"/>
      <c r="D259" s="344"/>
      <c r="E259" s="344"/>
      <c r="F259" s="344"/>
      <c r="G259" s="344"/>
      <c r="H259" s="344"/>
      <c r="I259" s="500"/>
      <c r="J259" s="346"/>
      <c r="K259" s="484"/>
      <c r="L259" s="484"/>
      <c r="M259" s="346"/>
      <c r="N259" s="346"/>
      <c r="O259" s="346"/>
      <c r="P259" s="484"/>
      <c r="Q259" s="346"/>
      <c r="R259" s="346"/>
      <c r="S259" s="346"/>
      <c r="T259" s="346"/>
    </row>
    <row r="260" spans="1:20" ht="15" hidden="1" customHeight="1">
      <c r="A260" s="496"/>
      <c r="B260" s="497"/>
      <c r="C260" s="484"/>
      <c r="D260" s="346"/>
      <c r="E260" s="346"/>
      <c r="F260" s="346"/>
      <c r="G260" s="346"/>
      <c r="H260" s="346"/>
      <c r="I260" s="484"/>
      <c r="J260" s="346"/>
      <c r="K260" s="484"/>
      <c r="L260" s="484"/>
      <c r="M260" s="484"/>
      <c r="N260" s="484"/>
      <c r="O260" s="484"/>
      <c r="P260" s="484"/>
      <c r="Q260" s="346"/>
      <c r="R260" s="346"/>
      <c r="S260" s="346"/>
      <c r="T260" s="346"/>
    </row>
    <row r="261" spans="1:20" ht="15" hidden="1" customHeight="1">
      <c r="A261" s="468"/>
      <c r="B261" s="469"/>
      <c r="C261" s="403" t="s">
        <v>31</v>
      </c>
      <c r="D261" s="403"/>
      <c r="E261" s="403"/>
      <c r="F261" s="403"/>
      <c r="G261" s="403"/>
      <c r="H261" s="403"/>
      <c r="I261" s="403"/>
      <c r="J261" s="403"/>
      <c r="K261" s="403"/>
      <c r="L261" s="403"/>
      <c r="M261" s="403"/>
      <c r="N261" s="403"/>
      <c r="O261" s="403"/>
      <c r="P261" s="403"/>
    </row>
    <row r="262" spans="1:20" ht="15" hidden="1" customHeight="1">
      <c r="A262" s="468"/>
      <c r="B262" s="469"/>
      <c r="C262" s="403" t="s">
        <v>32</v>
      </c>
      <c r="D262" s="501"/>
      <c r="E262" s="501"/>
      <c r="F262" s="403"/>
      <c r="G262" s="403"/>
      <c r="H262" s="403"/>
      <c r="I262" s="403"/>
      <c r="J262" s="403"/>
      <c r="K262" s="403"/>
      <c r="L262" s="403"/>
      <c r="M262" s="403"/>
      <c r="N262" s="403"/>
      <c r="O262" s="403"/>
      <c r="P262" s="403"/>
    </row>
    <row r="263" spans="1:20" ht="15" hidden="1" customHeight="1">
      <c r="A263" s="468"/>
      <c r="B263" s="469"/>
      <c r="C263" s="403" t="s">
        <v>33</v>
      </c>
      <c r="D263" s="502"/>
      <c r="E263" s="502"/>
      <c r="F263" s="403"/>
      <c r="G263" s="403"/>
      <c r="H263" s="403"/>
      <c r="I263" s="403"/>
      <c r="J263" s="403"/>
      <c r="K263" s="403"/>
      <c r="L263" s="403"/>
      <c r="M263" s="403"/>
      <c r="N263" s="403"/>
      <c r="O263" s="403"/>
      <c r="P263" s="403"/>
    </row>
    <row r="264" spans="1:20" ht="15" hidden="1" customHeight="1">
      <c r="A264" s="468"/>
      <c r="B264" s="469"/>
      <c r="C264" s="403"/>
      <c r="D264" s="495"/>
      <c r="E264" s="495"/>
      <c r="F264" s="403"/>
      <c r="G264" s="403"/>
      <c r="H264" s="403"/>
      <c r="I264" s="403"/>
      <c r="J264" s="403"/>
      <c r="K264" s="403"/>
      <c r="L264" s="403"/>
      <c r="M264" s="403"/>
      <c r="N264" s="403"/>
      <c r="O264" s="403"/>
      <c r="P264" s="403"/>
    </row>
    <row r="265" spans="1:20" ht="15" hidden="1" customHeight="1">
      <c r="A265" s="468"/>
      <c r="B265" s="503"/>
      <c r="C265" s="495" t="s">
        <v>34</v>
      </c>
      <c r="D265" s="495"/>
      <c r="E265" s="495"/>
      <c r="F265" s="403"/>
      <c r="G265" s="403"/>
      <c r="H265" s="403"/>
      <c r="I265" s="403"/>
      <c r="J265" s="403"/>
      <c r="K265" s="403"/>
      <c r="L265" s="403"/>
      <c r="M265" s="504"/>
      <c r="N265" s="504"/>
      <c r="O265" s="504"/>
      <c r="P265" s="504"/>
    </row>
    <row r="266" spans="1:20" ht="15" hidden="1" customHeight="1">
      <c r="A266" s="468"/>
      <c r="B266" s="503"/>
      <c r="C266" s="28" t="s">
        <v>35</v>
      </c>
      <c r="D266" s="403"/>
      <c r="E266" s="403"/>
      <c r="F266" s="403"/>
      <c r="G266" s="403"/>
      <c r="H266" s="403"/>
      <c r="I266" s="403"/>
      <c r="J266" s="403"/>
      <c r="K266" s="504"/>
      <c r="L266" s="504"/>
      <c r="M266" s="504"/>
      <c r="N266" s="504"/>
      <c r="O266" s="504"/>
      <c r="P266" s="504"/>
    </row>
    <row r="267" spans="1:20" ht="15" hidden="1" customHeight="1">
      <c r="A267" s="468"/>
      <c r="B267" s="503"/>
      <c r="C267" s="403" t="s">
        <v>36</v>
      </c>
      <c r="D267" s="495"/>
      <c r="E267" s="495"/>
      <c r="F267" s="403"/>
      <c r="G267" s="504"/>
      <c r="H267" s="504"/>
      <c r="I267" s="403"/>
      <c r="J267" s="403"/>
      <c r="K267" s="504"/>
      <c r="L267" s="504"/>
      <c r="M267" s="504"/>
      <c r="N267" s="504"/>
      <c r="O267" s="504"/>
      <c r="P267" s="504"/>
    </row>
    <row r="268" spans="1:20" ht="15" hidden="1" customHeight="1">
      <c r="A268" s="468"/>
      <c r="B268" s="503"/>
      <c r="C268" s="28" t="s">
        <v>37</v>
      </c>
      <c r="D268" s="505"/>
      <c r="E268" s="505"/>
      <c r="F268" s="504"/>
      <c r="G268" s="504"/>
      <c r="H268" s="504"/>
      <c r="I268" s="504"/>
      <c r="J268" s="504"/>
      <c r="K268" s="504"/>
      <c r="L268" s="504"/>
      <c r="M268" s="504"/>
      <c r="N268" s="504"/>
      <c r="O268" s="504"/>
      <c r="P268" s="504"/>
    </row>
    <row r="269" spans="1:20" ht="15" hidden="1" customHeight="1">
      <c r="A269" s="468"/>
      <c r="B269" s="503"/>
      <c r="C269" s="403" t="s">
        <v>38</v>
      </c>
      <c r="D269" s="505"/>
      <c r="E269" s="505"/>
      <c r="F269" s="504"/>
      <c r="G269" s="504"/>
      <c r="H269" s="504"/>
      <c r="I269" s="504"/>
      <c r="J269" s="504"/>
      <c r="K269" s="504"/>
      <c r="L269" s="504"/>
      <c r="M269" s="504"/>
      <c r="N269" s="504"/>
      <c r="O269" s="504"/>
      <c r="P269" s="504"/>
    </row>
    <row r="270" spans="1:20" ht="15" hidden="1" customHeight="1">
      <c r="A270" s="468"/>
      <c r="B270" s="503"/>
      <c r="C270" s="7" t="s">
        <v>39</v>
      </c>
      <c r="D270" s="505"/>
      <c r="E270" s="505"/>
      <c r="F270" s="504"/>
      <c r="G270" s="504"/>
      <c r="H270" s="504"/>
      <c r="I270" s="504"/>
      <c r="J270" s="504"/>
      <c r="K270" s="504"/>
      <c r="L270" s="504"/>
      <c r="M270" s="504"/>
      <c r="N270" s="504"/>
      <c r="O270" s="504"/>
      <c r="P270" s="504"/>
    </row>
    <row r="271" spans="1:20" ht="15" hidden="1" customHeight="1">
      <c r="A271" s="468"/>
      <c r="B271" s="503"/>
      <c r="C271" s="403" t="s">
        <v>40</v>
      </c>
      <c r="D271" s="505"/>
      <c r="E271" s="505"/>
      <c r="F271" s="504"/>
      <c r="G271" s="504"/>
      <c r="H271" s="504"/>
      <c r="I271" s="504"/>
      <c r="J271" s="504"/>
      <c r="K271" s="504"/>
      <c r="L271" s="504"/>
      <c r="M271" s="504"/>
      <c r="N271" s="504"/>
      <c r="O271" s="504"/>
      <c r="P271" s="504"/>
    </row>
    <row r="272" spans="1:20" ht="15" customHeight="1">
      <c r="A272" s="377"/>
    </row>
    <row r="273" spans="1:1" ht="15" customHeight="1">
      <c r="A273" s="350"/>
    </row>
    <row r="274" spans="1:1" ht="15" customHeight="1">
      <c r="A274" s="350"/>
    </row>
    <row r="275" spans="1:1" ht="15" customHeight="1">
      <c r="A275" s="350"/>
    </row>
    <row r="276" spans="1:1" ht="15" customHeight="1">
      <c r="A276" s="350"/>
    </row>
    <row r="277" spans="1:1" ht="15" customHeight="1">
      <c r="A277" s="350"/>
    </row>
    <row r="278" spans="1:1">
      <c r="A278" s="350"/>
    </row>
    <row r="279" spans="1:1">
      <c r="A279" s="350"/>
    </row>
    <row r="280" spans="1:1">
      <c r="A280" s="350"/>
    </row>
    <row r="281" spans="1:1">
      <c r="A281" s="350"/>
    </row>
    <row r="282" spans="1:1">
      <c r="A282" s="350"/>
    </row>
    <row r="283" spans="1:1" ht="15" customHeight="1">
      <c r="A283" s="350"/>
    </row>
    <row r="284" spans="1:1" ht="15" customHeight="1">
      <c r="A284" s="350"/>
    </row>
    <row r="285" spans="1:1" ht="15" customHeight="1">
      <c r="A285" s="350"/>
    </row>
    <row r="286" spans="1:1" ht="15" customHeight="1">
      <c r="A286" s="350"/>
    </row>
    <row r="287" spans="1:1" ht="15" customHeight="1">
      <c r="A287" s="350"/>
    </row>
    <row r="288" spans="1:1" ht="15" customHeight="1">
      <c r="A288" s="350"/>
    </row>
    <row r="289" spans="1:1" ht="15" customHeight="1">
      <c r="A289" s="350"/>
    </row>
    <row r="290" spans="1:1" ht="15" customHeight="1">
      <c r="A290" s="350"/>
    </row>
    <row r="291" spans="1:1" ht="15" customHeight="1">
      <c r="A291" s="350"/>
    </row>
    <row r="292" spans="1:1" ht="15" customHeight="1">
      <c r="A292" s="350"/>
    </row>
    <row r="293" spans="1:1" ht="15" customHeight="1">
      <c r="A293" s="350"/>
    </row>
    <row r="294" spans="1:1" ht="15" customHeight="1">
      <c r="A294" s="350"/>
    </row>
    <row r="295" spans="1:1" ht="15" customHeight="1">
      <c r="A295" s="350"/>
    </row>
    <row r="296" spans="1:1" ht="15" customHeight="1">
      <c r="A296" s="350"/>
    </row>
    <row r="297" spans="1:1" ht="15" customHeight="1">
      <c r="A297" s="350"/>
    </row>
    <row r="298" spans="1:1" ht="15" customHeight="1">
      <c r="A298" s="350"/>
    </row>
    <row r="299" spans="1:1" ht="15" customHeight="1">
      <c r="A299" s="350"/>
    </row>
    <row r="300" spans="1:1" ht="15" customHeight="1">
      <c r="A300" s="350"/>
    </row>
    <row r="301" spans="1:1" ht="15" customHeight="1">
      <c r="A301" s="350"/>
    </row>
    <row r="302" spans="1:1" ht="15" customHeight="1">
      <c r="A302" s="350"/>
    </row>
    <row r="303" spans="1:1" ht="15" customHeight="1">
      <c r="A303" s="350"/>
    </row>
    <row r="304" spans="1:1" ht="15" customHeight="1">
      <c r="A304" s="350"/>
    </row>
    <row r="305" spans="1:26" s="346" customFormat="1" ht="15" customHeight="1">
      <c r="U305" s="354"/>
      <c r="V305" s="354"/>
      <c r="W305" s="354"/>
      <c r="X305" s="354"/>
      <c r="Y305" s="354"/>
      <c r="Z305" s="354"/>
    </row>
    <row r="306" spans="1:26" s="346" customFormat="1" ht="15" customHeight="1">
      <c r="U306" s="506"/>
      <c r="V306" s="506"/>
      <c r="W306" s="506"/>
      <c r="X306" s="506"/>
      <c r="Y306" s="506"/>
      <c r="Z306" s="506"/>
    </row>
    <row r="307" spans="1:26" s="346" customFormat="1" ht="15" customHeight="1">
      <c r="U307" s="506"/>
      <c r="V307" s="506"/>
      <c r="W307" s="506"/>
      <c r="X307" s="506"/>
      <c r="Y307" s="506"/>
      <c r="Z307" s="506"/>
    </row>
    <row r="308" spans="1:26" s="346" customFormat="1" ht="15" customHeight="1">
      <c r="U308" s="506"/>
      <c r="V308" s="506"/>
      <c r="W308" s="506"/>
      <c r="X308" s="506"/>
      <c r="Y308" s="506"/>
      <c r="Z308" s="506"/>
    </row>
    <row r="309" spans="1:26" s="346" customFormat="1" ht="15" customHeight="1">
      <c r="U309" s="506"/>
      <c r="V309" s="506"/>
      <c r="W309" s="506"/>
      <c r="X309" s="506"/>
      <c r="Y309" s="506"/>
      <c r="Z309" s="506"/>
    </row>
    <row r="310" spans="1:26" s="346" customFormat="1" ht="15" customHeight="1">
      <c r="U310" s="506"/>
      <c r="V310" s="506"/>
      <c r="W310" s="506"/>
      <c r="X310" s="506"/>
      <c r="Y310" s="506"/>
      <c r="Z310" s="506"/>
    </row>
    <row r="311" spans="1:26" s="346" customFormat="1" ht="15" customHeight="1">
      <c r="U311" s="506"/>
      <c r="V311" s="506"/>
      <c r="W311" s="506"/>
      <c r="X311" s="506"/>
      <c r="Y311" s="506"/>
      <c r="Z311" s="506"/>
    </row>
    <row r="312" spans="1:26" ht="18" customHeight="1">
      <c r="A312" s="350"/>
      <c r="U312" s="506"/>
      <c r="V312" s="506"/>
      <c r="W312" s="506"/>
      <c r="X312" s="506"/>
      <c r="Y312" s="506"/>
      <c r="Z312" s="506"/>
    </row>
    <row r="313" spans="1:26" ht="18" customHeight="1">
      <c r="A313" s="350"/>
    </row>
    <row r="314" spans="1:26" ht="15" customHeight="1">
      <c r="A314" s="350"/>
    </row>
    <row r="315" spans="1:26" ht="15" customHeight="1">
      <c r="A315" s="350"/>
    </row>
    <row r="316" spans="1:26" ht="15" customHeight="1">
      <c r="A316" s="350"/>
    </row>
    <row r="317" spans="1:26" ht="15" customHeight="1">
      <c r="A317" s="350"/>
    </row>
    <row r="318" spans="1:26" ht="18" customHeight="1">
      <c r="A318" s="350"/>
    </row>
    <row r="319" spans="1:26" ht="15" customHeight="1">
      <c r="A319" s="350"/>
    </row>
    <row r="320" spans="1:26" ht="15" customHeight="1">
      <c r="A320" s="350"/>
    </row>
    <row r="321" spans="1:1" ht="15" customHeight="1">
      <c r="A321" s="350"/>
    </row>
    <row r="322" spans="1:1" ht="15" customHeight="1">
      <c r="A322" s="350"/>
    </row>
    <row r="323" spans="1:1" ht="15" customHeight="1">
      <c r="A323" s="350"/>
    </row>
    <row r="324" spans="1:1" ht="15" customHeight="1">
      <c r="A324" s="350"/>
    </row>
    <row r="325" spans="1:1" ht="15" customHeight="1"/>
    <row r="326" spans="1:1" ht="15" customHeight="1"/>
    <row r="327" spans="1:1" ht="15" customHeight="1"/>
    <row r="328" spans="1:1" ht="15" customHeight="1"/>
    <row r="329" spans="1:1" ht="15" customHeight="1"/>
    <row r="330" spans="1:1" ht="15" customHeight="1"/>
    <row r="331" spans="1:1" ht="15" customHeight="1"/>
    <row r="332" spans="1:1" ht="15" customHeight="1"/>
    <row r="333" spans="1:1" ht="15" customHeight="1"/>
  </sheetData>
  <sheetProtection sheet="1" objects="1" scenarios="1" selectLockedCells="1"/>
  <mergeCells count="29">
    <mergeCell ref="C72:G72"/>
    <mergeCell ref="AO113:AV118"/>
    <mergeCell ref="AH127:AI127"/>
    <mergeCell ref="AK127:AL127"/>
    <mergeCell ref="D59:G59"/>
    <mergeCell ref="I59:J59"/>
    <mergeCell ref="C60:C61"/>
    <mergeCell ref="I61:J61"/>
    <mergeCell ref="M63:M64"/>
    <mergeCell ref="M69:M70"/>
    <mergeCell ref="D50:O53"/>
    <mergeCell ref="I55:J55"/>
    <mergeCell ref="I56:J56"/>
    <mergeCell ref="B57:B58"/>
    <mergeCell ref="D57:J57"/>
    <mergeCell ref="I58:J58"/>
    <mergeCell ref="C43:D43"/>
    <mergeCell ref="M43:M45"/>
    <mergeCell ref="I12:K12"/>
    <mergeCell ref="I14:K14"/>
    <mergeCell ref="D17:O20"/>
    <mergeCell ref="C23:D23"/>
    <mergeCell ref="C26:I26"/>
    <mergeCell ref="C27:I27"/>
    <mergeCell ref="C28:I28"/>
    <mergeCell ref="L29:M31"/>
    <mergeCell ref="D34:O37"/>
    <mergeCell ref="C39:D39"/>
    <mergeCell ref="M40:M42"/>
  </mergeCells>
  <conditionalFormatting sqref="F43 F23">
    <cfRule type="expression" dxfId="98" priority="22">
      <formula xml:space="preserve"> MOD(ROUND(G23 * 1000000, 0), 10) = 1</formula>
    </cfRule>
  </conditionalFormatting>
  <conditionalFormatting sqref="G23:H25 K56:K61">
    <cfRule type="expression" dxfId="97" priority="21">
      <formula xml:space="preserve"> MOD(ROUND(G23 * 1000000, 0), 10) = 1</formula>
    </cfRule>
  </conditionalFormatting>
  <conditionalFormatting sqref="G43">
    <cfRule type="expression" dxfId="96" priority="20">
      <formula xml:space="preserve"> MOD(ROUND(G43 * 1000000, 0), 10) = 1</formula>
    </cfRule>
  </conditionalFormatting>
  <conditionalFormatting sqref="G39">
    <cfRule type="expression" dxfId="95" priority="19">
      <formula xml:space="preserve"> MOD(ROUND(G39 * 1000000, 0), 10) = 1</formula>
    </cfRule>
  </conditionalFormatting>
  <conditionalFormatting sqref="K41">
    <cfRule type="expression" dxfId="94" priority="18">
      <formula xml:space="preserve"> MOD(ROUND(K41 * 1000000, 0), 10) = 1</formula>
    </cfRule>
  </conditionalFormatting>
  <conditionalFormatting sqref="K55">
    <cfRule type="expression" dxfId="93" priority="17">
      <formula xml:space="preserve"> MOD(ROUND(K55 * 1000000, 0), 10) = 1</formula>
    </cfRule>
  </conditionalFormatting>
  <conditionalFormatting sqref="I55:J55">
    <cfRule type="expression" dxfId="92" priority="16">
      <formula xml:space="preserve"> MOD(ROUND(K55 * 1000000, 0), 10) = 1</formula>
    </cfRule>
  </conditionalFormatting>
  <conditionalFormatting sqref="I56:J56">
    <cfRule type="expression" dxfId="91" priority="15">
      <formula xml:space="preserve"> MOD(ROUND(K56 * 1000000, 0), 10) = 1</formula>
    </cfRule>
  </conditionalFormatting>
  <conditionalFormatting sqref="I58:J58">
    <cfRule type="expression" dxfId="90" priority="14">
      <formula xml:space="preserve"> MOD(ROUND(K58 * 1000000, 0), 10) = 1</formula>
    </cfRule>
  </conditionalFormatting>
  <conditionalFormatting sqref="I59:J59">
    <cfRule type="expression" dxfId="89" priority="13">
      <formula xml:space="preserve"> MOD(ROUND(K59 * 1000000, 0), 10) = 1</formula>
    </cfRule>
  </conditionalFormatting>
  <conditionalFormatting sqref="I61:J61">
    <cfRule type="expression" dxfId="88" priority="12">
      <formula xml:space="preserve"> MOD(ROUND(K61 * 1000000, 0), 10) = 1</formula>
    </cfRule>
  </conditionalFormatting>
  <conditionalFormatting sqref="AG149:AG156">
    <cfRule type="expression" dxfId="87" priority="23">
      <formula xml:space="preserve"> $AH$140 = AG149</formula>
    </cfRule>
  </conditionalFormatting>
  <conditionalFormatting sqref="AH149:AH156">
    <cfRule type="expression" dxfId="86" priority="24">
      <formula xml:space="preserve"> $AH$141 = AH149</formula>
    </cfRule>
  </conditionalFormatting>
  <conditionalFormatting sqref="F24">
    <cfRule type="expression" dxfId="85" priority="11">
      <formula xml:space="preserve"> MOD(ROUND(G24 * 1000000, 0), 10) = 1</formula>
    </cfRule>
  </conditionalFormatting>
  <conditionalFormatting sqref="F39">
    <cfRule type="expression" dxfId="84" priority="25">
      <formula>$AI$146</formula>
    </cfRule>
    <cfRule type="expression" dxfId="83" priority="26">
      <formula xml:space="preserve"> MOD(ROUND(G39 * 1000000, 0), 10) = 1</formula>
    </cfRule>
  </conditionalFormatting>
  <conditionalFormatting sqref="G40">
    <cfRule type="expression" dxfId="82" priority="28">
      <formula xml:space="preserve"> MOD(ROUND(G40 * 1000000, 0), 10) = 1</formula>
    </cfRule>
  </conditionalFormatting>
  <conditionalFormatting sqref="C40:G40">
    <cfRule type="expression" dxfId="81" priority="27">
      <formula xml:space="preserve"> NOT(is_liquid)</formula>
    </cfRule>
  </conditionalFormatting>
  <conditionalFormatting sqref="AI149:AI156">
    <cfRule type="expression" dxfId="80" priority="29">
      <formula xml:space="preserve"> $AH$140 = AG149</formula>
    </cfRule>
  </conditionalFormatting>
  <conditionalFormatting sqref="AJ149:AJ156">
    <cfRule type="expression" dxfId="79" priority="30">
      <formula xml:space="preserve"> $AH$141 = AH149</formula>
    </cfRule>
  </conditionalFormatting>
  <conditionalFormatting sqref="D60:D61 K60:K61">
    <cfRule type="expression" dxfId="78" priority="10">
      <formula xml:space="preserve"> $F$226 &gt; 0</formula>
    </cfRule>
  </conditionalFormatting>
  <conditionalFormatting sqref="F12">
    <cfRule type="expression" dxfId="77" priority="9">
      <formula xml:space="preserve"> ISNUMBER(SEARCH("example", F12))</formula>
    </cfRule>
  </conditionalFormatting>
  <conditionalFormatting sqref="G41">
    <cfRule type="expression" dxfId="76" priority="8">
      <formula xml:space="preserve"> NOT(ISNUMBER(G41))</formula>
    </cfRule>
  </conditionalFormatting>
  <conditionalFormatting sqref="I23:I24">
    <cfRule type="expression" dxfId="75" priority="31">
      <formula xml:space="preserve"> NOT($U$12)</formula>
    </cfRule>
  </conditionalFormatting>
  <conditionalFormatting sqref="M23:M24 L29 M43 M40 M63 M69">
    <cfRule type="expression" dxfId="74" priority="32">
      <formula xml:space="preserve"> NOT($U$12)</formula>
    </cfRule>
  </conditionalFormatting>
  <conditionalFormatting sqref="K46:M46">
    <cfRule type="expression" dxfId="73" priority="33">
      <formula xml:space="preserve"> NOT(IFERROR(FIND($AP$145, $D$46, 1), 0))</formula>
    </cfRule>
  </conditionalFormatting>
  <conditionalFormatting sqref="D69">
    <cfRule type="expression" dxfId="72" priority="7">
      <formula xml:space="preserve"> NOT(is_liquid)</formula>
    </cfRule>
  </conditionalFormatting>
  <conditionalFormatting sqref="G68">
    <cfRule type="expression" dxfId="71" priority="6">
      <formula xml:space="preserve"> MOD(ROUND($G$68 * 1000000, 0), 10) = 1</formula>
    </cfRule>
  </conditionalFormatting>
  <conditionalFormatting sqref="G69">
    <cfRule type="expression" dxfId="70" priority="5">
      <formula xml:space="preserve"> MOD(ROUND($G$69 * 1000000, 0), 10) = 1</formula>
    </cfRule>
  </conditionalFormatting>
  <conditionalFormatting sqref="O41">
    <cfRule type="expression" dxfId="69" priority="4">
      <formula xml:space="preserve"> NOT($U$12)</formula>
    </cfRule>
  </conditionalFormatting>
  <conditionalFormatting sqref="F25">
    <cfRule type="expression" dxfId="68" priority="3">
      <formula xml:space="preserve"> $F$25 &lt;&gt; ""</formula>
    </cfRule>
  </conditionalFormatting>
  <conditionalFormatting sqref="I41:I42">
    <cfRule type="expression" dxfId="67" priority="2">
      <formula xml:space="preserve"> AND($G$42, $K$42)</formula>
    </cfRule>
  </conditionalFormatting>
  <conditionalFormatting sqref="I62 I64">
    <cfRule type="expression" dxfId="66" priority="1">
      <formula xml:space="preserve"> AND($G$64 &gt; 0, $K$64 &gt; 0)</formula>
    </cfRule>
  </conditionalFormatting>
  <dataValidations count="12">
    <dataValidation type="list" allowBlank="1" showInputMessage="1" showErrorMessage="1" sqref="M12">
      <formula1>$U$9:$U$10</formula1>
    </dataValidation>
    <dataValidation allowBlank="1" showInputMessage="1" showErrorMessage="1" errorTitle="Invalit timeframe" error="Please select one of the timeframes offered in the list box." sqref="M48"/>
    <dataValidation type="list" allowBlank="1" showErrorMessage="1" errorTitle="Invalid measuring unit" error="Please select one of the measuring units offered in the list box." promptTitle="Select the measuring unit" prompt="by clicking on the down arrow on the right side border of the cell" sqref="F23:F24">
      <formula1>$V$123:$V$131</formula1>
    </dataValidation>
    <dataValidation type="list" allowBlank="1" showInputMessage="1" showErrorMessage="1" errorTitle="Invalid measuring unit" error="Please select one of the measuring units offered in the list box." sqref="F39">
      <formula1>$AH$149:$AH$156</formula1>
    </dataValidation>
    <dataValidation type="list" allowBlank="1" showErrorMessage="1" errorTitle="Invalid measuring unit" error="Please select one of the measuring units offered in the list box." promptTitle="Select the measuring unit" prompt="by clicking on the down arrow on the right side border of the cell" sqref="F43">
      <formula1>$AG$149:$AG$156</formula1>
    </dataValidation>
    <dataValidation type="list" allowBlank="1" showInputMessage="1" showErrorMessage="1" errorTitle="Invalit timeframe" error="Please select one of the timeframes offered in the list box." sqref="M46">
      <formula1>$AO$141:$AO$144</formula1>
    </dataValidation>
    <dataValidation type="list" allowBlank="1" showInputMessage="1" showErrorMessage="1" sqref="I59:J59">
      <formula1>$I$225:$I$226</formula1>
    </dataValidation>
    <dataValidation type="list" allowBlank="1" showInputMessage="1" showErrorMessage="1" sqref="I61:J61">
      <formula1>$I$218:$I$219</formula1>
    </dataValidation>
    <dataValidation type="list" allowBlank="1" showInputMessage="1" showErrorMessage="1" sqref="I55:J55 I58:J58">
      <formula1>$I$210:$I$212</formula1>
    </dataValidation>
    <dataValidation type="list" allowBlank="1" showInputMessage="1" showErrorMessage="1" sqref="I56:J56">
      <formula1>$I$215:$I$216</formula1>
    </dataValidation>
    <dataValidation type="custom" allowBlank="1" showInputMessage="1" showErrorMessage="1" sqref="C72:H72">
      <formula1>"&lt; 0 &gt; 0"</formula1>
    </dataValidation>
    <dataValidation allowBlank="1" showInputMessage="1" showErrorMessage="1" errorTitle="Invalid measuring unit" error="Please select one of the measuring units offered in the list box." sqref="F40"/>
  </dataValidations>
  <hyperlinks>
    <hyperlink ref="C266" r:id="rId1"/>
    <hyperlink ref="C268" r:id="rId2"/>
    <hyperlink ref="C270" r:id="rId3"/>
    <hyperlink ref="K243" r:id="rId4"/>
    <hyperlink ref="C72:F72" r:id="rId5" display="Source:  https://swissbiogas.com/ Resources - Download Area"/>
  </hyperlinks>
  <pageMargins left="0.39370078740157483" right="0.39370078740157483" top="0.39370078740157483" bottom="0.39370078740157483" header="0.31496062992125984" footer="0.31496062992125984"/>
  <pageSetup paperSize="9" scale="83" orientation="portrait" r:id="rId6"/>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text_translations!$C$8:$C$12</xm:f>
          </x14:formula1>
          <xm:sqref>M14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N333"/>
  <sheetViews>
    <sheetView showGridLines="0" topLeftCell="A5" zoomScaleNormal="100" workbookViewId="0">
      <selection activeCell="F23" sqref="F23"/>
    </sheetView>
  </sheetViews>
  <sheetFormatPr defaultRowHeight="15" outlineLevelRow="1"/>
  <cols>
    <col min="1" max="1" width="1.625" style="349" customWidth="1"/>
    <col min="2" max="2" width="2.125" style="350" customWidth="1"/>
    <col min="3" max="3" width="10.75" style="350" customWidth="1"/>
    <col min="4" max="4" width="16.25" style="350" customWidth="1"/>
    <col min="5" max="5" width="0.125" style="350" customWidth="1"/>
    <col min="6" max="6" width="26.75" style="350" customWidth="1"/>
    <col min="7" max="7" width="12.625" style="350" customWidth="1"/>
    <col min="8" max="8" width="0.125" style="350" customWidth="1"/>
    <col min="9" max="9" width="10.625" style="350" customWidth="1"/>
    <col min="10" max="10" width="0.875" style="350" customWidth="1"/>
    <col min="11" max="11" width="12.625" style="350" customWidth="1"/>
    <col min="12" max="12" width="0.125" style="350" customWidth="1"/>
    <col min="13" max="13" width="10.625" style="350" customWidth="1"/>
    <col min="14" max="14" width="0.875" style="350" customWidth="1"/>
    <col min="15" max="15" width="20.375" style="350" customWidth="1"/>
    <col min="16" max="16" width="13.375" style="350" customWidth="1"/>
    <col min="17" max="17" width="28.875" style="350" customWidth="1"/>
    <col min="18" max="18" width="15.75" style="350" customWidth="1"/>
    <col min="19" max="20" width="12.125" style="350" customWidth="1"/>
    <col min="21" max="22" width="12.125" style="354" hidden="1" customWidth="1"/>
    <col min="23" max="23" width="23" style="354" hidden="1" customWidth="1"/>
    <col min="24" max="24" width="11.375" style="354" hidden="1" customWidth="1"/>
    <col min="25" max="26" width="8.875" style="354" hidden="1" customWidth="1"/>
    <col min="27" max="31" width="12.625" style="350" hidden="1" customWidth="1"/>
    <col min="32" max="32" width="10.75" style="350" hidden="1" customWidth="1"/>
    <col min="33" max="33" width="24.875" style="350" hidden="1" customWidth="1"/>
    <col min="34" max="39" width="11.75" style="350" hidden="1" customWidth="1"/>
    <col min="40" max="40" width="11" style="350" hidden="1" customWidth="1"/>
    <col min="41" max="41" width="26.125" style="350" hidden="1" customWidth="1"/>
    <col min="42" max="43" width="10.875" style="350" hidden="1" customWidth="1"/>
    <col min="44" max="44" width="9" style="350" hidden="1" customWidth="1"/>
    <col min="45" max="45" width="21.25" style="350" hidden="1" customWidth="1"/>
    <col min="46" max="47" width="10.875" style="350" hidden="1" customWidth="1"/>
    <col min="48" max="48" width="3.25" style="350" hidden="1" customWidth="1"/>
    <col min="49" max="49" width="9" style="350" hidden="1" customWidth="1"/>
    <col min="50" max="50" width="14.625" style="350" customWidth="1"/>
    <col min="51" max="53" width="9" style="350" customWidth="1"/>
    <col min="54" max="54" width="10.625" style="350" customWidth="1"/>
    <col min="55" max="16384" width="9" style="350"/>
  </cols>
  <sheetData>
    <row r="1" spans="1:66" s="346" customFormat="1" hidden="1">
      <c r="A1" s="341"/>
      <c r="B1" s="342">
        <v>1.5</v>
      </c>
      <c r="C1" s="342">
        <v>10.130000000000001</v>
      </c>
      <c r="D1" s="342">
        <v>15.63</v>
      </c>
      <c r="E1" s="342">
        <v>0.08</v>
      </c>
      <c r="F1" s="342">
        <v>26.13</v>
      </c>
      <c r="G1" s="342">
        <v>12</v>
      </c>
      <c r="H1" s="342"/>
      <c r="I1" s="342">
        <v>10</v>
      </c>
      <c r="J1" s="342">
        <v>0.54</v>
      </c>
      <c r="K1" s="342">
        <v>12</v>
      </c>
      <c r="L1" s="342">
        <v>0.08</v>
      </c>
      <c r="M1" s="342">
        <v>10</v>
      </c>
      <c r="N1" s="343"/>
      <c r="O1" s="343"/>
      <c r="P1" s="343"/>
      <c r="Q1" s="344">
        <f>SUM(B1:P1)</f>
        <v>98.09</v>
      </c>
      <c r="R1" s="343"/>
      <c r="S1" s="343"/>
      <c r="T1" s="343"/>
      <c r="U1" s="345"/>
      <c r="V1" s="345"/>
      <c r="W1" s="345"/>
      <c r="X1" s="345"/>
      <c r="Y1" s="345"/>
      <c r="Z1" s="345"/>
      <c r="AA1" s="343"/>
      <c r="AB1" s="343"/>
      <c r="AC1" s="343"/>
      <c r="AD1" s="343"/>
      <c r="AE1" s="343"/>
      <c r="AF1" s="343"/>
      <c r="AG1" s="343"/>
      <c r="AH1" s="343"/>
      <c r="AI1" s="343"/>
      <c r="AJ1" s="343"/>
      <c r="AK1" s="343"/>
      <c r="AL1" s="343"/>
      <c r="AM1" s="343"/>
      <c r="AN1" s="343"/>
      <c r="AO1" s="343"/>
      <c r="AP1" s="343"/>
      <c r="AQ1" s="343"/>
      <c r="AR1" s="343"/>
      <c r="AS1" s="343"/>
      <c r="AT1" s="343"/>
      <c r="AU1" s="343"/>
      <c r="AV1" s="343"/>
      <c r="AW1" s="343"/>
    </row>
    <row r="2" spans="1:66" s="346" customFormat="1" hidden="1">
      <c r="A2" s="341"/>
      <c r="B2" s="343"/>
      <c r="C2" s="347">
        <f xml:space="preserve"> C1</f>
        <v>10.130000000000001</v>
      </c>
      <c r="D2" s="347">
        <f t="shared" ref="D2:N3" si="0" xml:space="preserve"> D1</f>
        <v>15.63</v>
      </c>
      <c r="E2" s="347">
        <f t="shared" si="0"/>
        <v>0.08</v>
      </c>
      <c r="F2" s="347">
        <f t="shared" si="0"/>
        <v>26.13</v>
      </c>
      <c r="G2" s="347">
        <f t="shared" si="0"/>
        <v>12</v>
      </c>
      <c r="H2" s="347"/>
      <c r="I2" s="347">
        <f t="shared" si="0"/>
        <v>10</v>
      </c>
      <c r="J2" s="347">
        <f t="shared" si="0"/>
        <v>0.54</v>
      </c>
      <c r="K2" s="347">
        <f t="shared" si="0"/>
        <v>12</v>
      </c>
      <c r="L2" s="347">
        <f t="shared" si="0"/>
        <v>0.08</v>
      </c>
      <c r="M2" s="347">
        <f t="shared" si="0"/>
        <v>10</v>
      </c>
      <c r="N2" s="347">
        <f t="shared" si="0"/>
        <v>0</v>
      </c>
      <c r="O2" s="347">
        <v>19.75</v>
      </c>
      <c r="P2" s="347">
        <v>12.75</v>
      </c>
      <c r="Q2" s="344">
        <f>SUM(B2:P2)</f>
        <v>129.09</v>
      </c>
      <c r="R2" s="343"/>
      <c r="S2" s="343"/>
      <c r="T2" s="343"/>
      <c r="U2" s="345"/>
      <c r="V2" s="345"/>
      <c r="W2" s="345"/>
      <c r="X2" s="345"/>
      <c r="Y2" s="345"/>
      <c r="Z2" s="345"/>
      <c r="AA2" s="343"/>
      <c r="AB2" s="343"/>
      <c r="AC2" s="343"/>
      <c r="AD2" s="343"/>
      <c r="AE2" s="343"/>
      <c r="AF2" s="343"/>
      <c r="AG2" s="343"/>
      <c r="AH2" s="343"/>
      <c r="AI2" s="343"/>
      <c r="AJ2" s="343"/>
      <c r="AK2" s="343"/>
      <c r="AL2" s="343"/>
      <c r="AM2" s="343"/>
      <c r="AN2" s="343"/>
      <c r="AO2" s="343"/>
      <c r="AP2" s="343"/>
      <c r="AQ2" s="343"/>
      <c r="AR2" s="343"/>
      <c r="AS2" s="343"/>
      <c r="AT2" s="343"/>
      <c r="AU2" s="343"/>
      <c r="AV2" s="343"/>
      <c r="AW2" s="343"/>
    </row>
    <row r="3" spans="1:66" s="346" customFormat="1" hidden="1">
      <c r="A3" s="341"/>
      <c r="B3" s="343"/>
      <c r="C3" s="343"/>
      <c r="D3" s="348">
        <f xml:space="preserve"> D2</f>
        <v>15.63</v>
      </c>
      <c r="E3" s="348">
        <f t="shared" si="0"/>
        <v>0.08</v>
      </c>
      <c r="F3" s="348">
        <f t="shared" si="0"/>
        <v>26.13</v>
      </c>
      <c r="G3" s="348">
        <f t="shared" si="0"/>
        <v>12</v>
      </c>
      <c r="H3" s="348"/>
      <c r="I3" s="348">
        <f t="shared" si="0"/>
        <v>10</v>
      </c>
      <c r="J3" s="348">
        <f t="shared" si="0"/>
        <v>0.54</v>
      </c>
      <c r="K3" s="348">
        <f t="shared" si="0"/>
        <v>12</v>
      </c>
      <c r="L3" s="348">
        <f t="shared" si="0"/>
        <v>0.08</v>
      </c>
      <c r="M3" s="348">
        <f t="shared" si="0"/>
        <v>10</v>
      </c>
      <c r="N3" s="348">
        <f t="shared" si="0"/>
        <v>0</v>
      </c>
      <c r="O3" s="348">
        <f xml:space="preserve"> O2</f>
        <v>19.75</v>
      </c>
      <c r="P3" s="343"/>
      <c r="Q3" s="344">
        <f>SUM(B3:P3)</f>
        <v>106.21000000000001</v>
      </c>
      <c r="R3" s="343"/>
      <c r="S3" s="343"/>
      <c r="T3" s="343"/>
      <c r="U3" s="345"/>
      <c r="V3" s="345"/>
      <c r="W3" s="345"/>
      <c r="X3" s="345"/>
      <c r="Y3" s="345"/>
      <c r="Z3" s="345"/>
      <c r="AA3" s="343"/>
      <c r="AB3" s="343"/>
      <c r="AC3" s="343"/>
      <c r="AD3" s="343"/>
      <c r="AE3" s="343"/>
      <c r="AF3" s="343"/>
      <c r="AG3" s="343"/>
      <c r="AH3" s="343"/>
      <c r="AI3" s="343"/>
      <c r="AJ3" s="343"/>
      <c r="AK3" s="343"/>
      <c r="AL3" s="343"/>
      <c r="AM3" s="343"/>
      <c r="AN3" s="343"/>
      <c r="AO3" s="343"/>
      <c r="AP3" s="343"/>
      <c r="AQ3" s="343"/>
      <c r="AR3" s="343"/>
      <c r="AS3" s="343"/>
      <c r="AT3" s="343"/>
      <c r="AU3" s="343"/>
      <c r="AV3" s="343"/>
      <c r="AW3" s="343"/>
    </row>
    <row r="4" spans="1:66" s="346" customFormat="1" hidden="1">
      <c r="A4" s="341"/>
      <c r="B4" s="343"/>
      <c r="C4" s="343"/>
      <c r="D4" s="343"/>
      <c r="E4" s="343"/>
      <c r="F4" s="343"/>
      <c r="G4" s="343"/>
      <c r="H4" s="343"/>
      <c r="I4" s="343"/>
      <c r="J4" s="343"/>
      <c r="K4" s="343"/>
      <c r="L4" s="343"/>
      <c r="M4" s="343"/>
      <c r="N4" s="343"/>
      <c r="O4" s="343"/>
      <c r="P4" s="343"/>
      <c r="Q4" s="344"/>
      <c r="R4" s="343"/>
      <c r="S4" s="343"/>
      <c r="T4" s="343"/>
      <c r="U4" s="345"/>
      <c r="V4" s="345"/>
      <c r="W4" s="345"/>
      <c r="X4" s="345"/>
      <c r="Y4" s="345"/>
      <c r="Z4" s="345"/>
      <c r="AA4" s="343"/>
      <c r="AB4" s="343"/>
      <c r="AC4" s="343"/>
      <c r="AD4" s="343"/>
      <c r="AE4" s="343"/>
      <c r="AF4" s="343"/>
      <c r="AG4" s="343"/>
      <c r="AH4" s="343"/>
      <c r="AI4" s="343"/>
      <c r="AJ4" s="343"/>
      <c r="AK4" s="343"/>
      <c r="AL4" s="343"/>
      <c r="AM4" s="343"/>
      <c r="AN4" s="343"/>
      <c r="AO4" s="343"/>
      <c r="AP4" s="343"/>
      <c r="AQ4" s="343"/>
      <c r="AR4" s="343"/>
      <c r="AS4" s="343"/>
      <c r="AT4" s="343"/>
      <c r="AU4" s="343"/>
      <c r="AV4" s="343"/>
      <c r="AW4" s="343"/>
    </row>
    <row r="5" spans="1:66" s="508" customFormat="1">
      <c r="A5" s="507"/>
      <c r="B5" s="512"/>
      <c r="U5" s="509"/>
      <c r="V5" s="509"/>
      <c r="W5" s="509"/>
      <c r="X5" s="509"/>
      <c r="Y5" s="509"/>
      <c r="Z5" s="509"/>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1"/>
      <c r="AY5" s="511"/>
      <c r="AZ5" s="511"/>
      <c r="BA5" s="511"/>
      <c r="BB5" s="511"/>
      <c r="BC5" s="511"/>
      <c r="BD5" s="511"/>
      <c r="BE5" s="511"/>
      <c r="BF5" s="511"/>
      <c r="BG5" s="511"/>
      <c r="BH5" s="511"/>
      <c r="BI5" s="511"/>
      <c r="BJ5" s="511"/>
      <c r="BK5" s="511"/>
      <c r="BL5" s="511"/>
      <c r="BM5" s="511"/>
      <c r="BN5" s="511"/>
    </row>
    <row r="6" spans="1:66" ht="18.75">
      <c r="B6" s="16" t="str">
        <f ca="1" xml:space="preserve"> "Reactive Iron Ion Content (RIIC) Calculator: Additive dosage comparison and additive dosage calculation " &amp; M16</f>
        <v>Reactive Iron Ion Content (RIIC) Calculator: Additive dosage comparison and additive dosage calculation - Light, v2.13 -</v>
      </c>
      <c r="U6" s="351"/>
      <c r="V6" s="351"/>
      <c r="W6" s="351"/>
      <c r="X6" s="351"/>
      <c r="Y6" s="351"/>
      <c r="Z6" s="351"/>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3"/>
      <c r="AY6" s="353"/>
      <c r="AZ6" s="353"/>
      <c r="BA6" s="353"/>
      <c r="BB6" s="353"/>
      <c r="BC6" s="353"/>
      <c r="BD6" s="353"/>
      <c r="BE6" s="353"/>
      <c r="BF6" s="353"/>
      <c r="BG6" s="353"/>
      <c r="BH6" s="353"/>
      <c r="BI6" s="353"/>
      <c r="BJ6" s="353"/>
      <c r="BK6" s="353"/>
      <c r="BL6" s="353"/>
      <c r="BM6" s="353"/>
      <c r="BN6" s="353"/>
    </row>
    <row r="7" spans="1:66" ht="15" customHeight="1">
      <c r="B7" s="9" t="str">
        <f xml:space="preserve"> IF(basis!C7, "", "*** This version is not authorised by SwissBiogas.com ***")</f>
        <v/>
      </c>
      <c r="M7" s="694"/>
      <c r="T7" s="353"/>
      <c r="AX7" s="353"/>
      <c r="AY7" s="353"/>
      <c r="AZ7" s="353"/>
      <c r="BA7" s="353"/>
      <c r="BB7" s="353"/>
      <c r="BC7" s="353"/>
      <c r="BD7" s="353"/>
      <c r="BE7" s="353"/>
      <c r="BF7" s="353"/>
      <c r="BG7" s="353"/>
      <c r="BH7" s="353"/>
      <c r="BI7" s="353"/>
      <c r="BJ7" s="353"/>
      <c r="BK7" s="353"/>
      <c r="BL7" s="353"/>
      <c r="BM7" s="353"/>
      <c r="BN7" s="353"/>
    </row>
    <row r="8" spans="1:66" ht="15" customHeight="1">
      <c r="A8" s="355"/>
      <c r="B8" s="574" t="str">
        <f ca="1" xml:space="preserve"> IF(ISNUMBER(SEARCH("basic", CELL("filename", A1))), AF24, AF23)</f>
        <v>Input and output are designed for experienced users who don't need the basic explanations. To perform calculations easily and quickly without fine adjustments, please use the sheet "RIIC Calculator Basic".</v>
      </c>
      <c r="U8" s="528" t="s">
        <v>496</v>
      </c>
      <c r="V8" s="350"/>
      <c r="W8" s="25" t="s">
        <v>448</v>
      </c>
    </row>
    <row r="9" spans="1:66" ht="15" customHeight="1">
      <c r="A9" s="355"/>
      <c r="B9" s="356"/>
      <c r="C9" s="356"/>
      <c r="D9" s="356"/>
      <c r="E9" s="356"/>
      <c r="F9" s="356"/>
      <c r="G9" s="356"/>
      <c r="H9" s="356"/>
      <c r="I9" s="356"/>
      <c r="J9" s="356"/>
      <c r="K9" s="356"/>
      <c r="L9" s="356"/>
      <c r="M9" s="356"/>
      <c r="N9" s="356"/>
      <c r="O9" s="356"/>
      <c r="P9" s="356"/>
      <c r="Q9" s="356"/>
      <c r="R9" s="356"/>
      <c r="S9" s="356"/>
      <c r="T9" s="356"/>
      <c r="U9" s="530" t="s">
        <v>508</v>
      </c>
      <c r="V9" s="350"/>
      <c r="W9" s="361" t="s">
        <v>449</v>
      </c>
    </row>
    <row r="10" spans="1:66" ht="15" customHeight="1">
      <c r="A10" s="354"/>
      <c r="B10" s="27" t="str">
        <f xml:space="preserve"> IF(OR(MOD(ROUND(G23 * 1000000, 0), 10) = 1, MOD(ROUND(K41 * 1000000, 0), 10) = 1, MOD(ROUND(K61 * 1000000, 0), 10) = 1), "All example entries are in italic blue. Delete or replace with your own selections and values.", "")</f>
        <v>All example entries are in italic blue. Delete or replace with your own selections and values.</v>
      </c>
      <c r="T10" s="353"/>
      <c r="U10" s="530" t="s">
        <v>509</v>
      </c>
      <c r="V10" s="350"/>
      <c r="W10" s="25" t="s">
        <v>452</v>
      </c>
      <c r="AY10" s="26"/>
      <c r="AZ10" s="26"/>
      <c r="BA10" s="26"/>
      <c r="BB10" s="26"/>
    </row>
    <row r="11" spans="1:66" ht="15" hidden="1" customHeight="1" outlineLevel="1">
      <c r="A11" s="350"/>
      <c r="U11" s="529" t="s">
        <v>497</v>
      </c>
      <c r="W11" s="361" t="s">
        <v>453</v>
      </c>
      <c r="AD11" s="354" t="s">
        <v>450</v>
      </c>
      <c r="AE11" s="354"/>
      <c r="AF11" s="354"/>
      <c r="AG11" s="354"/>
    </row>
    <row r="12" spans="1:66" ht="15" hidden="1" customHeight="1" outlineLevel="1">
      <c r="A12" s="350"/>
      <c r="C12" s="289" t="s">
        <v>511</v>
      </c>
      <c r="D12" s="299"/>
      <c r="E12" s="321" t="s">
        <v>435</v>
      </c>
      <c r="F12" s="741"/>
      <c r="I12" s="755" t="s">
        <v>515</v>
      </c>
      <c r="J12" s="755"/>
      <c r="K12" s="756"/>
      <c r="L12" s="585" t="s">
        <v>517</v>
      </c>
      <c r="M12" s="579"/>
      <c r="T12" s="353"/>
      <c r="U12" s="430" t="b">
        <f xml:space="preserve"> IF(M12 = U9, TRUE, FALSE)</f>
        <v>0</v>
      </c>
      <c r="W12" s="25" t="s">
        <v>462</v>
      </c>
      <c r="AD12" s="350" t="s">
        <v>428</v>
      </c>
      <c r="AG12" s="354"/>
      <c r="AY12" s="26"/>
      <c r="AZ12" s="26"/>
      <c r="BA12" s="26"/>
      <c r="BB12" s="26"/>
    </row>
    <row r="13" spans="1:66" ht="15" customHeight="1" collapsed="1">
      <c r="A13" s="26"/>
      <c r="B13" s="26"/>
      <c r="C13" s="26"/>
      <c r="W13" s="365" t="s">
        <v>451</v>
      </c>
      <c r="X13" s="263" t="str">
        <f ca="1" xml:space="preserve"> IF(CELL("col", A1) = 0, "", "")</f>
        <v/>
      </c>
      <c r="Y13" s="354" t="s">
        <v>466</v>
      </c>
      <c r="AD13" s="354"/>
      <c r="AE13" s="354"/>
      <c r="AF13" s="354"/>
      <c r="AG13" s="354"/>
    </row>
    <row r="14" spans="1:66" ht="15" hidden="1" customHeight="1" outlineLevel="1">
      <c r="A14" s="350"/>
      <c r="I14" s="757" t="s">
        <v>516</v>
      </c>
      <c r="J14" s="757"/>
      <c r="K14" s="758"/>
      <c r="L14" s="586" t="s">
        <v>518</v>
      </c>
      <c r="M14" s="712"/>
      <c r="N14" s="354"/>
      <c r="O14" s="340"/>
      <c r="T14" s="353"/>
      <c r="W14" s="366" t="s">
        <v>465</v>
      </c>
      <c r="X14" s="329" t="str">
        <f ca="1" xml:space="preserve"> update_trigger &amp; FIXED(1000 + 1 / 2)</f>
        <v>1,000.50</v>
      </c>
      <c r="AD14" s="25" t="s">
        <v>433</v>
      </c>
      <c r="AE14" s="354"/>
      <c r="AF14" s="354"/>
      <c r="AG14" s="354"/>
      <c r="AY14" s="26"/>
      <c r="AZ14" s="26"/>
      <c r="BA14" s="26"/>
      <c r="BB14" s="26"/>
    </row>
    <row r="15" spans="1:66" ht="15" hidden="1" customHeight="1" outlineLevel="1">
      <c r="A15" s="350"/>
      <c r="M15" s="26"/>
      <c r="N15" s="26"/>
      <c r="O15" s="26"/>
      <c r="P15" s="26"/>
      <c r="W15" s="366" t="s">
        <v>463</v>
      </c>
      <c r="X15" s="329" t="str">
        <f ca="1" xml:space="preserve"> MID(X14, 2, 1)</f>
        <v>,</v>
      </c>
      <c r="AD15" s="570" t="s">
        <v>429</v>
      </c>
      <c r="AE15" s="569"/>
      <c r="AF15" s="569"/>
      <c r="AG15" s="354"/>
    </row>
    <row r="16" spans="1:66" ht="15" customHeight="1" collapsed="1">
      <c r="B16" s="25" t="s">
        <v>48</v>
      </c>
      <c r="C16" s="25" t="str">
        <f ca="1" xml:space="preserve"> "Evaluation of your additive's Reactive Iron Ion Content (RIIC)" &amp; IF(ISNUMBER(SEARCH("basic", CELL("filename", A1))), "", " and its H₂S reduction rate")</f>
        <v>Evaluation of your additive's Reactive Iron Ion Content (RIIC) and its H₂S reduction rate</v>
      </c>
      <c r="D16" s="354"/>
      <c r="E16" s="354"/>
      <c r="F16" s="354"/>
      <c r="G16" s="354"/>
      <c r="H16" s="354"/>
      <c r="I16" s="354"/>
      <c r="J16" s="362"/>
      <c r="M16" s="711" t="str">
        <f ca="1" xml:space="preserve"> "- " &amp; IF(ISNUMBER(SEARCH("light", CELL("filename", A1))), "Light", IF(ISNUMBER(SEARCH("basic", CELL("filename", A1))), "Basic", "Standard")) &amp; ", " &amp;
MID(CELL("filename", C2), FIND("_v", CELL("filename", C2)) + 1, IFERROR(FIND(".ods", CELL("filename", C2)), FIND(".xls", CELL("filename", C2))) - FIND("_v", CELL("filename", C2)) - 1) &amp; " -"</f>
        <v>- Light, v2.13 -</v>
      </c>
      <c r="N16" s="354"/>
      <c r="W16" s="367" t="s">
        <v>464</v>
      </c>
      <c r="X16" s="329" t="str">
        <f ca="1" xml:space="preserve"> MID(X14, 6, 1)</f>
        <v>.</v>
      </c>
      <c r="Z16" s="350"/>
      <c r="AD16" s="570" t="s">
        <v>430</v>
      </c>
      <c r="AE16" s="569"/>
      <c r="AF16" s="569"/>
      <c r="AG16" s="354"/>
    </row>
    <row r="17" spans="1:34" ht="15" hidden="1" customHeight="1" outlineLevel="1">
      <c r="B17" s="25"/>
      <c r="C17" s="572" t="str">
        <f xml:space="preserve"> IF(M14 = text_translations!C8, text_translations!D8, IF(M14 = text_translations!C9, text_translations!D9, IF(M14 = text_translations!C10, text_translations!D10, IF(M14 = text_translations!C11, text_translations!D11, IF(M14 = text_translations!C12, text_translations!D12, text_translations!D8)))))</f>
        <v>Explanation:</v>
      </c>
      <c r="D17" s="759" t="str">
        <f xml:space="preserve"> IF(M14 = text_translations!C8, text_translations!D81, IF(M14 = text_translations!C9, text_translations!D96, IF(M14 = text_translations!C10, text_translations!D111, IF(M14 = text_translations!C11, text_translations!D126, IF(M14 = text_translations!C12, text_translations!D141, text_translations!D81)))))</f>
        <v>The entries in this section form the basis for the comparisons and calculations in sections B and C.
The following information is required: What are the iron-based compounds in your additive and what is their content.
If you know the moisture content of your additive, enter this too. If your additive is liquid, then the moisture content is 0 (zero).</v>
      </c>
      <c r="E17" s="759"/>
      <c r="F17" s="759"/>
      <c r="G17" s="759"/>
      <c r="H17" s="759"/>
      <c r="I17" s="759"/>
      <c r="J17" s="759"/>
      <c r="K17" s="759"/>
      <c r="L17" s="759"/>
      <c r="M17" s="759"/>
      <c r="N17" s="759"/>
      <c r="O17" s="759"/>
      <c r="W17" s="261" t="s">
        <v>454</v>
      </c>
      <c r="X17" s="368" t="str">
        <f ca="1" xml:space="preserve"> "#" &amp; X15 &amp; "##0"</f>
        <v>#,##0</v>
      </c>
      <c r="Z17" s="350"/>
      <c r="AD17" s="570" t="s">
        <v>431</v>
      </c>
      <c r="AE17" s="569"/>
      <c r="AF17" s="569"/>
    </row>
    <row r="18" spans="1:34" ht="15" hidden="1" customHeight="1" outlineLevel="1">
      <c r="B18" s="25"/>
      <c r="C18" s="363"/>
      <c r="D18" s="759"/>
      <c r="E18" s="759"/>
      <c r="F18" s="759"/>
      <c r="G18" s="759"/>
      <c r="H18" s="759"/>
      <c r="I18" s="759"/>
      <c r="J18" s="759"/>
      <c r="K18" s="759"/>
      <c r="L18" s="759"/>
      <c r="M18" s="759"/>
      <c r="N18" s="759"/>
      <c r="O18" s="759"/>
      <c r="W18" s="261" t="s">
        <v>455</v>
      </c>
      <c r="X18" s="368" t="str">
        <f ca="1" xml:space="preserve"> fmt_dec_0 &amp; X16 &amp; "0"</f>
        <v>#,##0.0</v>
      </c>
      <c r="Y18" s="350"/>
      <c r="Z18" s="350"/>
      <c r="AD18" s="369" t="s">
        <v>437</v>
      </c>
      <c r="AE18" s="354"/>
      <c r="AF18" s="354"/>
    </row>
    <row r="19" spans="1:34" ht="15" hidden="1" customHeight="1" outlineLevel="1">
      <c r="B19" s="25"/>
      <c r="C19" s="364"/>
      <c r="D19" s="759"/>
      <c r="E19" s="759"/>
      <c r="F19" s="759"/>
      <c r="G19" s="759"/>
      <c r="H19" s="759"/>
      <c r="I19" s="759"/>
      <c r="J19" s="759"/>
      <c r="K19" s="759"/>
      <c r="L19" s="759"/>
      <c r="M19" s="759"/>
      <c r="N19" s="759"/>
      <c r="O19" s="759"/>
      <c r="W19" s="261" t="s">
        <v>456</v>
      </c>
      <c r="X19" s="368" t="str">
        <f ca="1" xml:space="preserve"> fmt_dec_1 &amp; "0"</f>
        <v>#,##0.00</v>
      </c>
      <c r="Y19" s="350"/>
      <c r="Z19" s="350"/>
      <c r="AD19" s="369" t="s">
        <v>434</v>
      </c>
    </row>
    <row r="20" spans="1:34" ht="15" hidden="1" customHeight="1" outlineLevel="1">
      <c r="B20" s="25"/>
      <c r="C20" s="364"/>
      <c r="D20" s="759"/>
      <c r="E20" s="759"/>
      <c r="F20" s="759"/>
      <c r="G20" s="759"/>
      <c r="H20" s="759"/>
      <c r="I20" s="759"/>
      <c r="J20" s="759"/>
      <c r="K20" s="759"/>
      <c r="L20" s="759"/>
      <c r="M20" s="759"/>
      <c r="N20" s="759"/>
      <c r="O20" s="759"/>
      <c r="U20" s="350"/>
      <c r="W20" s="261" t="s">
        <v>457</v>
      </c>
      <c r="X20" s="368" t="str">
        <f ca="1" xml:space="preserve"> fmt_dec_2 &amp; "0"</f>
        <v>#,##0.000</v>
      </c>
      <c r="Y20" s="350"/>
      <c r="Z20" s="350"/>
    </row>
    <row r="21" spans="1:34" ht="15" customHeight="1" collapsed="1">
      <c r="B21" s="362"/>
      <c r="G21" s="20" t="str">
        <f xml:space="preserve"> IFERROR(IF(TRIM(F12) = "", TRIM(E12), IF(F12 = "***", "", F12)), TRIM(E12))</f>
        <v>Your_Additive</v>
      </c>
      <c r="H21" s="20"/>
      <c r="I21" s="20"/>
      <c r="J21" s="362"/>
      <c r="K21" s="714" t="str">
        <f xml:space="preserve"> AB118</f>
        <v>SBGx by SwissBiogas.com</v>
      </c>
      <c r="L21" s="715"/>
      <c r="M21" s="716"/>
      <c r="N21" s="362"/>
      <c r="Q21" s="362"/>
      <c r="R21" s="362"/>
      <c r="S21" s="362"/>
      <c r="U21" s="350"/>
      <c r="V21" s="350"/>
      <c r="W21" s="261" t="s">
        <v>458</v>
      </c>
      <c r="X21" s="368" t="str">
        <f ca="1" xml:space="preserve"> fmt_dec_3 &amp; "0"</f>
        <v>#,##0.0000</v>
      </c>
      <c r="Y21" s="350"/>
      <c r="Z21" s="350"/>
    </row>
    <row r="22" spans="1:34" ht="15" customHeight="1">
      <c r="A22" s="370"/>
      <c r="C22" s="541" t="str">
        <f xml:space="preserve"> G21 &amp; "'s precipitant(s) / iron compound(s)"</f>
        <v>Your_Additive's precipitant(s) / iron compound(s)</v>
      </c>
      <c r="D22" s="542"/>
      <c r="E22" s="542"/>
      <c r="F22" s="543"/>
      <c r="G22" s="544" t="s">
        <v>397</v>
      </c>
      <c r="H22" s="608"/>
      <c r="I22" s="612" t="s">
        <v>21</v>
      </c>
      <c r="J22" s="256"/>
      <c r="K22" s="717" t="s">
        <v>397</v>
      </c>
      <c r="L22" s="717"/>
      <c r="M22" s="718" t="s">
        <v>21</v>
      </c>
      <c r="N22" s="21"/>
      <c r="Q22" s="371"/>
      <c r="U22" s="350"/>
      <c r="V22" s="350"/>
      <c r="W22" s="261" t="s">
        <v>553</v>
      </c>
      <c r="X22" s="368" t="str">
        <f ca="1" xml:space="preserve"> fmt_dec_4 &amp; "0"</f>
        <v>#,##0.00000</v>
      </c>
      <c r="Y22" s="350"/>
      <c r="Z22" s="350"/>
    </row>
    <row r="23" spans="1:34" ht="15" customHeight="1">
      <c r="C23" s="750" t="str">
        <f xml:space="preserve"> IFERROR(VLOOKUP(F23, V123:Z131, 2, FALSE), "Precipitant") &amp; " ⓘ"</f>
        <v>Iron(III) oxide-hydroxide ⓘ</v>
      </c>
      <c r="D23" s="751"/>
      <c r="E23" s="633" t="s">
        <v>578</v>
      </c>
      <c r="F23" s="580" t="s">
        <v>15</v>
      </c>
      <c r="G23" s="372">
        <v>52.505960999999999</v>
      </c>
      <c r="H23" s="618"/>
      <c r="I23" s="297">
        <f xml:space="preserve"> IFERROR(VLOOKUP(F23, V123:Z131, 5, FALSE), 0)</f>
        <v>33.000990099293496</v>
      </c>
      <c r="J23" s="362"/>
      <c r="K23" s="719" t="str">
        <f ca="1" xml:space="preserve"> update_trigger &amp; basis!B8 &amp; ":       " &amp; TEXT(basis!B22 * IFERROR((1 - K28 / 100), 1), fmt_dec_2)</f>
        <v>FeO:       41.82</v>
      </c>
      <c r="L23" s="720"/>
      <c r="M23" s="721">
        <f xml:space="preserve"> SUM(AD123:AE123)</f>
        <v>32.506888497920507</v>
      </c>
      <c r="N23" s="15"/>
      <c r="U23" s="350"/>
      <c r="V23" s="350"/>
      <c r="W23" s="261" t="s">
        <v>459</v>
      </c>
      <c r="X23" s="368" t="str">
        <f ca="1" xml:space="preserve"> fmt_dec_0 &amp; "%"</f>
        <v>#,##0%</v>
      </c>
      <c r="Y23" s="350"/>
      <c r="Z23" s="350"/>
      <c r="AD23" s="631" t="s">
        <v>550</v>
      </c>
      <c r="AE23" s="365"/>
      <c r="AF23" s="578" t="s">
        <v>541</v>
      </c>
    </row>
    <row r="24" spans="1:34" ht="15" customHeight="1">
      <c r="C24" s="373" t="str">
        <f xml:space="preserve"> IFERROR(VLOOKUP(F24, V123:Z131, 2, FALSE), "Possible 2nd precipitant")</f>
        <v>Possible 2nd precipitant</v>
      </c>
      <c r="D24" s="296"/>
      <c r="E24" s="634" t="s">
        <v>578</v>
      </c>
      <c r="F24" s="581"/>
      <c r="G24" s="374"/>
      <c r="H24" s="619"/>
      <c r="I24" s="298">
        <f xml:space="preserve"> IFERROR(VLOOKUP(F24, V123:Z131, 5, FALSE), 0)</f>
        <v>0</v>
      </c>
      <c r="J24" s="362"/>
      <c r="K24" s="722" t="str">
        <f ca="1" xml:space="preserve"> update_trigger &amp; basis!B9 &amp; ":       " &amp; TEXT(basis!C22 * IFERROR((1 - K28 / 100), 1), fmt_dec_2)</f>
        <v>Fe₂O₃:       44.13</v>
      </c>
      <c r="L24" s="723"/>
      <c r="M24" s="724">
        <f xml:space="preserve"> SUM(AD124:AE124)</f>
        <v>30.865647555674123</v>
      </c>
      <c r="N24" s="15"/>
      <c r="U24" s="350"/>
      <c r="V24" s="350"/>
      <c r="W24" s="261" t="s">
        <v>460</v>
      </c>
      <c r="X24" s="368" t="str">
        <f ca="1" xml:space="preserve"> fmt_dec_1 &amp; "%"</f>
        <v>#,##0.0%</v>
      </c>
      <c r="Y24" s="350"/>
      <c r="Z24" s="350"/>
      <c r="AD24" s="571" t="s">
        <v>526</v>
      </c>
      <c r="AE24" s="366"/>
      <c r="AF24" s="632" t="s">
        <v>551</v>
      </c>
    </row>
    <row r="25" spans="1:34" ht="15" customHeight="1">
      <c r="A25" s="362"/>
      <c r="B25" s="709" t="str">
        <f ca="1" xml:space="preserve"> IF(F25 &lt;&gt; "", "‼", "")</f>
        <v>‼</v>
      </c>
      <c r="C25" s="335" t="s">
        <v>340</v>
      </c>
      <c r="D25" s="706" t="s">
        <v>575</v>
      </c>
      <c r="E25" s="375"/>
      <c r="F25" s="707" t="str">
        <f ca="1" xml:space="preserve"> IFERROR("RIIC ratio: " &amp; IF(I25 &lt; M25, "1 : " &amp; TEXT(M25 / I25, fmt_dec_2), TEXT(I25 / M25, fmt_dec_2) &amp; " : 1") &amp; " ","")</f>
        <v xml:space="preserve">RIIC ratio: 1 : 1.92 </v>
      </c>
      <c r="G25" s="376"/>
      <c r="H25" s="620"/>
      <c r="I25" s="545">
        <f xml:space="preserve"> AC133</f>
        <v>33.000990099293496</v>
      </c>
      <c r="J25" s="353"/>
      <c r="K25" s="725" t="str">
        <f xml:space="preserve"> IF(AE121 = 0, "", AE121)</f>
        <v/>
      </c>
      <c r="L25" s="725"/>
      <c r="M25" s="726">
        <f xml:space="preserve"> AE133</f>
        <v>63.372536053594629</v>
      </c>
      <c r="N25" s="17"/>
      <c r="O25" s="34"/>
      <c r="P25" s="362"/>
      <c r="Q25" s="362"/>
      <c r="R25" s="362"/>
      <c r="S25" s="362"/>
      <c r="T25" s="362"/>
      <c r="W25" s="261" t="s">
        <v>461</v>
      </c>
      <c r="X25" s="368" t="str">
        <f ca="1" xml:space="preserve"> fmt_dec_2 &amp; "%"</f>
        <v>#,##0.00%</v>
      </c>
    </row>
    <row r="26" spans="1:34" ht="15" hidden="1" customHeight="1" outlineLevel="1">
      <c r="A26" s="362"/>
      <c r="B26" s="362"/>
      <c r="C26" s="760" t="s">
        <v>510</v>
      </c>
      <c r="D26" s="760"/>
      <c r="E26" s="760"/>
      <c r="F26" s="760"/>
      <c r="G26" s="760"/>
      <c r="H26" s="760"/>
      <c r="I26" s="760"/>
      <c r="J26" s="362"/>
      <c r="K26" s="333"/>
      <c r="L26" s="635" t="s">
        <v>474</v>
      </c>
      <c r="M26" s="537" t="str">
        <f xml:space="preserve"> "B : C = " &amp; ROUND(AI123 * 100, 0) &amp; " : " &amp; 100 - ROUND(AI123 * 100, 0)</f>
        <v>B : C = 50 : 50</v>
      </c>
      <c r="N26" s="14"/>
      <c r="O26" s="362"/>
      <c r="P26" s="362"/>
      <c r="Q26" s="362"/>
      <c r="R26" s="362"/>
      <c r="S26" s="362"/>
      <c r="T26" s="362"/>
    </row>
    <row r="27" spans="1:34" ht="15" hidden="1" customHeight="1" outlineLevel="1">
      <c r="A27" s="377"/>
      <c r="B27" s="362"/>
      <c r="C27" s="761" t="s">
        <v>547</v>
      </c>
      <c r="D27" s="761"/>
      <c r="E27" s="761"/>
      <c r="F27" s="761"/>
      <c r="G27" s="761"/>
      <c r="H27" s="761"/>
      <c r="I27" s="761"/>
      <c r="J27" s="362"/>
      <c r="K27" s="337"/>
      <c r="L27" s="636" t="s">
        <v>474</v>
      </c>
      <c r="M27" s="538" t="str">
        <f xml:space="preserve"> IF(AI124 = 1, "No overdose", IF(AI124 &gt; 1, "+", "") &amp; TEXT(AI124 - 1, fmt_pct_2))</f>
        <v>No overdose</v>
      </c>
      <c r="N27" s="362"/>
      <c r="O27" s="14"/>
      <c r="P27" s="362"/>
      <c r="Q27" s="362"/>
      <c r="R27" s="362"/>
      <c r="S27" s="362"/>
      <c r="T27" s="362"/>
      <c r="AH27" s="354"/>
    </row>
    <row r="28" spans="1:34" ht="15" hidden="1" customHeight="1" outlineLevel="1">
      <c r="B28" s="362"/>
      <c r="C28" s="760" t="s">
        <v>548</v>
      </c>
      <c r="D28" s="760"/>
      <c r="E28" s="760"/>
      <c r="F28" s="760"/>
      <c r="G28" s="760"/>
      <c r="H28" s="760"/>
      <c r="I28" s="760"/>
      <c r="J28" s="353"/>
      <c r="K28" s="527"/>
      <c r="L28" s="635" t="s">
        <v>474</v>
      </c>
      <c r="M28" s="538" t="str">
        <f xml:space="preserve"> IF(ISNUMBER(K28), IF(AND(K28 &gt;= 0, K28 &lt;= 100), "H₂S-RR x " &amp; TEXT((100 - K28) / 100, fmt_pct_0), "0 ≤ Zeo ≤ 100"), "0%")</f>
        <v>0%</v>
      </c>
      <c r="N28" s="17"/>
      <c r="O28" s="34"/>
      <c r="P28" s="362"/>
      <c r="R28" s="378"/>
      <c r="S28" s="378"/>
      <c r="T28" s="362"/>
    </row>
    <row r="29" spans="1:34" ht="15" hidden="1" customHeight="1" outlineLevel="1">
      <c r="A29" s="362"/>
      <c r="B29" s="362"/>
      <c r="C29" s="549" t="s">
        <v>123</v>
      </c>
      <c r="D29" s="550" t="str">
        <f xml:space="preserve"> IF(AJ133 &gt; 0, "With 100 kg of the additives the following masses can theoretically be reduced / precipitated", "Please enter the content of the iron compound(s) in your additive.")</f>
        <v>With 100 kg of the additives the following masses can theoretically be reduced / precipitated</v>
      </c>
      <c r="E29" s="550"/>
      <c r="F29" s="550"/>
      <c r="G29" s="551"/>
      <c r="H29" s="551"/>
      <c r="I29" s="551"/>
      <c r="J29" s="362"/>
      <c r="K29" s="727"/>
      <c r="L29" s="762" t="str">
        <f ca="1" xml:space="preserve"> IF(OR(AJ133 = 0, AM133 = 0), "", "Ratio H₂S-RR" &amp; CHAR(10) &amp; "Factor " &amp; AR121 &amp; CHAR(10) &amp; $AB$117 &amp; ": " &amp; IF(AQ121 &gt; 1, "+", "") &amp; TEXT(AQ121 - 1, fmt_pct_2))</f>
        <v>Ratio H₂S-RR
Factor 1 : 1.723
SBGx: +72.33%</v>
      </c>
      <c r="M29" s="763"/>
      <c r="N29" s="14"/>
      <c r="O29" s="362"/>
      <c r="P29" s="362"/>
      <c r="Q29" s="362"/>
      <c r="R29" s="362"/>
      <c r="S29" s="362"/>
      <c r="T29" s="362"/>
    </row>
    <row r="30" spans="1:34" ht="15" hidden="1" customHeight="1" outlineLevel="1">
      <c r="A30" s="362"/>
      <c r="B30" s="362"/>
      <c r="C30" s="552" t="str">
        <f xml:space="preserve"> IF(AJ133 &gt; 0, "• Hydrogen sulphide (H₂S) reduction [kg], up to", "• Hydrogen sulphide (H₂S) reduction [kg] per 100 kg of SBGx, up to")</f>
        <v>• Hydrogen sulphide (H₂S) reduction [kg], up to</v>
      </c>
      <c r="D30" s="381"/>
      <c r="E30" s="381"/>
      <c r="F30" s="381"/>
      <c r="G30" s="531">
        <f xml:space="preserve"> IF(AJ133 &gt; 0, AJ133 * 100, "")</f>
        <v>25.174002654309302</v>
      </c>
      <c r="H30" s="615"/>
      <c r="I30" s="613"/>
      <c r="J30" s="362"/>
      <c r="K30" s="728">
        <f xml:space="preserve"> AM133 * 100</f>
        <v>43.382779942355597</v>
      </c>
      <c r="L30" s="764"/>
      <c r="M30" s="765"/>
      <c r="N30" s="362"/>
      <c r="O30" s="362"/>
      <c r="P30" s="362"/>
      <c r="Q30" s="362"/>
      <c r="R30" s="362"/>
      <c r="S30" s="362"/>
      <c r="T30" s="362"/>
    </row>
    <row r="31" spans="1:34" ht="15" hidden="1" customHeight="1" outlineLevel="1">
      <c r="A31" s="362"/>
      <c r="B31" s="362"/>
      <c r="C31" s="553" t="str">
        <f xml:space="preserve"> IF(AJ133 &gt; 0, "• Resulting in sulphur precipitation [kg], up to", "• Resulting in sulphur precipitation [kg] per 100 kg of SBGx, up to")</f>
        <v>• Resulting in sulphur precipitation [kg], up to</v>
      </c>
      <c r="D31" s="414"/>
      <c r="E31" s="414"/>
      <c r="F31" s="414"/>
      <c r="G31" s="554">
        <f xml:space="preserve"> IF(AJ133 &gt; 0, AJ134 * 100, "")</f>
        <v>23.685574973897527</v>
      </c>
      <c r="H31" s="616"/>
      <c r="I31" s="614"/>
      <c r="J31" s="362"/>
      <c r="K31" s="729">
        <f xml:space="preserve"> AM134 * 100</f>
        <v>40.817747618885925</v>
      </c>
      <c r="L31" s="766"/>
      <c r="M31" s="767"/>
      <c r="N31" s="362"/>
      <c r="O31" s="602" t="s">
        <v>545</v>
      </c>
      <c r="P31" s="362"/>
      <c r="Q31" s="362"/>
      <c r="R31" s="362"/>
      <c r="S31" s="362"/>
      <c r="T31" s="362"/>
    </row>
    <row r="32" spans="1:34" ht="15" customHeight="1" collapsed="1">
      <c r="A32" s="362"/>
      <c r="B32" s="362"/>
      <c r="C32" s="362"/>
      <c r="D32" s="362"/>
      <c r="E32" s="362"/>
      <c r="F32" s="362"/>
      <c r="G32" s="362"/>
      <c r="H32" s="362"/>
      <c r="I32" s="362"/>
      <c r="J32" s="362"/>
      <c r="K32" s="362"/>
      <c r="L32" s="362"/>
      <c r="M32" s="14"/>
      <c r="N32" s="362"/>
      <c r="O32" s="705"/>
      <c r="P32" s="362"/>
      <c r="Q32" s="362"/>
      <c r="R32" s="362"/>
      <c r="S32" s="362"/>
      <c r="T32" s="362"/>
    </row>
    <row r="33" spans="1:35" ht="15" customHeight="1">
      <c r="B33" s="8" t="s">
        <v>47</v>
      </c>
      <c r="C33" s="8" t="str">
        <f xml:space="preserve"> "Comparison of the daily additive dosage and costs of " &amp; G21 &amp; " and " &amp; AB118</f>
        <v>Comparison of the daily additive dosage and costs of Your_Additive and SBGx by SwissBiogas.com</v>
      </c>
      <c r="D33" s="362"/>
      <c r="E33" s="362"/>
      <c r="F33" s="362"/>
      <c r="G33" s="362"/>
      <c r="H33" s="362"/>
      <c r="I33" s="382"/>
      <c r="J33" s="362"/>
      <c r="K33" s="362"/>
      <c r="L33" s="362"/>
      <c r="M33" s="354"/>
      <c r="N33" s="362"/>
      <c r="O33" s="362"/>
      <c r="P33" s="362"/>
      <c r="Q33" s="362"/>
      <c r="R33" s="378"/>
      <c r="S33" s="378"/>
      <c r="T33" s="362"/>
    </row>
    <row r="34" spans="1:35" ht="15" hidden="1" customHeight="1" outlineLevel="1">
      <c r="B34" s="8"/>
      <c r="C34" s="572" t="str">
        <f xml:space="preserve"> C17</f>
        <v>Explanation:</v>
      </c>
      <c r="D34" s="768" t="str">
        <f xml:space="preserve"> IF(M14 = text_translations!C8, text_translations!D156, IF(M14 = text_translations!C9, text_translations!D171, IF(M14 = text_translations!C10, text_translations!D186, IF(M14 = text_translations!C11, text_translations!D201, IF(M14 = text_translations!C12, text_translations!D216, text_translations!D156)))))</f>
        <v>In this section, your additive is compared with SBGx. This requires the daily additive dosage used. If your additive is liquid and the dosage is volume-based (e.g. litre or gallon), then the density of the additive is also needed.
The second comparison relates to the daily additive costs. For this you need to enter the prices for your additive and for SBGx.</v>
      </c>
      <c r="E34" s="768"/>
      <c r="F34" s="768"/>
      <c r="G34" s="768"/>
      <c r="H34" s="768"/>
      <c r="I34" s="768"/>
      <c r="J34" s="768"/>
      <c r="K34" s="768"/>
      <c r="L34" s="768"/>
      <c r="M34" s="768"/>
      <c r="N34" s="768"/>
      <c r="O34" s="768"/>
      <c r="P34" s="290"/>
    </row>
    <row r="35" spans="1:35" ht="15" hidden="1" customHeight="1" outlineLevel="1">
      <c r="B35" s="8"/>
      <c r="C35" s="363"/>
      <c r="D35" s="768"/>
      <c r="E35" s="768"/>
      <c r="F35" s="768"/>
      <c r="G35" s="768"/>
      <c r="H35" s="768"/>
      <c r="I35" s="768"/>
      <c r="J35" s="768"/>
      <c r="K35" s="768"/>
      <c r="L35" s="768"/>
      <c r="M35" s="768"/>
      <c r="N35" s="768"/>
      <c r="O35" s="768"/>
      <c r="P35" s="290"/>
      <c r="U35" s="26"/>
      <c r="V35" s="26"/>
      <c r="W35" s="26"/>
      <c r="X35" s="26"/>
      <c r="Y35" s="26"/>
      <c r="Z35" s="26"/>
      <c r="AA35" s="26"/>
      <c r="AB35" s="26"/>
      <c r="AC35" s="26"/>
      <c r="AD35" s="26"/>
      <c r="AE35" s="26"/>
      <c r="AF35" s="26"/>
      <c r="AG35" s="26"/>
      <c r="AH35" s="26"/>
      <c r="AI35" s="26"/>
    </row>
    <row r="36" spans="1:35" ht="15" hidden="1" customHeight="1" outlineLevel="1">
      <c r="B36" s="8"/>
      <c r="C36" s="364"/>
      <c r="D36" s="768"/>
      <c r="E36" s="768"/>
      <c r="F36" s="768"/>
      <c r="G36" s="768"/>
      <c r="H36" s="768"/>
      <c r="I36" s="768"/>
      <c r="J36" s="768"/>
      <c r="K36" s="768"/>
      <c r="L36" s="768"/>
      <c r="M36" s="768"/>
      <c r="N36" s="768"/>
      <c r="O36" s="768"/>
      <c r="P36" s="290"/>
    </row>
    <row r="37" spans="1:35" ht="15" hidden="1" customHeight="1" outlineLevel="1">
      <c r="B37" s="8"/>
      <c r="C37" s="364"/>
      <c r="D37" s="768"/>
      <c r="E37" s="768"/>
      <c r="F37" s="768"/>
      <c r="G37" s="768"/>
      <c r="H37" s="768"/>
      <c r="I37" s="768"/>
      <c r="J37" s="768"/>
      <c r="K37" s="768"/>
      <c r="L37" s="768"/>
      <c r="M37" s="768"/>
      <c r="N37" s="768"/>
      <c r="O37" s="768"/>
      <c r="P37" s="290"/>
    </row>
    <row r="38" spans="1:35" ht="15" customHeight="1" collapsed="1">
      <c r="B38" s="8"/>
      <c r="C38" s="362"/>
      <c r="D38" s="362"/>
      <c r="E38" s="362"/>
      <c r="F38" s="362"/>
      <c r="G38" s="20" t="str">
        <f xml:space="preserve"> G21</f>
        <v>Your_Additive</v>
      </c>
      <c r="H38" s="20"/>
      <c r="I38" s="19"/>
      <c r="J38" s="362"/>
      <c r="K38" s="714" t="str">
        <f xml:space="preserve"> AB118</f>
        <v>SBGx by SwissBiogas.com</v>
      </c>
      <c r="L38" s="715"/>
      <c r="M38" s="716"/>
      <c r="O38" s="350" t="str">
        <f xml:space="preserve"> IF(AI124 = 1, "", "* Notice: α is set for SBGx to " &amp; AI124 &amp; " (" &amp; M27 &amp; ") *")</f>
        <v/>
      </c>
      <c r="P38" s="362"/>
      <c r="Q38" s="383"/>
      <c r="R38" s="378"/>
      <c r="S38" s="378"/>
      <c r="T38" s="362"/>
      <c r="U38" s="365" t="str">
        <f xml:space="preserve"> "Equivalent pricing in " &amp; F39</f>
        <v>Equivalent pricing in Metric ton (Tonne) [/t]</v>
      </c>
    </row>
    <row r="39" spans="1:35" ht="15" customHeight="1">
      <c r="B39" s="362"/>
      <c r="C39" s="769" t="s">
        <v>514</v>
      </c>
      <c r="D39" s="751"/>
      <c r="E39" s="634" t="s">
        <v>552</v>
      </c>
      <c r="F39" s="712" t="s">
        <v>92</v>
      </c>
      <c r="G39" s="626">
        <v>520.000001</v>
      </c>
      <c r="H39" s="628" t="str">
        <f xml:space="preserve"> IF(AND(U12, U39 &gt; 0.000001), "&lt;" &amp; TEXT(U39, fmt_dec_5) &amp; "&gt;", "")</f>
        <v/>
      </c>
      <c r="I39" s="534" t="str">
        <f xml:space="preserve"> IF(AI146, "↓ Density mismatch ↔ " &amp; AK157, IF(AND(AL157 &lt;&gt; 0, AI144 = 0), "↓ Enter a value for density", ""))</f>
        <v/>
      </c>
      <c r="J39" s="362"/>
      <c r="K39" s="730"/>
      <c r="L39" s="716"/>
      <c r="M39" s="733"/>
      <c r="P39" s="362"/>
      <c r="Q39" s="362"/>
      <c r="R39" s="378"/>
      <c r="S39" s="378"/>
      <c r="T39" s="362"/>
      <c r="U39" s="430">
        <f xml:space="preserve"> AM160</f>
        <v>443.91143411390203</v>
      </c>
    </row>
    <row r="40" spans="1:35" ht="15" customHeight="1">
      <c r="B40" s="362"/>
      <c r="C40" s="289" t="str">
        <f xml:space="preserve">
IF(AND(ISBLANK(F43), ISBLANK(F39)),
    "Density",
    IF(NOT(AK157 = 0),
        "Density " &amp; AK157,
        IF(NOT(AL157 = 0),
            "Density " &amp; AL157,
            "Density"
        )
    )
)</f>
        <v>Density</v>
      </c>
      <c r="D40" s="358"/>
      <c r="E40" s="336"/>
      <c r="F40" s="358"/>
      <c r="G40" s="625"/>
      <c r="H40" s="629"/>
      <c r="I40" s="534" t="str">
        <f xml:space="preserve"> IF(AI146, "← " &amp; AK157 &amp; " ↔ " &amp; AL157, IF(AND(OR(AL157 &lt;&gt; 0, AK157 &lt;&gt; 0), AI144 = 0), "← ?.??", ""))</f>
        <v/>
      </c>
      <c r="J40" s="362"/>
      <c r="K40" s="715"/>
      <c r="L40" s="730"/>
      <c r="M40" s="753" t="str">
        <f ca="1" xml:space="preserve"> IF(OR(AJ133 = 0, AM133 = 0, AJ160 = 0, AJ161 = 0), "", "Ratio costs" &amp; CHAR(10) &amp; "Factor " &amp; AR125 &amp; CHAR(10) &amp; $AB$117 &amp; ": " &amp; IF(AQ125 &gt; 1, "+", "") &amp; TEXT(AQ125 - 1, fmt_pct_2))</f>
        <v>Ratio costs
Factor 1.171 : 1
SBGx: -14.63%</v>
      </c>
      <c r="N40" s="362"/>
      <c r="O40" s="266"/>
      <c r="P40" s="362"/>
      <c r="Q40" s="362"/>
      <c r="R40" s="378"/>
      <c r="S40" s="378"/>
      <c r="T40" s="362"/>
    </row>
    <row r="41" spans="1:35" ht="15" customHeight="1">
      <c r="B41" s="362"/>
      <c r="C41" s="562" t="s">
        <v>522</v>
      </c>
      <c r="D41" s="358"/>
      <c r="E41" s="358"/>
      <c r="F41" s="358"/>
      <c r="G41" s="609">
        <f xml:space="preserve"> IF(AJ160 &gt; 0, AJ160, IF(AND(U12, AL160 &gt; 0.0000001), "Equivalent pricing: &lt;" &amp; TEXT(AL160, fmt_dec_2) &amp; "&gt;", 0))</f>
        <v>520.000001</v>
      </c>
      <c r="H41" s="627"/>
      <c r="I41" s="747" t="str">
        <f ca="1" xml:space="preserve"> IF(I42 = "", "", "Reduction")</f>
        <v>Reduction</v>
      </c>
      <c r="J41" s="362"/>
      <c r="K41" s="385">
        <v>765.000001</v>
      </c>
      <c r="L41" s="606" t="str">
        <f xml:space="preserve"> IF(AND(U12, AL161 &gt; 0), "Equivalent pricing: &lt;" &amp; TEXT(AL161, fmt_dec_2) &amp; "&gt;", "")</f>
        <v/>
      </c>
      <c r="M41" s="753"/>
      <c r="N41" s="362"/>
      <c r="O41" s="338" t="s">
        <v>544</v>
      </c>
      <c r="P41" s="362"/>
      <c r="Q41" s="362"/>
      <c r="R41" s="378"/>
      <c r="S41" s="378"/>
      <c r="T41" s="362"/>
      <c r="U41" s="350"/>
    </row>
    <row r="42" spans="1:35" ht="15" customHeight="1">
      <c r="B42" s="709" t="str">
        <f xml:space="preserve"> IF(AND($G$42, $K$42, $G$42 &gt; $K$42), "‼", "")</f>
        <v>‼</v>
      </c>
      <c r="C42" s="547" t="s">
        <v>577</v>
      </c>
      <c r="D42" s="699"/>
      <c r="E42" s="535"/>
      <c r="F42" s="708"/>
      <c r="G42" s="610">
        <f xml:space="preserve"> IFERROR(AJ160 / (AJ133 * I230 / I233), 0)</f>
        <v>1260.5682421901211</v>
      </c>
      <c r="H42" s="698"/>
      <c r="I42" s="710" t="str">
        <f ca="1" xml:space="preserve"> IF(AND($G$42, $K$42), IF($G$42 &gt; $K$42, "→ " &amp; TEXT(K42 / G42 - 1, fmt_pct_1) &amp; " →", "← " &amp; TEXT(G42 / K42 - 1, fmt_pct_1) &amp; " ←"), "")</f>
        <v>→ -14.6% →</v>
      </c>
      <c r="J42" s="362"/>
      <c r="K42" s="731">
        <f xml:space="preserve"> IFERROR(K41 / (AM133 * I230 / I233), 0)</f>
        <v>1076.1166442055458</v>
      </c>
      <c r="L42" s="744"/>
      <c r="M42" s="754"/>
      <c r="N42" s="8"/>
      <c r="O42" s="338" t="s">
        <v>576</v>
      </c>
      <c r="P42" s="362"/>
      <c r="Q42" s="362"/>
      <c r="R42" s="378"/>
      <c r="S42" s="378"/>
      <c r="T42" s="362"/>
      <c r="U42" s="350"/>
    </row>
    <row r="43" spans="1:35" ht="15" customHeight="1">
      <c r="B43" s="362"/>
      <c r="C43" s="750" t="s">
        <v>467</v>
      </c>
      <c r="D43" s="751"/>
      <c r="E43" s="634" t="s">
        <v>552</v>
      </c>
      <c r="F43" s="582" t="s">
        <v>83</v>
      </c>
      <c r="G43" s="385">
        <v>920.000001</v>
      </c>
      <c r="H43" s="397"/>
      <c r="I43" s="701" t="str">
        <f xml:space="preserve"> IF(AI146, "↑ Density mismatch ↔ " &amp; AK157, IF(AND(AK157 &lt;&gt; 0, AI144 = 0), "↑ Enter a value for density", ""))</f>
        <v/>
      </c>
      <c r="J43" s="362"/>
      <c r="K43" s="715"/>
      <c r="L43" s="715"/>
      <c r="M43" s="752" t="str">
        <f ca="1" xml:space="preserve"> IF(OR(AJ133 = 0, AM133 = 0), "", "Ratio dosage" &amp; CHAR(10) &amp; M63)</f>
        <v>Ratio dosage
Factor 1.723 : 1
SBGx: -41.97%</v>
      </c>
      <c r="N43" s="362"/>
      <c r="O43" s="14"/>
      <c r="P43" s="362"/>
      <c r="Q43" s="362"/>
      <c r="R43" s="378"/>
      <c r="S43" s="378"/>
      <c r="T43" s="362"/>
    </row>
    <row r="44" spans="1:35" ht="15" hidden="1" customHeight="1" outlineLevel="1">
      <c r="B44" s="362"/>
      <c r="C44" s="695" t="s">
        <v>520</v>
      </c>
      <c r="D44" s="696" t="str">
        <f xml:space="preserve"> "Comparison of the daily additive dosages " &amp; IF(SI_unit, I221, I222)</f>
        <v>Comparison of the daily additive dosages [kg/day]</v>
      </c>
      <c r="E44" s="697"/>
      <c r="F44" s="697"/>
      <c r="G44" s="702">
        <f xml:space="preserve"> IF(SI_unit, AI157, AI157 * fact_kg2lb)</f>
        <v>920.000001</v>
      </c>
      <c r="H44" s="703"/>
      <c r="I44" s="613"/>
      <c r="J44" s="362"/>
      <c r="K44" s="732">
        <f xml:space="preserve"> IF(SI_unit, AI158, AI158 * fact_kg2lb)</f>
        <v>533.85427346777385</v>
      </c>
      <c r="L44" s="742"/>
      <c r="M44" s="753"/>
      <c r="P44" s="362"/>
      <c r="Q44" s="362"/>
      <c r="R44" s="378"/>
      <c r="S44" s="378"/>
      <c r="T44" s="362"/>
    </row>
    <row r="45" spans="1:35" ht="15" hidden="1" customHeight="1" outlineLevel="1">
      <c r="B45" s="362"/>
      <c r="C45" s="547" t="s">
        <v>521</v>
      </c>
      <c r="D45" s="546" t="s">
        <v>311</v>
      </c>
      <c r="E45" s="535"/>
      <c r="F45" s="535"/>
      <c r="G45" s="610">
        <f xml:space="preserve"> AJ162</f>
        <v>478.40000144000004</v>
      </c>
      <c r="H45" s="610"/>
      <c r="I45" s="704"/>
      <c r="J45" s="362"/>
      <c r="K45" s="731">
        <f xml:space="preserve"> AJ163</f>
        <v>408.39851973670125</v>
      </c>
      <c r="L45" s="743"/>
      <c r="M45" s="754"/>
      <c r="N45" s="362"/>
      <c r="O45" s="700" t="s">
        <v>574</v>
      </c>
      <c r="P45" s="362"/>
      <c r="Q45" s="362"/>
      <c r="R45" s="378"/>
      <c r="S45" s="378"/>
      <c r="T45" s="362"/>
    </row>
    <row r="46" spans="1:35" ht="15" customHeight="1" collapsed="1">
      <c r="A46" s="362"/>
      <c r="B46" s="362"/>
      <c r="C46" s="549" t="s">
        <v>123</v>
      </c>
      <c r="D46" s="575" t="str">
        <f ca="1" xml:space="preserve">
IF(AQ125 &gt; 0,
    IF(AQ125 &gt; 1,
        "No cost reduction, unfortunately. Please contact us, if still interested.",
        IF(AI157 &gt; 0,
            "Possible " &amp; AP145 &amp; " additive cost reduction by " &amp; TEXT((1 - AQ125) * G45 * AQ145, fmt_dec_0) &amp; X16 &amp; "-- (" &amp; TEXT(1 - AQ125, fmt_pct_2) &amp; ")",
            "Possible additive cost reduction by " &amp; TEXT(1 - AQ125, fmt_pct_2) &amp; " - Daily dosage pending. "
        )
    ),
    IF(AQ123 &gt; 0,
        IF(AQ123 &gt; 1,
            "No dosage reduction, unfortunately. A cost comparison would still be interesting.",
            IF(AI157 &gt; 0,
                "Possible " &amp; AP145 &amp; " additive dosage reduction by " &amp; TEXT((1 - AQ123) * AI157 * AQ145 * IF(SI_unit, 1, fact_kg2lb), fmt_dec_0) &amp; IF(SI_unit, " kg (", " lb (") &amp; TEXT(1 - AQ123, fmt_pct_2)  &amp; ")" &amp; " - Prices pending.",
                "Possible additive dosage reduction by " &amp; TEXT(1 - AQ123, fmt_pct_2) &amp; " - Daily dosage and prices pending."
            )
        ),
        "Please enter the content of the iron compound(s) in your additive."
    )
)</f>
        <v>Possible yearly additive cost reduction by 25,551.-- (14.63%)</v>
      </c>
      <c r="E46" s="576"/>
      <c r="F46" s="576"/>
      <c r="G46" s="576"/>
      <c r="H46" s="576"/>
      <c r="I46" s="576"/>
      <c r="J46" s="8"/>
      <c r="K46" s="550" t="s">
        <v>369</v>
      </c>
      <c r="L46" s="587" t="s">
        <v>447</v>
      </c>
      <c r="M46" s="584"/>
      <c r="N46" s="362"/>
      <c r="P46" s="362"/>
      <c r="Q46" s="362"/>
      <c r="R46" s="362"/>
      <c r="S46" s="362"/>
      <c r="T46" s="362"/>
    </row>
    <row r="47" spans="1:35" ht="15" hidden="1" customHeight="1" outlineLevel="1">
      <c r="A47" s="362"/>
      <c r="B47" s="362"/>
      <c r="C47" s="598" t="str">
        <f ca="1" xml:space="preserve"> IF(OR(AQ123 = 0, AQ123 &gt; 1), "Unfortunately, no storage space can be saved.", "Additionally, increased storage space utilisation: " &amp; IF(is_liquid, "Even with reduced ", "With the same ") &amp; "storage space, SBGx lasts up to " &amp; TEXT(AQ121 * IF(is_liquid, 1, 1), fmt_dec_2) &amp; " times longer. (+" &amp; TEXT(AQ121 * IF(is_liquid, 1, 1) - 1, fmt_pct_1) &amp; ")")</f>
        <v>Additionally, increased storage space utilisation: With the same storage space, SBGx lasts up to 1.72 times longer. (+72.3%)</v>
      </c>
      <c r="D47" s="599"/>
      <c r="E47" s="599"/>
      <c r="F47" s="599"/>
      <c r="G47" s="599"/>
      <c r="H47" s="599"/>
      <c r="I47" s="599"/>
      <c r="J47" s="597"/>
      <c r="K47" s="599"/>
      <c r="L47" s="599"/>
      <c r="M47" s="600"/>
      <c r="N47" s="362"/>
      <c r="O47" s="601" t="s">
        <v>546</v>
      </c>
      <c r="P47" s="362"/>
      <c r="Q47" s="362"/>
      <c r="R47" s="362"/>
      <c r="S47" s="362"/>
      <c r="T47" s="362"/>
    </row>
    <row r="48" spans="1:35" ht="15" customHeight="1" collapsed="1">
      <c r="A48" s="532"/>
      <c r="B48" s="603"/>
      <c r="C48" s="604"/>
      <c r="D48" s="604"/>
      <c r="E48" s="604"/>
      <c r="F48" s="604"/>
      <c r="G48" s="604"/>
      <c r="H48" s="604"/>
      <c r="I48" s="604"/>
      <c r="J48" s="603"/>
      <c r="K48" s="604"/>
      <c r="L48" s="604"/>
      <c r="M48" s="604"/>
      <c r="N48" s="603"/>
      <c r="O48" s="603"/>
      <c r="P48" s="605"/>
      <c r="Q48" s="603"/>
      <c r="R48" s="603"/>
      <c r="S48" s="603"/>
      <c r="T48" s="603"/>
    </row>
    <row r="49" spans="1:26" s="26" customFormat="1" ht="15" customHeight="1">
      <c r="A49" s="370"/>
      <c r="B49" s="25" t="s">
        <v>46</v>
      </c>
      <c r="C49" s="25" t="s">
        <v>308</v>
      </c>
      <c r="D49" s="354"/>
      <c r="E49" s="354"/>
      <c r="F49" s="354"/>
      <c r="G49" s="354"/>
      <c r="H49" s="354"/>
      <c r="I49" s="354"/>
      <c r="J49" s="354"/>
      <c r="K49" s="354"/>
      <c r="L49" s="354"/>
      <c r="M49" s="360"/>
      <c r="N49" s="354"/>
      <c r="O49" s="354"/>
      <c r="P49" s="354"/>
      <c r="Q49" s="354"/>
      <c r="R49" s="354"/>
      <c r="S49" s="354"/>
      <c r="T49" s="354"/>
    </row>
    <row r="50" spans="1:26" s="26" customFormat="1" ht="15" hidden="1" customHeight="1" outlineLevel="1">
      <c r="A50" s="370"/>
      <c r="B50" s="25"/>
      <c r="C50" s="572" t="str">
        <f xml:space="preserve"> C17</f>
        <v>Explanation:</v>
      </c>
      <c r="D50" s="759" t="str">
        <f xml:space="preserve"> IF(M14 = text_translations!C8, text_translations!D281, IF(M14 = text_translations!C9, text_translations!D297, IF(M14 = text_translations!C10, text_translations!D313, IF(M14 = text_translations!C11, text_translations!D329, IF(M14 = text_translations!C12, text_translations!D345, text_translations!D281)))))</f>
        <v>In this section, the daily required additive dosage is calculated. To achieve a well-usable result, it is already sufficient to enter the daily produced biogas volume and its H₂S content.
The highest accuracy is achieved if the daily newly introduced substrate volume, the total sulphide content or instead the pH value and the temperature of the reactor liquid are also entered.</v>
      </c>
      <c r="E50" s="759"/>
      <c r="F50" s="759"/>
      <c r="G50" s="759"/>
      <c r="H50" s="759"/>
      <c r="I50" s="759"/>
      <c r="J50" s="759"/>
      <c r="K50" s="759"/>
      <c r="L50" s="759"/>
      <c r="M50" s="759"/>
      <c r="N50" s="759"/>
      <c r="O50" s="759"/>
      <c r="P50" s="386"/>
    </row>
    <row r="51" spans="1:26" s="26" customFormat="1" ht="15" hidden="1" customHeight="1" outlineLevel="1">
      <c r="A51" s="370"/>
      <c r="B51" s="25"/>
      <c r="C51" s="311"/>
      <c r="D51" s="759"/>
      <c r="E51" s="759"/>
      <c r="F51" s="759"/>
      <c r="G51" s="759"/>
      <c r="H51" s="759"/>
      <c r="I51" s="759"/>
      <c r="J51" s="759"/>
      <c r="K51" s="759"/>
      <c r="L51" s="759"/>
      <c r="M51" s="759"/>
      <c r="N51" s="759"/>
      <c r="O51" s="759"/>
      <c r="P51" s="386"/>
    </row>
    <row r="52" spans="1:26" s="26" customFormat="1" ht="15" hidden="1" customHeight="1" outlineLevel="1">
      <c r="A52" s="370"/>
      <c r="B52" s="25"/>
      <c r="C52" s="306"/>
      <c r="D52" s="759"/>
      <c r="E52" s="759"/>
      <c r="F52" s="759"/>
      <c r="G52" s="759"/>
      <c r="H52" s="759"/>
      <c r="I52" s="759"/>
      <c r="J52" s="759"/>
      <c r="K52" s="759"/>
      <c r="L52" s="759"/>
      <c r="M52" s="759"/>
      <c r="N52" s="759"/>
      <c r="O52" s="759"/>
      <c r="P52" s="386"/>
    </row>
    <row r="53" spans="1:26" s="26" customFormat="1" ht="15" hidden="1" customHeight="1" outlineLevel="1">
      <c r="A53" s="370"/>
      <c r="B53" s="25"/>
      <c r="C53" s="306"/>
      <c r="D53" s="759"/>
      <c r="E53" s="759"/>
      <c r="F53" s="759"/>
      <c r="G53" s="759"/>
      <c r="H53" s="759"/>
      <c r="I53" s="759"/>
      <c r="J53" s="759"/>
      <c r="K53" s="759"/>
      <c r="L53" s="759"/>
      <c r="M53" s="759"/>
      <c r="N53" s="759"/>
      <c r="O53" s="759"/>
      <c r="P53" s="386"/>
    </row>
    <row r="54" spans="1:26" s="26" customFormat="1" ht="15" customHeight="1" collapsed="1">
      <c r="A54" s="370"/>
      <c r="B54" s="25"/>
      <c r="C54" s="25"/>
      <c r="D54" s="568"/>
      <c r="E54" s="568"/>
      <c r="F54" s="568"/>
      <c r="G54" s="568"/>
      <c r="H54" s="568"/>
      <c r="I54" s="568"/>
      <c r="J54" s="568"/>
      <c r="K54" s="568"/>
      <c r="L54" s="568"/>
      <c r="M54" s="568"/>
      <c r="N54" s="568"/>
      <c r="O54" s="568"/>
      <c r="P54" s="386"/>
      <c r="Q54" s="354"/>
      <c r="R54" s="354"/>
      <c r="S54" s="354"/>
      <c r="T54" s="354"/>
    </row>
    <row r="55" spans="1:26" s="26" customFormat="1" ht="15" customHeight="1">
      <c r="A55" s="370"/>
      <c r="B55" s="350"/>
      <c r="C55" s="31" t="s">
        <v>581</v>
      </c>
      <c r="D55" s="358" t="str">
        <f xml:space="preserve"> "Biogas volume produced per day " &amp; IF(ISBLANK(I55), I210, "")</f>
        <v xml:space="preserve">Biogas volume produced per day </v>
      </c>
      <c r="E55" s="358"/>
      <c r="F55" s="358"/>
      <c r="G55" s="358"/>
      <c r="H55" s="358"/>
      <c r="I55" s="770" t="s">
        <v>164</v>
      </c>
      <c r="J55" s="771"/>
      <c r="K55" s="388">
        <v>53000.000001</v>
      </c>
      <c r="L55" s="389"/>
      <c r="M55" s="27"/>
      <c r="N55" s="350"/>
      <c r="O55" s="362"/>
      <c r="P55" s="390"/>
      <c r="Q55" s="41"/>
      <c r="R55" s="350"/>
      <c r="S55" s="350"/>
      <c r="T55" s="350"/>
    </row>
    <row r="56" spans="1:26">
      <c r="A56" s="370"/>
      <c r="C56" s="31"/>
      <c r="D56" s="373" t="str">
        <f xml:space="preserve"> "Hydrogen sulphide (H₂S) content of biogas " &amp; IF(ISBLANK(I56), I215, "") &amp; "(before any treatment)"</f>
        <v>Hydrogen sulphide (H₂S) content of biogas (before any treatment)</v>
      </c>
      <c r="E56" s="373"/>
      <c r="F56" s="373"/>
      <c r="G56" s="373"/>
      <c r="H56" s="373"/>
      <c r="I56" s="770" t="s">
        <v>115</v>
      </c>
      <c r="J56" s="771"/>
      <c r="K56" s="391">
        <v>1800.0000010000001</v>
      </c>
      <c r="L56" s="389"/>
      <c r="M56" s="288" t="str">
        <f xml:space="preserve"> IF(OR(NOT(U12), I236 = 0),
      "",
      "  " &amp; TEXT(I236, fmt_dec_0) &amp; " g/day H₂S(gas)" &amp; IF(AND(I236 &gt; 0, I248 &gt; 0),
                                                           " (" &amp; TEXT(I236/(I236 + I248), fmt_pct_2) &amp; ")",
                                                           ""
                                                       ) &amp; "; Interim result"
)</f>
        <v/>
      </c>
      <c r="O56" s="362"/>
      <c r="P56" s="379"/>
      <c r="Q56" s="392"/>
      <c r="U56" s="350"/>
      <c r="V56" s="350"/>
      <c r="W56" s="350"/>
      <c r="X56" s="350"/>
      <c r="Y56" s="350"/>
      <c r="Z56" s="350"/>
    </row>
    <row r="57" spans="1:26">
      <c r="A57" s="370"/>
      <c r="B57" s="772" t="s">
        <v>519</v>
      </c>
      <c r="C57" s="359"/>
      <c r="D57" s="761" t="s">
        <v>512</v>
      </c>
      <c r="E57" s="761"/>
      <c r="F57" s="761"/>
      <c r="G57" s="761"/>
      <c r="H57" s="761"/>
      <c r="I57" s="761"/>
      <c r="J57" s="774"/>
      <c r="K57" s="385"/>
      <c r="L57" s="637" t="str">
        <f xml:space="preserve"> "&lt;No input req.&gt;"</f>
        <v>&lt;No input req.&gt;</v>
      </c>
      <c r="M57" s="536" t="str">
        <f ca="1" xml:space="preserve"> IF(ISBLANK(K57), " β = " &amp; TEXT(M251, fmt_dec_1), IF(OR(M252 &lt; 1.7, M252 &gt; 5), " Recommendation: Use a value between " &amp; TEXT(M251, fmt_dec_1) &amp; " and 5.", "")) &amp; IF(AI124 = 1, "", " * Notice: α is set for SBGx to " &amp; AI124 &amp; " (" &amp; M27 &amp; ") and is multiplied with β; α x β = " &amp; TEXT(AI124 * M252, fmt_dec_4) &amp; " (" &amp; IF(AI124 * M252 &gt; 1, "+", "") &amp; TEXT((AI124 * M252) - 1, fmt_pct_2) &amp; ") *")</f>
        <v xml:space="preserve"> β = 1.7</v>
      </c>
      <c r="P57" s="346"/>
      <c r="U57" s="350"/>
      <c r="V57" s="350"/>
      <c r="W57" s="350"/>
      <c r="X57" s="350"/>
      <c r="Y57" s="350"/>
      <c r="Z57" s="350"/>
    </row>
    <row r="58" spans="1:26" s="26" customFormat="1" ht="15" hidden="1" customHeight="1" outlineLevel="1">
      <c r="A58" s="370"/>
      <c r="B58" s="773"/>
      <c r="C58" s="332" t="s">
        <v>471</v>
      </c>
      <c r="D58" s="358" t="str">
        <f xml:space="preserve"> "Substrate volume added per day " &amp; IF(ISBLANK(I58), I210, "")</f>
        <v xml:space="preserve">Substrate volume added per day </v>
      </c>
      <c r="E58" s="358"/>
      <c r="F58" s="358"/>
      <c r="G58" s="358"/>
      <c r="H58" s="373"/>
      <c r="I58" s="775" t="s">
        <v>164</v>
      </c>
      <c r="J58" s="776"/>
      <c r="K58" s="393"/>
      <c r="L58" s="394"/>
      <c r="M58" s="350"/>
      <c r="N58" s="350"/>
      <c r="O58" s="395"/>
      <c r="P58" s="379"/>
      <c r="Q58" s="362"/>
      <c r="R58" s="30"/>
      <c r="S58" s="350"/>
      <c r="T58" s="350"/>
    </row>
    <row r="59" spans="1:26" s="26" customFormat="1" ht="15" hidden="1" customHeight="1" outlineLevel="1">
      <c r="A59" s="370"/>
      <c r="B59" s="350"/>
      <c r="C59" s="320" t="s">
        <v>421</v>
      </c>
      <c r="D59" s="780" t="str">
        <f xml:space="preserve"> "● Total sulphide (S²⁻ + HS⁻ + H₂S) content of reactor liquid " &amp; IF(ISBLANK(I59), I225 &amp; " ", "") &amp; "ⓘ"</f>
        <v>● Total sulphide (S²⁻ + HS⁻ + H₂S) content of reactor liquid ⓘ</v>
      </c>
      <c r="E59" s="780"/>
      <c r="F59" s="780"/>
      <c r="G59" s="780"/>
      <c r="H59" s="713"/>
      <c r="I59" s="770" t="s">
        <v>333</v>
      </c>
      <c r="J59" s="771"/>
      <c r="K59" s="396"/>
      <c r="L59" s="630" t="str">
        <f xml:space="preserve"> IF(I247 &gt; 0, "approx. " &amp; TEXT(I247, fmt_dec_3), "")</f>
        <v/>
      </c>
      <c r="M59" s="34"/>
      <c r="N59" s="350"/>
      <c r="O59" s="350"/>
      <c r="P59" s="346"/>
      <c r="Q59" s="350"/>
      <c r="R59" s="350"/>
      <c r="S59" s="350"/>
      <c r="T59" s="350"/>
    </row>
    <row r="60" spans="1:26" ht="15" hidden="1" customHeight="1" outlineLevel="1">
      <c r="A60" s="370"/>
      <c r="C60" s="781" t="s">
        <v>422</v>
      </c>
      <c r="D60" s="563" t="s">
        <v>523</v>
      </c>
      <c r="E60" s="373"/>
      <c r="F60" s="373"/>
      <c r="G60" s="373"/>
      <c r="H60" s="362"/>
      <c r="I60" s="14"/>
      <c r="J60" s="362"/>
      <c r="K60" s="385"/>
      <c r="L60" s="397"/>
      <c r="P60" s="398"/>
      <c r="Q60" s="399"/>
      <c r="U60" s="350"/>
      <c r="V60" s="350"/>
      <c r="W60" s="350"/>
      <c r="X60" s="350"/>
      <c r="Y60" s="350"/>
      <c r="Z60" s="350"/>
    </row>
    <row r="61" spans="1:26" ht="15" hidden="1" customHeight="1" outlineLevel="1">
      <c r="A61" s="370"/>
      <c r="C61" s="782"/>
      <c r="D61" s="539" t="str">
        <f xml:space="preserve"> "○ Temperature of reactor liquid " &amp; IF(ISBLANK(I61), I218, "")</f>
        <v xml:space="preserve">○ Temperature of reactor liquid </v>
      </c>
      <c r="E61" s="373"/>
      <c r="F61" s="373"/>
      <c r="G61" s="373"/>
      <c r="H61" s="373"/>
      <c r="I61" s="770" t="s">
        <v>313</v>
      </c>
      <c r="J61" s="771"/>
      <c r="K61" s="391"/>
      <c r="L61" s="540"/>
      <c r="M61" s="288" t="str">
        <f xml:space="preserve"> IF(OR(NOT(U12), I248 = 0),
      "",
      "  " &amp; TEXT(I248, fmt_dec_0) &amp; " g/day Sulphide(substrate)" &amp; IF(AND(I236 &gt; 0, I248 &gt; 0),
                                                                     " (" &amp; TEXT(I248/(I236 + I248), fmt_pct_2) &amp; ")",
                                                                     ""
                                                                 ) &amp; "; Interim result"
)</f>
        <v/>
      </c>
      <c r="P61" s="548"/>
      <c r="Q61" s="548"/>
      <c r="U61" s="350"/>
      <c r="V61" s="350"/>
      <c r="W61" s="350"/>
      <c r="X61" s="350"/>
      <c r="Y61" s="350"/>
      <c r="Z61" s="350"/>
    </row>
    <row r="62" spans="1:26" ht="15" customHeight="1" collapsed="1">
      <c r="C62" s="564"/>
      <c r="D62" s="573" t="str">
        <f xml:space="preserve"> IF(OR(NOT(U12), I236 + I248 = 0), "", "Remark: " &amp; IF(SI_unit, "", TEXT((I236 + I248) / 1000 * fact_kg2lb, fmt_dec_1) &amp; " lb = ") &amp; TEXT((I236 + I248) / 1000, fmt_dec_1) &amp; " kg of total sulphide to be reduced")</f>
        <v/>
      </c>
      <c r="E62" s="565"/>
      <c r="F62" s="566"/>
      <c r="G62" s="567" t="str">
        <f xml:space="preserve"> G21</f>
        <v>Your_Additive</v>
      </c>
      <c r="H62" s="567"/>
      <c r="I62" s="746" t="str">
        <f ca="1" xml:space="preserve"> IF(I64 = "", "", "Ratio")</f>
        <v>Ratio</v>
      </c>
      <c r="K62" s="734" t="str">
        <f xml:space="preserve"> AB118</f>
        <v>SBGx by SwissBiogas.com</v>
      </c>
      <c r="L62" s="735"/>
      <c r="M62" s="736"/>
      <c r="O62" s="34"/>
      <c r="R62" s="400"/>
      <c r="S62" s="400"/>
      <c r="T62" s="401"/>
      <c r="U62" s="350"/>
      <c r="V62" s="350"/>
      <c r="W62" s="350"/>
      <c r="X62" s="350"/>
      <c r="Y62" s="350"/>
      <c r="Z62" s="350"/>
    </row>
    <row r="63" spans="1:26" ht="15" hidden="1" customHeight="1" outlineLevel="1">
      <c r="C63" s="549" t="s">
        <v>123</v>
      </c>
      <c r="D63" s="555" t="str">
        <f ca="1" xml:space="preserve"> IF(I236 + I248 = 0, "Please enter the required values to calculate a dosage.", "To reduce " &amp; TEXT((I236 + I248) / 1000 * IF(SI_unit, 1, fact_kg2lb), fmt_dec_1) &amp; IF(SI_unit, " kg", " lb") &amp; " of sulphide, theoretically (β = 1) " &amp; TEXT(I251 / 1000 * IF(SI_unit, 1, fact_kg2lb), fmt_dec_1) &amp; IF(SI_unit, " kg", " lb") &amp; " of iron(II) ions are required.")</f>
        <v>To reduce 133.0 kg of sulphide, theoretically (β = 1) 217.9 kg of iron(II) ions are required.</v>
      </c>
      <c r="E63" s="556"/>
      <c r="F63" s="555"/>
      <c r="G63" s="557"/>
      <c r="H63" s="557"/>
      <c r="I63" s="557"/>
      <c r="J63" s="354"/>
      <c r="K63" s="737"/>
      <c r="L63" s="737"/>
      <c r="M63" s="763" t="str">
        <f ca="1" xml:space="preserve"> IF(OR(AJ133 = 0, AM133 = 0), "", "Factor " &amp; AR123 &amp; CHAR(10) &amp; $AB$117 &amp; ": " &amp; IF(AQ123 &gt; 1, "+", "") &amp; TEXT(AQ123 - 1, fmt_pct_2))</f>
        <v>Factor 1.723 : 1
SBGx: -41.97%</v>
      </c>
      <c r="R63" s="400"/>
      <c r="S63" s="400"/>
      <c r="T63" s="401"/>
      <c r="U63" s="350"/>
      <c r="V63" s="350"/>
      <c r="W63" s="350"/>
      <c r="X63" s="350"/>
      <c r="Y63" s="350"/>
      <c r="Z63" s="350"/>
    </row>
    <row r="64" spans="1:26" ht="15" customHeight="1" collapsed="1">
      <c r="A64" s="370"/>
      <c r="B64" s="740" t="str">
        <f xml:space="preserve"> IF(AND(G64, K64, G64 &gt; K64), "‼", "")</f>
        <v>‼</v>
      </c>
      <c r="C64" s="558" t="str">
        <f ca="1" xml:space="preserve"> "Daily required additive dosages " &amp; IF(SI_unit, I221 &amp; " ", I222 &amp; " ") &amp; IF(AND(F222 &gt; 0, F223 &gt; 0), "     (" &amp; $AB$117 &amp; ": " &amp; IF(AQ123 &gt; 1, "+", "") &amp; TEXT(AQ123 - 1, fmt_pct_2) &amp; ")", "")</f>
        <v>Daily required additive dosages [kg/day]      (SBGx: -41.97%)</v>
      </c>
      <c r="D64" s="559"/>
      <c r="E64" s="560"/>
      <c r="F64" s="559"/>
      <c r="G64" s="611">
        <f xml:space="preserve"> F222</f>
        <v>897.97810030024175</v>
      </c>
      <c r="H64" s="561"/>
      <c r="I64" s="745" t="str">
        <f ca="1" xml:space="preserve"> IFERROR("← " &amp; IF(G64 &lt; K64, "1 : " &amp; TEXT(K64 / G64, fmt_dec_2), TEXT(G64 / K64, fmt_dec_2) &amp; " : 1") &amp; " →","")</f>
        <v>← 1.72 : 1 →</v>
      </c>
      <c r="J64" s="354"/>
      <c r="K64" s="738">
        <f xml:space="preserve"> F223</f>
        <v>521.07548457030634</v>
      </c>
      <c r="L64" s="739"/>
      <c r="M64" s="767"/>
      <c r="N64" s="354"/>
      <c r="O64" s="384" t="s">
        <v>469</v>
      </c>
      <c r="U64" s="350"/>
      <c r="V64" s="350"/>
      <c r="W64" s="350"/>
      <c r="X64" s="350"/>
      <c r="Y64" s="350"/>
      <c r="Z64" s="350"/>
    </row>
    <row r="65" spans="1:26" ht="15" customHeight="1">
      <c r="A65" s="370"/>
      <c r="B65" s="439"/>
      <c r="C65" s="689" t="str">
        <f xml:space="preserve"> IF(AND(I248 &gt; 0, I236 = 0), "Warning: This is only an interim result. At least the volume of the biogas and its H₂S content are required to calculate a useful dosage.", "")</f>
        <v/>
      </c>
      <c r="D65" s="14"/>
      <c r="E65" s="439"/>
      <c r="F65" s="439"/>
      <c r="G65" s="690"/>
      <c r="H65" s="690"/>
      <c r="I65" s="439"/>
      <c r="J65" s="439"/>
      <c r="K65" s="439"/>
      <c r="L65" s="439"/>
      <c r="M65" s="362"/>
      <c r="N65" s="439"/>
      <c r="O65" s="362"/>
      <c r="P65" s="439"/>
      <c r="Q65" s="362"/>
      <c r="R65" s="362"/>
      <c r="S65" s="362"/>
      <c r="T65" s="362"/>
      <c r="U65" s="350"/>
      <c r="V65" s="350"/>
      <c r="W65" s="350"/>
      <c r="X65" s="350"/>
      <c r="Y65" s="350"/>
      <c r="Z65" s="350"/>
    </row>
    <row r="66" spans="1:26" ht="15" hidden="1" customHeight="1" outlineLevel="1">
      <c r="A66" s="350"/>
      <c r="B66" s="354"/>
      <c r="C66" s="354"/>
      <c r="D66" s="354"/>
      <c r="E66" s="354"/>
      <c r="F66" s="354"/>
      <c r="G66" s="354"/>
      <c r="H66" s="354"/>
      <c r="I66" s="354"/>
      <c r="J66" s="354"/>
      <c r="K66" s="354"/>
      <c r="L66" s="354"/>
      <c r="M66" s="354"/>
      <c r="N66" s="354"/>
      <c r="O66" s="354"/>
      <c r="P66" s="354"/>
      <c r="Q66" s="354"/>
      <c r="R66" s="354"/>
      <c r="S66" s="354"/>
      <c r="T66" s="354"/>
      <c r="U66" s="670" t="s">
        <v>566</v>
      </c>
      <c r="V66" s="350"/>
      <c r="W66" s="350"/>
      <c r="X66" s="350"/>
      <c r="Y66" s="350"/>
      <c r="Z66" s="350"/>
    </row>
    <row r="67" spans="1:26" ht="15" hidden="1" customHeight="1" outlineLevel="1">
      <c r="A67" s="352"/>
      <c r="B67" s="35" t="s">
        <v>573</v>
      </c>
      <c r="C67" s="35" t="s">
        <v>560</v>
      </c>
      <c r="K67" s="353"/>
      <c r="L67" s="353"/>
      <c r="M67" s="353"/>
      <c r="U67" s="352"/>
      <c r="V67" s="350"/>
      <c r="W67" s="350"/>
      <c r="X67" s="350"/>
      <c r="Y67" s="350"/>
      <c r="Z67" s="350"/>
    </row>
    <row r="68" spans="1:26" ht="15" hidden="1" customHeight="1" outlineLevel="1">
      <c r="A68" s="352"/>
      <c r="C68" s="671" t="s">
        <v>567</v>
      </c>
      <c r="D68" s="358"/>
      <c r="E68" s="358"/>
      <c r="F68" s="359"/>
      <c r="G68" s="681">
        <v>250.000001</v>
      </c>
      <c r="I68" s="675"/>
      <c r="K68" s="678" t="str">
        <f xml:space="preserve"> AB118</f>
        <v>SBGx by SwissBiogas.com</v>
      </c>
      <c r="L68" s="676"/>
      <c r="M68" s="676"/>
      <c r="U68" s="352"/>
      <c r="V68" s="350"/>
      <c r="W68" s="350"/>
      <c r="X68" s="350"/>
      <c r="Y68" s="350"/>
      <c r="Z68" s="350"/>
    </row>
    <row r="69" spans="1:26" ht="15" hidden="1" customHeight="1" outlineLevel="1">
      <c r="A69" s="352"/>
      <c r="C69" s="680" t="s">
        <v>568</v>
      </c>
      <c r="D69" s="373"/>
      <c r="E69" s="373"/>
      <c r="F69" s="639"/>
      <c r="G69" s="682">
        <v>21.000001000000001</v>
      </c>
      <c r="I69" s="675"/>
      <c r="K69" s="676"/>
      <c r="L69" s="676"/>
      <c r="M69" s="783" t="str">
        <f ca="1" xml:space="preserve"> "Ratio H₂S-RR" &amp; CHAR(10) &amp; "Factor " &amp; IFERROR(TEXT(AC107 / AD107, fmt_dec_3), "0") &amp; " : 1"</f>
        <v>Ratio H₂S-RR
Factor 4.910 : 1</v>
      </c>
      <c r="U69" s="352"/>
      <c r="V69" s="350"/>
      <c r="W69" s="350"/>
      <c r="X69" s="350"/>
      <c r="Y69" s="350"/>
      <c r="Z69" s="350"/>
    </row>
    <row r="70" spans="1:26" ht="15" hidden="1" customHeight="1" outlineLevel="1">
      <c r="A70" s="352"/>
      <c r="C70" s="688" t="s">
        <v>572</v>
      </c>
      <c r="D70" s="546"/>
      <c r="E70" s="672"/>
      <c r="F70" s="673"/>
      <c r="G70" s="679" t="str">
        <f ca="1" xml:space="preserve"> "(O₂: " &amp; TEXT(AB110 * G69 / 100 / 1000, fmt_dec_2) &amp; " kg)"</f>
        <v>(O₂: 74.01 kg)</v>
      </c>
      <c r="H70" s="617"/>
      <c r="I70" s="674"/>
      <c r="K70" s="677">
        <f xml:space="preserve"> AB110 * AB107 / AM133 / 1000</f>
        <v>363.36715827442976</v>
      </c>
      <c r="L70" s="676"/>
      <c r="M70" s="784"/>
      <c r="O70" s="350" t="str">
        <f xml:space="preserve"> IF(AI124 = 1, "", "* Notice: α is set for SBGx to " &amp; AI124 &amp; " (" &amp; M27 &amp; ") *")</f>
        <v/>
      </c>
      <c r="U70" s="352"/>
      <c r="V70" s="350"/>
      <c r="W70" s="350"/>
      <c r="X70" s="350"/>
      <c r="Y70" s="350"/>
      <c r="Z70" s="350"/>
    </row>
    <row r="71" spans="1:26" ht="15" hidden="1" customHeight="1" outlineLevel="1">
      <c r="A71" s="352"/>
      <c r="K71" s="353"/>
      <c r="O71" s="683"/>
      <c r="U71" s="641" t="s">
        <v>556</v>
      </c>
      <c r="V71" s="350"/>
      <c r="W71" s="350"/>
      <c r="X71" s="350"/>
      <c r="Y71" s="350"/>
      <c r="Z71" s="350"/>
    </row>
    <row r="72" spans="1:26" ht="15" customHeight="1" collapsed="1">
      <c r="A72" s="29"/>
      <c r="B72" s="467"/>
      <c r="C72" s="777" t="s">
        <v>139</v>
      </c>
      <c r="D72" s="777"/>
      <c r="E72" s="777"/>
      <c r="F72" s="777"/>
      <c r="G72" s="777"/>
      <c r="H72" s="691"/>
      <c r="I72" s="692"/>
      <c r="J72" s="693"/>
      <c r="K72" s="693"/>
      <c r="L72" s="693"/>
      <c r="M72" s="693"/>
      <c r="N72" s="693"/>
      <c r="O72" s="467"/>
      <c r="P72" s="693"/>
      <c r="Q72" s="467"/>
      <c r="R72" s="467"/>
      <c r="S72" s="467"/>
      <c r="T72" s="467"/>
      <c r="U72" s="350"/>
      <c r="V72" s="350"/>
      <c r="W72" s="350"/>
      <c r="X72" s="350"/>
      <c r="Y72" s="350"/>
      <c r="Z72" s="350"/>
    </row>
    <row r="73" spans="1:26" ht="15" customHeight="1">
      <c r="B73" s="402"/>
      <c r="I73" s="32"/>
      <c r="J73" s="403"/>
      <c r="K73" s="403"/>
      <c r="L73" s="403"/>
      <c r="M73" s="404" t="s">
        <v>407</v>
      </c>
      <c r="N73" s="403"/>
      <c r="P73" s="403"/>
      <c r="U73" s="350"/>
      <c r="V73" s="350"/>
      <c r="W73" s="350"/>
      <c r="X73" s="350"/>
      <c r="Y73" s="350"/>
      <c r="Z73" s="350"/>
    </row>
    <row r="74" spans="1:26" ht="15" customHeight="1">
      <c r="B74" s="402"/>
      <c r="I74" s="32"/>
      <c r="J74" s="403"/>
      <c r="K74" s="403"/>
      <c r="L74" s="403"/>
      <c r="M74" s="404"/>
      <c r="N74" s="403"/>
      <c r="P74" s="403"/>
      <c r="U74" s="350"/>
      <c r="V74" s="350"/>
      <c r="W74" s="350"/>
      <c r="X74" s="350"/>
      <c r="Y74" s="350"/>
      <c r="Z74" s="350"/>
    </row>
    <row r="75" spans="1:26" ht="15" customHeight="1">
      <c r="A75" s="350"/>
      <c r="U75" s="350"/>
      <c r="V75" s="350"/>
      <c r="W75" s="350"/>
      <c r="X75" s="350"/>
      <c r="Y75" s="350"/>
      <c r="Z75" s="350"/>
    </row>
    <row r="76" spans="1:26">
      <c r="A76" s="350"/>
      <c r="U76" s="350"/>
      <c r="V76" s="350"/>
      <c r="W76" s="350"/>
      <c r="X76" s="350"/>
      <c r="Y76" s="350"/>
      <c r="Z76" s="350"/>
    </row>
    <row r="77" spans="1:26">
      <c r="A77" s="350"/>
      <c r="U77" s="350"/>
      <c r="V77" s="350"/>
      <c r="W77" s="350"/>
      <c r="X77" s="350"/>
      <c r="Y77" s="350"/>
      <c r="Z77" s="350"/>
    </row>
    <row r="78" spans="1:26">
      <c r="A78" s="350"/>
      <c r="U78" s="350"/>
      <c r="V78" s="350"/>
      <c r="W78" s="350"/>
      <c r="X78" s="350"/>
      <c r="Y78" s="350"/>
      <c r="Z78" s="350"/>
    </row>
    <row r="79" spans="1:26">
      <c r="A79" s="350"/>
      <c r="U79" s="350"/>
      <c r="V79" s="350"/>
      <c r="W79" s="350"/>
      <c r="X79" s="350"/>
      <c r="Y79" s="350"/>
      <c r="Z79" s="350"/>
    </row>
    <row r="80" spans="1:26">
      <c r="A80" s="350"/>
      <c r="U80" s="350"/>
      <c r="V80" s="350"/>
      <c r="W80" s="350"/>
      <c r="X80" s="350"/>
      <c r="Y80" s="350"/>
      <c r="Z80" s="350"/>
    </row>
    <row r="81" spans="1:26">
      <c r="A81" s="350"/>
      <c r="U81" s="350"/>
      <c r="V81" s="350"/>
      <c r="W81" s="350"/>
      <c r="X81" s="350"/>
      <c r="Y81" s="350"/>
      <c r="Z81" s="350"/>
    </row>
    <row r="82" spans="1:26" ht="15" customHeight="1">
      <c r="A82" s="350"/>
      <c r="U82" s="350"/>
      <c r="V82" s="350"/>
      <c r="W82" s="350"/>
      <c r="X82" s="350"/>
      <c r="Y82" s="350"/>
      <c r="Z82" s="350"/>
    </row>
    <row r="83" spans="1:26" ht="15" customHeight="1">
      <c r="A83" s="350"/>
      <c r="U83" s="350"/>
      <c r="V83" s="350"/>
      <c r="W83" s="350"/>
      <c r="X83" s="350"/>
      <c r="Y83" s="350"/>
      <c r="Z83" s="350"/>
    </row>
    <row r="84" spans="1:26" ht="15" customHeight="1">
      <c r="A84" s="350"/>
      <c r="U84" s="350"/>
      <c r="V84" s="350"/>
      <c r="W84" s="350"/>
      <c r="X84" s="350"/>
      <c r="Y84" s="350"/>
      <c r="Z84" s="350"/>
    </row>
    <row r="85" spans="1:26" ht="15" customHeight="1">
      <c r="A85" s="350"/>
      <c r="U85" s="350"/>
      <c r="V85" s="350"/>
      <c r="W85" s="350"/>
      <c r="X85" s="350"/>
      <c r="Y85" s="350"/>
      <c r="Z85" s="350"/>
    </row>
    <row r="86" spans="1:26" ht="15" customHeight="1">
      <c r="A86" s="350"/>
      <c r="U86" s="350"/>
      <c r="V86" s="350"/>
      <c r="W86" s="350"/>
      <c r="X86" s="350"/>
      <c r="Y86" s="350"/>
      <c r="Z86" s="350"/>
    </row>
    <row r="87" spans="1:26" ht="15" customHeight="1">
      <c r="A87" s="350"/>
      <c r="U87" s="350"/>
      <c r="V87" s="350"/>
      <c r="W87" s="350"/>
      <c r="X87" s="350"/>
      <c r="Y87" s="350"/>
      <c r="Z87" s="350"/>
    </row>
    <row r="88" spans="1:26" ht="15" customHeight="1">
      <c r="A88" s="350"/>
      <c r="U88" s="350"/>
      <c r="Z88" s="350"/>
    </row>
    <row r="89" spans="1:26" ht="15" customHeight="1">
      <c r="A89" s="350"/>
      <c r="U89" s="350"/>
      <c r="V89" s="350"/>
      <c r="X89" s="350"/>
      <c r="Y89" s="350"/>
      <c r="Z89" s="350"/>
    </row>
    <row r="90" spans="1:26" ht="15" customHeight="1">
      <c r="A90" s="350"/>
      <c r="U90" s="350"/>
      <c r="V90" s="350"/>
      <c r="X90" s="350"/>
      <c r="Y90" s="350"/>
      <c r="Z90" s="350"/>
    </row>
    <row r="91" spans="1:26" ht="15" customHeight="1">
      <c r="A91" s="350"/>
      <c r="U91" s="350"/>
      <c r="V91" s="350"/>
      <c r="X91" s="350"/>
      <c r="Y91" s="350"/>
      <c r="Z91" s="350"/>
    </row>
    <row r="92" spans="1:26" ht="15" customHeight="1">
      <c r="A92" s="350"/>
      <c r="U92" s="350"/>
      <c r="V92" s="350"/>
      <c r="X92" s="350"/>
      <c r="Y92" s="350"/>
      <c r="Z92" s="350"/>
    </row>
    <row r="93" spans="1:26" ht="15" customHeight="1">
      <c r="A93" s="350"/>
      <c r="U93" s="350"/>
      <c r="V93" s="350"/>
      <c r="X93" s="350"/>
      <c r="Y93" s="350"/>
      <c r="Z93" s="350"/>
    </row>
    <row r="94" spans="1:26" ht="15" customHeight="1">
      <c r="A94" s="350"/>
      <c r="K94" s="669"/>
      <c r="U94" s="350"/>
      <c r="V94" s="350"/>
      <c r="X94" s="350"/>
      <c r="Y94" s="350"/>
      <c r="Z94" s="350"/>
    </row>
    <row r="95" spans="1:26" ht="15" customHeight="1">
      <c r="A95" s="350"/>
      <c r="K95" s="353"/>
      <c r="U95" s="350"/>
      <c r="V95" s="350"/>
      <c r="X95" s="350"/>
      <c r="Y95" s="350"/>
      <c r="Z95" s="350"/>
    </row>
    <row r="96" spans="1:26" ht="15" customHeight="1">
      <c r="A96" s="350"/>
      <c r="K96" s="353"/>
      <c r="U96" s="350"/>
      <c r="V96" s="350"/>
      <c r="X96" s="350"/>
      <c r="Y96" s="350"/>
      <c r="Z96" s="350"/>
    </row>
    <row r="97" spans="1:50" ht="15" customHeight="1">
      <c r="A97" s="350"/>
      <c r="K97" s="353"/>
      <c r="U97" s="350"/>
      <c r="V97" s="350"/>
      <c r="X97" s="350"/>
      <c r="Y97" s="350"/>
      <c r="Z97" s="350"/>
    </row>
    <row r="98" spans="1:50" ht="15" customHeight="1">
      <c r="A98" s="350"/>
      <c r="K98" s="353"/>
      <c r="U98" s="350"/>
      <c r="V98" s="350"/>
      <c r="X98" s="350"/>
      <c r="Y98" s="350"/>
      <c r="Z98" s="350"/>
    </row>
    <row r="99" spans="1:50" ht="15" customHeight="1">
      <c r="A99" s="350"/>
      <c r="K99" s="353"/>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row>
    <row r="100" spans="1:50" ht="15" customHeight="1">
      <c r="A100" s="350"/>
      <c r="K100" s="362"/>
      <c r="U100" s="350"/>
      <c r="V100" s="350"/>
      <c r="X100" s="350"/>
      <c r="Y100" s="350"/>
      <c r="Z100" s="350"/>
    </row>
    <row r="101" spans="1:50" ht="15" customHeight="1">
      <c r="A101" s="350"/>
      <c r="K101" s="362"/>
      <c r="U101" s="350"/>
      <c r="V101" s="643" t="s">
        <v>559</v>
      </c>
      <c r="W101" s="350"/>
      <c r="X101" s="350"/>
      <c r="Y101" s="350"/>
      <c r="Z101" s="350"/>
    </row>
    <row r="102" spans="1:50" ht="15" customHeight="1">
      <c r="A102" s="350"/>
      <c r="K102" s="362"/>
      <c r="U102" s="350"/>
      <c r="V102" s="648" t="s">
        <v>561</v>
      </c>
      <c r="W102" s="359"/>
      <c r="X102" s="359"/>
      <c r="Y102" s="359"/>
      <c r="Z102" s="359"/>
      <c r="AB102" s="642">
        <v>31.998799999999999</v>
      </c>
    </row>
    <row r="103" spans="1:50" ht="15" customHeight="1">
      <c r="A103" s="350"/>
      <c r="K103" s="353"/>
      <c r="L103" s="354"/>
      <c r="M103" s="660"/>
      <c r="U103" s="350"/>
      <c r="V103" s="659" t="s">
        <v>562</v>
      </c>
      <c r="AB103" s="650">
        <v>28.964700000000001</v>
      </c>
    </row>
    <row r="104" spans="1:50" ht="15" customHeight="1">
      <c r="A104" s="350"/>
      <c r="K104" s="353"/>
      <c r="U104" s="350"/>
      <c r="V104" s="667" t="s">
        <v>558</v>
      </c>
      <c r="W104" s="640"/>
      <c r="X104" s="640"/>
      <c r="Y104" s="640"/>
      <c r="Z104" s="640"/>
      <c r="AA104" s="666"/>
      <c r="AB104" s="665">
        <v>1</v>
      </c>
    </row>
    <row r="105" spans="1:50" ht="15" customHeight="1">
      <c r="A105" s="350"/>
      <c r="C105" s="654"/>
      <c r="D105" s="362"/>
      <c r="E105" s="362"/>
      <c r="F105" s="362"/>
      <c r="G105" s="362"/>
      <c r="H105" s="362"/>
      <c r="I105" s="362"/>
      <c r="J105" s="362"/>
      <c r="K105" s="362"/>
      <c r="U105" s="350"/>
      <c r="V105" s="662" t="s">
        <v>557</v>
      </c>
      <c r="W105" s="663"/>
      <c r="X105" s="663"/>
      <c r="Y105" s="663"/>
      <c r="Z105" s="663"/>
      <c r="AA105" s="664"/>
      <c r="AB105" s="649">
        <v>2</v>
      </c>
    </row>
    <row r="106" spans="1:50" ht="15" customHeight="1">
      <c r="A106" s="350"/>
      <c r="C106" s="654"/>
      <c r="D106" s="362"/>
      <c r="E106" s="362"/>
      <c r="F106" s="362"/>
      <c r="G106" s="362"/>
      <c r="H106" s="362"/>
      <c r="I106" s="8"/>
      <c r="J106" s="362"/>
      <c r="K106" s="362"/>
      <c r="U106" s="350"/>
      <c r="V106" s="668" t="s">
        <v>563</v>
      </c>
      <c r="W106" s="651"/>
      <c r="X106" s="651"/>
      <c r="Y106" s="651"/>
      <c r="Z106" s="651"/>
      <c r="AA106" s="651"/>
      <c r="AB106" s="652">
        <f xml:space="preserve"> G69 / 100 * AB104 * AB105 / AB102</f>
        <v>1.3125492830981163E-2</v>
      </c>
      <c r="AC106" s="686" t="s">
        <v>571</v>
      </c>
      <c r="AD106" s="687" t="s">
        <v>569</v>
      </c>
    </row>
    <row r="107" spans="1:50" s="353" customFormat="1" ht="15" customHeight="1">
      <c r="C107" s="655"/>
      <c r="D107" s="656"/>
      <c r="E107" s="362"/>
      <c r="F107" s="657"/>
      <c r="G107" s="658"/>
      <c r="H107" s="362"/>
      <c r="I107" s="362"/>
      <c r="J107" s="362"/>
      <c r="K107" s="362"/>
      <c r="V107" s="648" t="s">
        <v>564</v>
      </c>
      <c r="W107" s="359"/>
      <c r="X107" s="359"/>
      <c r="Y107" s="359"/>
      <c r="Z107" s="359"/>
      <c r="AA107" s="359"/>
      <c r="AB107" s="653">
        <f xml:space="preserve"> AB106 * I234</f>
        <v>0.44731679567983801</v>
      </c>
      <c r="AC107" s="684">
        <f xml:space="preserve"> AB107 / G69 * 100</f>
        <v>2.1300798779954246</v>
      </c>
      <c r="AD107" s="685">
        <f xml:space="preserve"> AM133</f>
        <v>0.43382779942355598</v>
      </c>
    </row>
    <row r="108" spans="1:50" ht="15" customHeight="1">
      <c r="A108" s="350"/>
      <c r="C108" s="362"/>
      <c r="D108" s="362"/>
      <c r="E108" s="362"/>
      <c r="F108" s="362"/>
      <c r="G108" s="362"/>
      <c r="H108" s="362"/>
      <c r="I108" s="362"/>
      <c r="J108" s="362"/>
      <c r="K108" s="362"/>
      <c r="U108" s="350"/>
      <c r="V108" s="647" t="s">
        <v>565</v>
      </c>
      <c r="W108" s="640"/>
      <c r="X108" s="640"/>
      <c r="Y108" s="640"/>
      <c r="Z108" s="640"/>
      <c r="AA108" s="661"/>
      <c r="AB108" s="642">
        <v>22.7</v>
      </c>
      <c r="AC108" s="683" t="s">
        <v>570</v>
      </c>
    </row>
    <row r="109" spans="1:50" ht="15" customHeight="1">
      <c r="A109" s="350"/>
      <c r="C109" s="362"/>
      <c r="D109" s="362"/>
      <c r="E109" s="362"/>
      <c r="F109" s="362"/>
      <c r="G109" s="362"/>
      <c r="H109" s="362"/>
      <c r="I109" s="362"/>
      <c r="J109" s="362"/>
      <c r="K109" s="362"/>
      <c r="U109" s="350"/>
      <c r="V109" s="644" t="str">
        <f xml:space="preserve"> "Moles in " &amp; G68 &amp; " m³"</f>
        <v>Moles in 250.000001 m³</v>
      </c>
      <c r="W109" s="359"/>
      <c r="X109" s="359"/>
      <c r="Y109" s="359"/>
      <c r="Z109" s="359"/>
      <c r="AA109" s="359"/>
      <c r="AB109" s="645">
        <f xml:space="preserve"> G68 * 1000 / AB108</f>
        <v>11013.215903083701</v>
      </c>
    </row>
    <row r="110" spans="1:50" ht="15" customHeight="1">
      <c r="A110" s="350"/>
      <c r="U110" s="350"/>
      <c r="V110" s="638" t="str">
        <f xml:space="preserve"> "m(O₂) (" &amp; G68 &amp; " m³) [g]"</f>
        <v>m(O₂) (250.000001 m³) [g]</v>
      </c>
      <c r="W110" s="640"/>
      <c r="X110" s="640"/>
      <c r="Y110" s="640"/>
      <c r="Z110" s="640"/>
      <c r="AA110" s="640"/>
      <c r="AB110" s="646">
        <f xml:space="preserve"> AB109 * AB102</f>
        <v>352409.69303959474</v>
      </c>
    </row>
    <row r="111" spans="1:50" ht="15" customHeight="1">
      <c r="A111" s="350"/>
      <c r="U111" s="356"/>
      <c r="V111" s="356"/>
      <c r="W111" s="356"/>
      <c r="X111" s="356"/>
      <c r="Y111" s="356"/>
      <c r="Z111" s="356"/>
      <c r="AA111" s="356"/>
      <c r="AB111" s="356"/>
      <c r="AC111" s="356"/>
      <c r="AD111" s="356"/>
      <c r="AE111" s="356"/>
      <c r="AF111" s="356"/>
      <c r="AG111" s="356"/>
      <c r="AH111" s="356"/>
      <c r="AI111" s="356"/>
      <c r="AJ111" s="356"/>
      <c r="AK111" s="356"/>
      <c r="AL111" s="356"/>
      <c r="AM111" s="356"/>
      <c r="AN111" s="356"/>
      <c r="AO111" s="356"/>
      <c r="AP111" s="356"/>
      <c r="AQ111" s="356"/>
      <c r="AR111" s="356"/>
      <c r="AS111" s="356"/>
      <c r="AT111" s="356"/>
      <c r="AU111" s="356"/>
      <c r="AV111" s="356"/>
      <c r="AW111" s="356"/>
    </row>
    <row r="112" spans="1:50" ht="15" customHeight="1">
      <c r="A112" s="350"/>
      <c r="U112" s="353"/>
      <c r="V112" s="353"/>
      <c r="W112" s="353"/>
      <c r="X112" s="353"/>
      <c r="Y112" s="353"/>
      <c r="Z112" s="353"/>
      <c r="AA112" s="353"/>
      <c r="AB112" s="353"/>
      <c r="AC112" s="353"/>
      <c r="AD112" s="353"/>
      <c r="AE112" s="353"/>
      <c r="AF112" s="353"/>
      <c r="AG112" s="353"/>
      <c r="AH112" s="353"/>
      <c r="AI112" s="353"/>
      <c r="AJ112" s="353"/>
      <c r="AK112" s="353"/>
      <c r="AL112" s="353"/>
      <c r="AM112" s="353"/>
      <c r="AN112" s="353"/>
      <c r="AO112" s="353"/>
      <c r="AP112" s="353"/>
      <c r="AQ112" s="353"/>
      <c r="AR112" s="353"/>
      <c r="AS112" s="353"/>
      <c r="AT112" s="353"/>
      <c r="AU112" s="353"/>
      <c r="AV112" s="353"/>
      <c r="AX112" s="353"/>
    </row>
    <row r="113" spans="1:50" ht="15" customHeight="1">
      <c r="A113" s="350"/>
      <c r="AA113" s="405"/>
      <c r="AB113" s="405"/>
      <c r="AC113" s="405"/>
      <c r="AD113" s="353"/>
      <c r="AE113" s="353"/>
      <c r="AF113" s="353"/>
      <c r="AG113" s="31" t="s">
        <v>336</v>
      </c>
      <c r="AH113" s="362"/>
      <c r="AI113" s="362"/>
      <c r="AO113" s="778" t="s">
        <v>339</v>
      </c>
      <c r="AP113" s="778"/>
      <c r="AQ113" s="778"/>
      <c r="AR113" s="778"/>
      <c r="AS113" s="778"/>
      <c r="AT113" s="778"/>
      <c r="AU113" s="778"/>
      <c r="AV113" s="778"/>
      <c r="AX113" s="353"/>
    </row>
    <row r="114" spans="1:50" ht="15" customHeight="1">
      <c r="A114" s="350"/>
      <c r="AA114" s="405"/>
      <c r="AB114" s="405"/>
      <c r="AC114" s="353"/>
      <c r="AD114" s="353"/>
      <c r="AE114" s="353"/>
      <c r="AF114" s="353"/>
      <c r="AG114" s="350" t="s">
        <v>337</v>
      </c>
      <c r="AH114" s="362"/>
      <c r="AJ114" s="362" t="s">
        <v>414</v>
      </c>
      <c r="AO114" s="778"/>
      <c r="AP114" s="778"/>
      <c r="AQ114" s="778"/>
      <c r="AR114" s="778"/>
      <c r="AS114" s="778"/>
      <c r="AT114" s="778"/>
      <c r="AU114" s="778"/>
      <c r="AV114" s="778"/>
      <c r="AX114" s="353"/>
    </row>
    <row r="115" spans="1:50" ht="15" customHeight="1">
      <c r="A115" s="350"/>
      <c r="AA115" s="405"/>
      <c r="AB115" s="405"/>
      <c r="AC115" s="405"/>
      <c r="AD115" s="353"/>
      <c r="AE115" s="353"/>
      <c r="AF115" s="353"/>
      <c r="AG115" s="350" t="s">
        <v>490</v>
      </c>
      <c r="AH115" s="362"/>
      <c r="AO115" s="778"/>
      <c r="AP115" s="778"/>
      <c r="AQ115" s="778"/>
      <c r="AR115" s="778"/>
      <c r="AS115" s="778"/>
      <c r="AT115" s="778"/>
      <c r="AU115" s="778"/>
      <c r="AV115" s="778"/>
      <c r="AX115" s="353"/>
    </row>
    <row r="116" spans="1:50" ht="15" customHeight="1">
      <c r="A116" s="350"/>
      <c r="AA116" s="406"/>
      <c r="AB116" s="406"/>
      <c r="AC116" s="406"/>
      <c r="AG116" s="350" t="s">
        <v>338</v>
      </c>
      <c r="AJ116" s="362" t="s">
        <v>415</v>
      </c>
      <c r="AO116" s="778"/>
      <c r="AP116" s="778"/>
      <c r="AQ116" s="778"/>
      <c r="AR116" s="778"/>
      <c r="AS116" s="778"/>
      <c r="AT116" s="778"/>
      <c r="AU116" s="778"/>
      <c r="AV116" s="778"/>
      <c r="AX116" s="353"/>
    </row>
    <row r="117" spans="1:50" ht="15" customHeight="1">
      <c r="A117" s="350"/>
      <c r="AA117" s="407" t="s">
        <v>81</v>
      </c>
      <c r="AB117" s="408" t="s">
        <v>16</v>
      </c>
      <c r="AC117" s="409"/>
      <c r="AL117" s="362"/>
      <c r="AN117" s="362"/>
      <c r="AO117" s="778"/>
      <c r="AP117" s="778"/>
      <c r="AQ117" s="778"/>
      <c r="AR117" s="778"/>
      <c r="AS117" s="778"/>
      <c r="AT117" s="778"/>
      <c r="AU117" s="778"/>
      <c r="AV117" s="778"/>
      <c r="AX117" s="353"/>
    </row>
    <row r="118" spans="1:50" ht="15" customHeight="1">
      <c r="A118" s="355"/>
      <c r="B118" s="354"/>
      <c r="C118" s="264"/>
      <c r="D118" s="410"/>
      <c r="E118" s="410"/>
      <c r="F118" s="410"/>
      <c r="G118" s="410"/>
      <c r="H118" s="410"/>
      <c r="I118" s="410"/>
      <c r="J118" s="410"/>
      <c r="K118" s="410"/>
      <c r="L118" s="410"/>
      <c r="M118" s="410"/>
      <c r="N118" s="410"/>
      <c r="O118" s="410"/>
      <c r="P118" s="354"/>
      <c r="Q118" s="354"/>
      <c r="R118" s="354"/>
      <c r="S118" s="354"/>
      <c r="T118" s="354"/>
      <c r="AA118" s="411" t="s">
        <v>82</v>
      </c>
      <c r="AB118" s="412" t="str">
        <f xml:space="preserve"> AB117 &amp; " by SwissBiogas.com"</f>
        <v>SBGx by SwissBiogas.com</v>
      </c>
      <c r="AC118" s="413"/>
      <c r="AG118" s="350" t="s">
        <v>352</v>
      </c>
      <c r="AO118" s="778"/>
      <c r="AP118" s="778"/>
      <c r="AQ118" s="778"/>
      <c r="AR118" s="778"/>
      <c r="AS118" s="778"/>
      <c r="AT118" s="778"/>
      <c r="AU118" s="778"/>
      <c r="AV118" s="778"/>
      <c r="AX118" s="353"/>
    </row>
    <row r="119" spans="1:50" ht="15" customHeight="1">
      <c r="A119" s="354"/>
      <c r="B119" s="354"/>
      <c r="C119" s="354"/>
      <c r="D119" s="354"/>
      <c r="E119" s="354"/>
      <c r="F119" s="354"/>
      <c r="G119" s="354"/>
      <c r="H119" s="354"/>
      <c r="I119" s="354"/>
      <c r="J119" s="354"/>
      <c r="K119" s="354"/>
      <c r="L119" s="354"/>
      <c r="M119" s="354"/>
      <c r="N119" s="354"/>
      <c r="O119" s="354"/>
      <c r="P119" s="354"/>
      <c r="Q119" s="354"/>
      <c r="R119" s="354"/>
      <c r="S119" s="354"/>
      <c r="T119" s="354"/>
      <c r="AX119" s="353"/>
    </row>
    <row r="120" spans="1:50" ht="15" customHeight="1">
      <c r="A120" s="350"/>
      <c r="AA120" s="259"/>
      <c r="AB120" s="258"/>
      <c r="AC120" s="258"/>
      <c r="AG120" s="414" t="s">
        <v>348</v>
      </c>
      <c r="AH120" s="365"/>
      <c r="AI120" s="415">
        <v>1</v>
      </c>
      <c r="AM120" s="362"/>
      <c r="AN120" s="362"/>
      <c r="AO120" s="414" t="s">
        <v>366</v>
      </c>
      <c r="AP120" s="365"/>
      <c r="AQ120" s="416" t="s">
        <v>217</v>
      </c>
      <c r="AR120" s="417" t="s">
        <v>184</v>
      </c>
      <c r="AX120" s="353"/>
    </row>
    <row r="121" spans="1:50" ht="15" customHeight="1">
      <c r="A121" s="350"/>
      <c r="AA121" s="418" t="s">
        <v>45</v>
      </c>
      <c r="AB121" s="419" t="s">
        <v>58</v>
      </c>
      <c r="AC121" s="420">
        <f xml:space="preserve"> IF(NOT(ISERR(G25)), IF(AND(ISNUMBER(G25), G25 &gt; 0), G25, 0), 0)</f>
        <v>0</v>
      </c>
      <c r="AD121" s="419" t="s">
        <v>59</v>
      </c>
      <c r="AE121" s="420">
        <f xml:space="preserve"> IF(NOT(ISERR(G25)), IF(ISNUMBER(G25), basis!D22, 0), 0)</f>
        <v>0</v>
      </c>
      <c r="AG121" s="421" t="s">
        <v>349</v>
      </c>
      <c r="AH121" s="366"/>
      <c r="AI121" s="368">
        <v>1.5</v>
      </c>
      <c r="AJ121" s="422" t="s">
        <v>353</v>
      </c>
      <c r="AL121" s="362"/>
      <c r="AO121" s="421"/>
      <c r="AP121" s="423" t="s">
        <v>360</v>
      </c>
      <c r="AQ121" s="407">
        <f xml:space="preserve"> IFERROR(IF(AJ133 = 0, 0, AM133 / AJ133), 0)</f>
        <v>1.7233167302828303</v>
      </c>
      <c r="AR121" s="424" t="str">
        <f ca="1" xml:space="preserve"> IFERROR(IF(AQ121 &lt; 1, TEXT(1 / AQ121, fmt_dec_3) &amp; " : 1", "1 : " &amp; TEXT(AQ121, fmt_dec_3)), 0)</f>
        <v>1 : 1.723</v>
      </c>
    </row>
    <row r="122" spans="1:50" ht="15" customHeight="1">
      <c r="A122" s="350"/>
      <c r="U122" s="362"/>
      <c r="V122" s="362"/>
      <c r="W122" s="365" t="s">
        <v>62</v>
      </c>
      <c r="X122" s="365" t="s">
        <v>389</v>
      </c>
      <c r="Y122" s="425" t="s">
        <v>393</v>
      </c>
      <c r="Z122" s="425" t="s">
        <v>394</v>
      </c>
      <c r="AA122" s="426" t="s">
        <v>55</v>
      </c>
      <c r="AB122" s="427" t="s">
        <v>50</v>
      </c>
      <c r="AC122" s="428" t="s">
        <v>51</v>
      </c>
      <c r="AD122" s="427" t="s">
        <v>52</v>
      </c>
      <c r="AE122" s="428" t="s">
        <v>53</v>
      </c>
      <c r="AG122" s="421" t="s">
        <v>341</v>
      </c>
      <c r="AH122" s="366"/>
      <c r="AI122" s="429">
        <f xml:space="preserve"> I234 / I230</f>
        <v>0.61026054257319362</v>
      </c>
      <c r="AJ122" s="422" t="s">
        <v>472</v>
      </c>
      <c r="AM122" s="362"/>
      <c r="AN122" s="362"/>
      <c r="AO122" s="421" t="s">
        <v>364</v>
      </c>
      <c r="AP122" s="421"/>
      <c r="AX122" s="26"/>
    </row>
    <row r="123" spans="1:50" ht="15" customHeight="1">
      <c r="A123" s="350"/>
      <c r="V123" s="365" t="str">
        <f xml:space="preserve"> basis!B8</f>
        <v>FeO</v>
      </c>
      <c r="W123" s="430" t="s">
        <v>169</v>
      </c>
      <c r="X123" s="430" t="s">
        <v>390</v>
      </c>
      <c r="Y123" s="368">
        <f t="shared" ref="Y123:Y131" si="1" xml:space="preserve"> IF($F$23 = V123, $G$23, IF($F$24 = V123, $G$24, 0))</f>
        <v>0</v>
      </c>
      <c r="Z123" s="368">
        <f xml:space="preserve"> SUM(AB123:AC123)</f>
        <v>0</v>
      </c>
      <c r="AA123" s="431" t="s">
        <v>56</v>
      </c>
      <c r="AB123" s="432">
        <f xml:space="preserve"> IF(ISERR(Y123), 0, IF(AND(ISNUMBER(Y123), Y123 &gt; 0), Y123 * basis!G8 / 100, 0))</f>
        <v>0</v>
      </c>
      <c r="AC123" s="433">
        <v>0</v>
      </c>
      <c r="AD123" s="432">
        <f xml:space="preserve"> IF(basis!B22 &gt; 0, basis!B22 * basis!G8 / 100, 0) * IFERROR((1 - K28 / 100), 1)</f>
        <v>32.506888497920507</v>
      </c>
      <c r="AE123" s="433">
        <v>0</v>
      </c>
      <c r="AF123" s="362"/>
      <c r="AG123" s="421" t="s">
        <v>355</v>
      </c>
      <c r="AH123" s="366"/>
      <c r="AI123" s="368">
        <f xml:space="preserve"> IFERROR(IF(OR(K26 &lt; 0, K26 &gt; 100), 0.5, IF(NOT(ISNUMBER(K26)), 0.5, K26 / 100)), 0.5)</f>
        <v>0.5</v>
      </c>
      <c r="AJ123" s="350" t="s">
        <v>354</v>
      </c>
      <c r="AK123" s="362"/>
      <c r="AL123" s="362"/>
      <c r="AM123" s="362"/>
      <c r="AN123" s="362"/>
      <c r="AO123" s="421"/>
      <c r="AP123" s="423" t="s">
        <v>363</v>
      </c>
      <c r="AQ123" s="407">
        <f xml:space="preserve"> IFERROR(1 / AQ121, 0)</f>
        <v>0.58027638357336686</v>
      </c>
      <c r="AR123" s="424" t="str">
        <f ca="1" xml:space="preserve"> IFERROR(IF(AQ123 &lt; 1, TEXT(1 / AQ123, fmt_dec_3) &amp; " : 1", "1 : " &amp; TEXT(AQ123, fmt_dec_3)), "")</f>
        <v>1.723 : 1</v>
      </c>
    </row>
    <row r="124" spans="1:50" ht="15" customHeight="1">
      <c r="A124" s="350"/>
      <c r="V124" s="366" t="str">
        <f xml:space="preserve"> basis!B9</f>
        <v>Fe₂O₃</v>
      </c>
      <c r="W124" s="430" t="s">
        <v>170</v>
      </c>
      <c r="X124" s="430" t="s">
        <v>391</v>
      </c>
      <c r="Y124" s="368">
        <f t="shared" si="1"/>
        <v>0</v>
      </c>
      <c r="Z124" s="368">
        <f t="shared" ref="Z124:Z131" si="2" xml:space="preserve"> SUM(AB124:AC124)</f>
        <v>0</v>
      </c>
      <c r="AA124" s="431" t="s">
        <v>57</v>
      </c>
      <c r="AB124" s="432">
        <v>0</v>
      </c>
      <c r="AC124" s="433">
        <f xml:space="preserve"> IF(ISERR(Y124), 0, IF(AND(ISNUMBER(Y124), Y124 &gt; 0), Y124 * basis!G9 / 100, 0))</f>
        <v>0</v>
      </c>
      <c r="AD124" s="432">
        <v>0</v>
      </c>
      <c r="AE124" s="433">
        <f xml:space="preserve"> IF(basis!C22 &gt; 0, basis!C22 * basis!G9 / 100, 0) * IFERROR((1 - K28 / 100), 1)</f>
        <v>30.865647555674123</v>
      </c>
      <c r="AG124" s="421" t="s">
        <v>343</v>
      </c>
      <c r="AH124" s="366"/>
      <c r="AI124" s="424">
        <f xml:space="preserve"> IFERROR(IF(OR(NOT(ISNUMBER(K27)), ISBLANK(K27), K27 &lt;= 0), AK124, K27), AK124)</f>
        <v>1</v>
      </c>
      <c r="AJ124" s="434" t="s">
        <v>470</v>
      </c>
      <c r="AK124" s="435">
        <v>1</v>
      </c>
      <c r="AL124" s="362"/>
      <c r="AM124" s="362"/>
      <c r="AN124" s="362"/>
      <c r="AO124" s="421" t="s">
        <v>365</v>
      </c>
      <c r="AP124" s="436"/>
    </row>
    <row r="125" spans="1:50" ht="15" customHeight="1">
      <c r="A125" s="350"/>
      <c r="V125" s="366" t="str">
        <f xml:space="preserve"> basis!B10</f>
        <v>Fe₃O₄</v>
      </c>
      <c r="W125" s="430" t="s">
        <v>384</v>
      </c>
      <c r="X125" s="430" t="s">
        <v>392</v>
      </c>
      <c r="Y125" s="368">
        <f t="shared" si="1"/>
        <v>0</v>
      </c>
      <c r="Z125" s="368">
        <f t="shared" si="2"/>
        <v>0</v>
      </c>
      <c r="AA125" s="431" t="s">
        <v>54</v>
      </c>
      <c r="AB125" s="432">
        <f xml:space="preserve"> IF(ISERR(Y125), 0, IF(AND(ISNUMBER(Y125), Y125 &gt; 0), Y125 / 3 * basis!G10 / 100, 0))</f>
        <v>0</v>
      </c>
      <c r="AC125" s="433">
        <f xml:space="preserve"> IF(ISERR(Y125), 0, IF(AND(ISNUMBER(Y125), Y125 &gt; 0), Y125 * 2 / 3 * basis!G10 / 100, 0))</f>
        <v>0</v>
      </c>
      <c r="AD125" s="432">
        <v>0</v>
      </c>
      <c r="AE125" s="433">
        <v>0</v>
      </c>
      <c r="AG125" s="421" t="s">
        <v>342</v>
      </c>
      <c r="AH125" s="366"/>
      <c r="AI125" s="437">
        <f xml:space="preserve"> I231 / I234</f>
        <v>0.94087441314553988</v>
      </c>
      <c r="AJ125" s="438" t="s">
        <v>473</v>
      </c>
      <c r="AK125" s="362"/>
      <c r="AL125" s="362"/>
      <c r="AM125" s="362"/>
      <c r="AN125" s="362"/>
      <c r="AO125" s="436"/>
      <c r="AP125" s="423" t="s">
        <v>367</v>
      </c>
      <c r="AQ125" s="407">
        <f xml:space="preserve"> IFERROR(AJ161 / AJ160 * AQ123, 0)</f>
        <v>0.85367583300043492</v>
      </c>
      <c r="AR125" s="424" t="str">
        <f ca="1" xml:space="preserve"> IFERROR(IF(AQ125 &lt; 1, TEXT(1 / AQ125, fmt_dec_3) &amp; " : 1", "1 : " &amp; TEXT(AQ125, fmt_dec_3)), "")</f>
        <v>1.171 : 1</v>
      </c>
      <c r="AS125" s="362"/>
      <c r="AT125" s="362"/>
      <c r="AU125" s="362"/>
      <c r="AV125" s="362"/>
    </row>
    <row r="126" spans="1:50" ht="15" customHeight="1">
      <c r="A126" s="350"/>
      <c r="V126" s="366" t="str">
        <f xml:space="preserve"> basis!B11</f>
        <v>FeCl₂</v>
      </c>
      <c r="W126" s="430" t="s">
        <v>385</v>
      </c>
      <c r="X126" s="430" t="s">
        <v>390</v>
      </c>
      <c r="Y126" s="368">
        <f t="shared" si="1"/>
        <v>0</v>
      </c>
      <c r="Z126" s="368">
        <f t="shared" si="2"/>
        <v>0</v>
      </c>
      <c r="AA126" s="431" t="s">
        <v>56</v>
      </c>
      <c r="AB126" s="432">
        <f xml:space="preserve"> IF(ISERR(Y126), 0, IF(AND(ISNUMBER(Y126), Y126 &gt; 0), Y126 * basis!G11 / 100, 0))</f>
        <v>0</v>
      </c>
      <c r="AC126" s="433">
        <v>0</v>
      </c>
      <c r="AD126" s="432">
        <v>0</v>
      </c>
      <c r="AE126" s="433">
        <v>0</v>
      </c>
      <c r="AG126" s="362"/>
      <c r="AH126" s="362"/>
      <c r="AI126" s="362"/>
      <c r="AJ126" s="362"/>
      <c r="AK126" s="362"/>
      <c r="AL126" s="362"/>
      <c r="AM126" s="362"/>
      <c r="AN126" s="439"/>
      <c r="AO126" s="362"/>
      <c r="AP126" s="362"/>
      <c r="AQ126" s="362"/>
      <c r="AR126" s="362"/>
      <c r="AS126" s="362"/>
      <c r="AT126" s="362"/>
      <c r="AU126" s="362"/>
      <c r="AV126" s="362"/>
    </row>
    <row r="127" spans="1:50" ht="15" customHeight="1">
      <c r="A127" s="350"/>
      <c r="V127" s="366" t="str">
        <f xml:space="preserve"> basis!B12</f>
        <v>FeCl₃</v>
      </c>
      <c r="W127" s="430" t="s">
        <v>171</v>
      </c>
      <c r="X127" s="430" t="s">
        <v>391</v>
      </c>
      <c r="Y127" s="368">
        <f t="shared" si="1"/>
        <v>0</v>
      </c>
      <c r="Z127" s="368">
        <f t="shared" si="2"/>
        <v>0</v>
      </c>
      <c r="AA127" s="431" t="s">
        <v>57</v>
      </c>
      <c r="AB127" s="432">
        <v>0</v>
      </c>
      <c r="AC127" s="433">
        <f xml:space="preserve"> IF(ISERR(Y127), 0, IF(AND(ISNUMBER(Y127), Y127 &gt; 0), Y127 * basis!G12 / 100, 0))</f>
        <v>0</v>
      </c>
      <c r="AD127" s="432">
        <v>0</v>
      </c>
      <c r="AE127" s="433">
        <v>0</v>
      </c>
      <c r="AG127" s="362"/>
      <c r="AH127" s="779" t="str">
        <f xml:space="preserve"> G21</f>
        <v>Your_Additive</v>
      </c>
      <c r="AI127" s="779"/>
      <c r="AJ127" s="260" t="s">
        <v>344</v>
      </c>
      <c r="AK127" s="779" t="str">
        <f xml:space="preserve"> AB117</f>
        <v>SBGx</v>
      </c>
      <c r="AL127" s="779"/>
      <c r="AM127" s="260" t="s">
        <v>344</v>
      </c>
      <c r="AO127" s="362"/>
      <c r="AP127" s="362"/>
      <c r="AQ127" s="362"/>
      <c r="AR127" s="362"/>
      <c r="AS127" s="362"/>
      <c r="AT127" s="362"/>
      <c r="AU127" s="362"/>
      <c r="AV127" s="362"/>
    </row>
    <row r="128" spans="1:50" ht="15" customHeight="1">
      <c r="A128" s="350"/>
      <c r="V128" s="366" t="str">
        <f xml:space="preserve"> basis!B13</f>
        <v>FeO(OH)</v>
      </c>
      <c r="W128" s="430" t="s">
        <v>172</v>
      </c>
      <c r="X128" s="430" t="s">
        <v>391</v>
      </c>
      <c r="Y128" s="368">
        <f t="shared" si="1"/>
        <v>52.505960999999999</v>
      </c>
      <c r="Z128" s="368">
        <f t="shared" si="2"/>
        <v>33.000990099293496</v>
      </c>
      <c r="AA128" s="431" t="s">
        <v>57</v>
      </c>
      <c r="AB128" s="432">
        <v>0</v>
      </c>
      <c r="AC128" s="433">
        <f xml:space="preserve"> IF(ISERR(Y128), 0, IF(AND(ISNUMBER(Y128), Y128 &gt; 0), Y128 * basis!G13 / 100, 0))</f>
        <v>33.000990099293496</v>
      </c>
      <c r="AD128" s="432">
        <v>0</v>
      </c>
      <c r="AE128" s="433">
        <v>0</v>
      </c>
      <c r="AG128" s="365" t="s">
        <v>351</v>
      </c>
      <c r="AH128" s="368">
        <f xml:space="preserve"> AB132 / 100</f>
        <v>0</v>
      </c>
      <c r="AI128" s="368">
        <f xml:space="preserve"> AC132 / 100</f>
        <v>0.33000990099293498</v>
      </c>
      <c r="AJ128" s="440">
        <f t="shared" ref="AJ128:AJ134" si="3">SUM(AH128:AI128)</f>
        <v>0.33000990099293498</v>
      </c>
      <c r="AK128" s="368">
        <f xml:space="preserve"> AD132 / 100</f>
        <v>0.32506888497920505</v>
      </c>
      <c r="AL128" s="368">
        <f xml:space="preserve"> AE132 / 100</f>
        <v>0.30865647555674125</v>
      </c>
      <c r="AM128" s="440">
        <f t="shared" ref="AM128:AM134" si="4">SUM(AK128:AL128)</f>
        <v>0.6337253605359463</v>
      </c>
      <c r="AO128" s="362"/>
      <c r="AP128" s="362"/>
      <c r="AQ128" s="362"/>
      <c r="AR128" s="362"/>
      <c r="AS128" s="362"/>
      <c r="AT128" s="362"/>
      <c r="AU128" s="362"/>
      <c r="AV128" s="362"/>
    </row>
    <row r="129" spans="1:50" ht="15" customHeight="1">
      <c r="A129" s="350"/>
      <c r="V129" s="366" t="str">
        <f xml:space="preserve"> basis!B14</f>
        <v>Fe(OH)₂</v>
      </c>
      <c r="W129" s="430" t="s">
        <v>386</v>
      </c>
      <c r="X129" s="430" t="s">
        <v>390</v>
      </c>
      <c r="Y129" s="368">
        <f t="shared" si="1"/>
        <v>0</v>
      </c>
      <c r="Z129" s="368">
        <f t="shared" si="2"/>
        <v>0</v>
      </c>
      <c r="AA129" s="431" t="s">
        <v>56</v>
      </c>
      <c r="AB129" s="432">
        <f xml:space="preserve"> IF(ISERR(Y129), 0, IF(AND(ISNUMBER(Y129), Y129 &gt; 0), Y129 * basis!G14 / 100, 0))</f>
        <v>0</v>
      </c>
      <c r="AC129" s="433">
        <v>0</v>
      </c>
      <c r="AD129" s="432">
        <v>0</v>
      </c>
      <c r="AE129" s="433">
        <v>0</v>
      </c>
      <c r="AG129" s="441" t="s">
        <v>340</v>
      </c>
      <c r="AH129" s="368">
        <f xml:space="preserve"> AH128 * (100 - $AC$121) / 100</f>
        <v>0</v>
      </c>
      <c r="AI129" s="368">
        <f xml:space="preserve"> AI128 * (100 - $AC$121) / 100</f>
        <v>0.33000990099293498</v>
      </c>
      <c r="AJ129" s="440">
        <f t="shared" si="3"/>
        <v>0.33000990099293498</v>
      </c>
      <c r="AK129" s="368">
        <f xml:space="preserve"> AK128 * (100 - $AE$121) / 100</f>
        <v>0.32506888497920505</v>
      </c>
      <c r="AL129" s="368">
        <f xml:space="preserve"> AL128 * (100 - $AE$121) / 100</f>
        <v>0.30865647555674125</v>
      </c>
      <c r="AM129" s="440">
        <f t="shared" si="4"/>
        <v>0.6337253605359463</v>
      </c>
      <c r="AO129" s="439"/>
      <c r="AP129" s="439"/>
      <c r="AQ129" s="439"/>
      <c r="AR129" s="439"/>
      <c r="AS129" s="439"/>
      <c r="AT129" s="439"/>
      <c r="AU129" s="439"/>
      <c r="AV129" s="439"/>
    </row>
    <row r="130" spans="1:50" ht="15" customHeight="1">
      <c r="A130" s="350"/>
      <c r="V130" s="366" t="str">
        <f xml:space="preserve"> basis!B15</f>
        <v>Fe(OH)₃</v>
      </c>
      <c r="W130" s="430" t="s">
        <v>387</v>
      </c>
      <c r="X130" s="430" t="s">
        <v>391</v>
      </c>
      <c r="Y130" s="368">
        <f t="shared" si="1"/>
        <v>0</v>
      </c>
      <c r="Z130" s="368">
        <f t="shared" si="2"/>
        <v>0</v>
      </c>
      <c r="AA130" s="431" t="s">
        <v>57</v>
      </c>
      <c r="AB130" s="432">
        <v>0</v>
      </c>
      <c r="AC130" s="433">
        <f xml:space="preserve"> IF(ISERR(Y130), 0, IF(AND(ISNUMBER(Y130), Y130 &gt; 0), Y130 * basis!G15 / 100, 0))</f>
        <v>0</v>
      </c>
      <c r="AD130" s="432">
        <v>0</v>
      </c>
      <c r="AE130" s="433">
        <v>0</v>
      </c>
      <c r="AG130" s="366" t="s">
        <v>350</v>
      </c>
      <c r="AH130" s="368">
        <f xml:space="preserve"> AH129 * $AI$120</f>
        <v>0</v>
      </c>
      <c r="AI130" s="368">
        <f xml:space="preserve"> AI129 * $AI$121</f>
        <v>0.4950148514894025</v>
      </c>
      <c r="AJ130" s="440">
        <f t="shared" si="3"/>
        <v>0.4950148514894025</v>
      </c>
      <c r="AK130" s="368">
        <f xml:space="preserve"> AK129 * $AI$120</f>
        <v>0.32506888497920505</v>
      </c>
      <c r="AL130" s="368">
        <f xml:space="preserve"> AL129 * $AI$121</f>
        <v>0.46298471333511187</v>
      </c>
      <c r="AM130" s="440">
        <f t="shared" si="4"/>
        <v>0.78805359831431687</v>
      </c>
      <c r="AN130" s="362" t="s">
        <v>347</v>
      </c>
      <c r="AO130" s="362"/>
      <c r="AP130" s="362"/>
      <c r="AQ130" s="362"/>
      <c r="AR130" s="362"/>
      <c r="AS130" s="362"/>
      <c r="AT130" s="362"/>
      <c r="AU130" s="362"/>
      <c r="AV130" s="362"/>
    </row>
    <row r="131" spans="1:50" ht="15" customHeight="1">
      <c r="A131" s="350"/>
      <c r="V131" s="366" t="str">
        <f xml:space="preserve"> basis!B16</f>
        <v>Fe₂O₃·3H₂O</v>
      </c>
      <c r="W131" s="430" t="s">
        <v>388</v>
      </c>
      <c r="X131" s="430" t="s">
        <v>391</v>
      </c>
      <c r="Y131" s="368">
        <f t="shared" si="1"/>
        <v>0</v>
      </c>
      <c r="Z131" s="368">
        <f t="shared" si="2"/>
        <v>0</v>
      </c>
      <c r="AA131" s="431" t="s">
        <v>57</v>
      </c>
      <c r="AB131" s="432">
        <v>0</v>
      </c>
      <c r="AC131" s="433">
        <f xml:space="preserve"> IF(ISERR(Y131), 0, IF(AND(ISNUMBER(Y131), Y131 &gt; 0), Y131 * basis!G16 / 100, 0))</f>
        <v>0</v>
      </c>
      <c r="AD131" s="432">
        <v>0</v>
      </c>
      <c r="AE131" s="433">
        <v>0</v>
      </c>
      <c r="AG131" s="365" t="s">
        <v>345</v>
      </c>
      <c r="AH131" s="424">
        <f xml:space="preserve"> AH130</f>
        <v>0</v>
      </c>
      <c r="AI131" s="424">
        <f xml:space="preserve"> AI130 - AI130 / 3 * $AI$123</f>
        <v>0.41251237624116877</v>
      </c>
      <c r="AJ131" s="424">
        <f t="shared" si="3"/>
        <v>0.41251237624116877</v>
      </c>
      <c r="AK131" s="424">
        <f xml:space="preserve"> AK130</f>
        <v>0.32506888497920505</v>
      </c>
      <c r="AL131" s="442">
        <f xml:space="preserve"> AL130 - AL130 / 3 * $AI$123</f>
        <v>0.38582059444592653</v>
      </c>
      <c r="AM131" s="442">
        <f t="shared" si="4"/>
        <v>0.71088947942513159</v>
      </c>
      <c r="AN131" s="438" t="s">
        <v>356</v>
      </c>
      <c r="AO131" s="362"/>
      <c r="AP131" s="362"/>
      <c r="AQ131" s="362"/>
      <c r="AR131" s="362"/>
      <c r="AS131" s="362"/>
      <c r="AT131" s="362"/>
      <c r="AU131" s="362"/>
      <c r="AV131" s="362"/>
    </row>
    <row r="132" spans="1:50" ht="15" customHeight="1">
      <c r="A132" s="350"/>
      <c r="AA132" s="443" t="s">
        <v>60</v>
      </c>
      <c r="AB132" s="444">
        <f xml:space="preserve"> SUM(AB123:AB131)</f>
        <v>0</v>
      </c>
      <c r="AC132" s="443">
        <f xml:space="preserve"> SUM(AC123:AC131)</f>
        <v>33.000990099293496</v>
      </c>
      <c r="AD132" s="444">
        <f xml:space="preserve"> SUM(AD123:AD131)</f>
        <v>32.506888497920507</v>
      </c>
      <c r="AE132" s="443">
        <f xml:space="preserve"> SUM(AE123:AE131)</f>
        <v>30.865647555674123</v>
      </c>
      <c r="AF132" s="362"/>
      <c r="AG132" s="261" t="s">
        <v>346</v>
      </c>
      <c r="AH132" s="437">
        <f xml:space="preserve"> AH131</f>
        <v>0</v>
      </c>
      <c r="AI132" s="437">
        <f xml:space="preserve"> AI131</f>
        <v>0.41251237624116877</v>
      </c>
      <c r="AJ132" s="262">
        <f t="shared" si="3"/>
        <v>0.41251237624116877</v>
      </c>
      <c r="AK132" s="437">
        <f xml:space="preserve"> AK131 / $AI$124</f>
        <v>0.32506888497920505</v>
      </c>
      <c r="AL132" s="437">
        <f xml:space="preserve"> AL131 / $AI$124</f>
        <v>0.38582059444592653</v>
      </c>
      <c r="AM132" s="263">
        <f t="shared" si="4"/>
        <v>0.71088947942513159</v>
      </c>
      <c r="AN132" s="438" t="s">
        <v>357</v>
      </c>
      <c r="AO132" s="362"/>
      <c r="AP132" s="362"/>
      <c r="AQ132" s="362"/>
      <c r="AR132" s="362"/>
      <c r="AS132" s="362"/>
      <c r="AT132" s="362"/>
      <c r="AU132" s="362"/>
      <c r="AV132" s="439"/>
    </row>
    <row r="133" spans="1:50" ht="15" customHeight="1">
      <c r="A133" s="350"/>
      <c r="AA133" s="445" t="s">
        <v>309</v>
      </c>
      <c r="AB133" s="446"/>
      <c r="AC133" s="447">
        <f xml:space="preserve"> (AB132 + AC132) * (100 - AC121) / 100</f>
        <v>33.000990099293496</v>
      </c>
      <c r="AD133" s="446"/>
      <c r="AE133" s="448">
        <f xml:space="preserve"> (AD132 + AE132) * (100 - AE121) / 100</f>
        <v>63.372536053594629</v>
      </c>
      <c r="AF133" s="362"/>
      <c r="AG133" s="261" t="s">
        <v>554</v>
      </c>
      <c r="AH133" s="437">
        <f xml:space="preserve"> AH132 * $AI$122</f>
        <v>0</v>
      </c>
      <c r="AI133" s="437">
        <f xml:space="preserve"> AI132 * $AI$122</f>
        <v>0.25174002654309302</v>
      </c>
      <c r="AJ133" s="262">
        <f t="shared" si="3"/>
        <v>0.25174002654309302</v>
      </c>
      <c r="AK133" s="437">
        <f xml:space="preserve"> AK132 * $AI$122</f>
        <v>0.19837671412107274</v>
      </c>
      <c r="AL133" s="437">
        <f xml:space="preserve"> AL132 * $AI$122</f>
        <v>0.23545108530248321</v>
      </c>
      <c r="AM133" s="263">
        <f t="shared" si="4"/>
        <v>0.43382779942355598</v>
      </c>
      <c r="AN133" s="438" t="s">
        <v>358</v>
      </c>
      <c r="AO133" s="362"/>
      <c r="AP133" s="362"/>
      <c r="AQ133" s="362"/>
      <c r="AR133" s="362"/>
      <c r="AS133" s="362"/>
      <c r="AT133" s="362"/>
      <c r="AU133" s="362"/>
      <c r="AV133" s="362"/>
    </row>
    <row r="134" spans="1:50" ht="15" customHeight="1">
      <c r="A134" s="350"/>
      <c r="AA134" s="443" t="s">
        <v>107</v>
      </c>
      <c r="AB134" s="444">
        <f xml:space="preserve"> AB132 / (AB132 + AC132) * 100</f>
        <v>0</v>
      </c>
      <c r="AC134" s="444">
        <f xml:space="preserve"> AC132 / (AB132 + AC132) * 100</f>
        <v>100</v>
      </c>
      <c r="AD134" s="444">
        <f xml:space="preserve"> AD132 / (AD132 + AE132) * 100</f>
        <v>51.29491499350631</v>
      </c>
      <c r="AE134" s="444">
        <f xml:space="preserve"> AE132 / (AD132 + AE132) * 100</f>
        <v>48.70508500649369</v>
      </c>
      <c r="AF134" s="8"/>
      <c r="AG134" s="261" t="s">
        <v>555</v>
      </c>
      <c r="AH134" s="437">
        <f xml:space="preserve"> AH133 * $AI$125</f>
        <v>0</v>
      </c>
      <c r="AI134" s="437">
        <f xml:space="preserve"> AI133 * $AI$125</f>
        <v>0.23685574973897527</v>
      </c>
      <c r="AJ134" s="262">
        <f t="shared" si="3"/>
        <v>0.23685574973897527</v>
      </c>
      <c r="AK134" s="437">
        <f xml:space="preserve"> AK133 * $AI$125</f>
        <v>0.18664757448040487</v>
      </c>
      <c r="AL134" s="437">
        <f xml:space="preserve"> AL133 * $AI$125</f>
        <v>0.22152990170845435</v>
      </c>
      <c r="AM134" s="263">
        <f t="shared" si="4"/>
        <v>0.40817747618885925</v>
      </c>
      <c r="AN134" s="438" t="s">
        <v>359</v>
      </c>
      <c r="AO134" s="362"/>
      <c r="AP134" s="362"/>
      <c r="AQ134" s="362"/>
      <c r="AR134" s="362"/>
      <c r="AS134" s="362"/>
      <c r="AT134" s="362"/>
      <c r="AU134" s="362"/>
      <c r="AV134" s="362"/>
    </row>
    <row r="135" spans="1:50" ht="15" customHeight="1">
      <c r="A135" s="350"/>
      <c r="AA135" s="449" t="s">
        <v>61</v>
      </c>
      <c r="AB135" s="450"/>
      <c r="AC135" s="449" t="str">
        <f xml:space="preserve">
IF(AB132 = 0,
    IF(AC132 = 0, "0 : 0", "0 : 100"),
    IF(AC132 = 0,
        "100 : 0",
        ROUND(AB134, 0) &amp; " : " &amp; 100 - ROUND(AB134, 0)
    )
)</f>
        <v>0 : 100</v>
      </c>
      <c r="AD135" s="450"/>
      <c r="AE135" s="449" t="str">
        <f xml:space="preserve">
IF(AD132 = 0,
    IF(AE132 = 0, "0 : 0", "0 : 100"),
    IF(AE132 = 0,
        "100 : 0",
        ROUND(AD134, 0) &amp; " : " &amp; 100 - ROUND(AD134, 0)
    )
)</f>
        <v>51 : 49</v>
      </c>
      <c r="AF135" s="362"/>
      <c r="AG135" s="362" t="s">
        <v>361</v>
      </c>
      <c r="AH135" s="362">
        <f xml:space="preserve"> AM133 / AJ133 - 1</f>
        <v>0.72331673028283028</v>
      </c>
      <c r="AI135" s="362"/>
      <c r="AJ135" s="362"/>
      <c r="AK135" s="362"/>
      <c r="AL135" s="383" t="s">
        <v>362</v>
      </c>
      <c r="AM135" s="362">
        <f xml:space="preserve"> AJ133 / AM133 - 1</f>
        <v>-0.41972361642663314</v>
      </c>
      <c r="AN135" s="362"/>
      <c r="AO135" s="362"/>
      <c r="AP135" s="362"/>
      <c r="AQ135" s="362"/>
      <c r="AR135" s="362"/>
      <c r="AS135" s="362"/>
      <c r="AT135" s="362"/>
      <c r="AU135" s="362"/>
      <c r="AV135" s="362"/>
    </row>
    <row r="136" spans="1:50" ht="15" customHeight="1">
      <c r="A136" s="350"/>
      <c r="AA136" s="451"/>
      <c r="AB136" s="451"/>
      <c r="AC136" s="451"/>
      <c r="AD136" s="451"/>
      <c r="AE136" s="451"/>
      <c r="AF136" s="362"/>
      <c r="AG136" s="354"/>
      <c r="AH136" s="354"/>
      <c r="AI136" s="354"/>
      <c r="AJ136" s="354"/>
      <c r="AK136" s="354"/>
      <c r="AL136" s="354"/>
      <c r="AM136" s="354"/>
      <c r="AN136" s="354"/>
      <c r="AO136" s="354"/>
      <c r="AP136" s="354"/>
      <c r="AQ136" s="354"/>
      <c r="AR136" s="354"/>
      <c r="AS136" s="354"/>
      <c r="AT136" s="354"/>
      <c r="AU136" s="354"/>
      <c r="AV136" s="354"/>
      <c r="AW136" s="354"/>
      <c r="AX136" s="354"/>
    </row>
    <row r="137" spans="1:50" ht="15" customHeight="1">
      <c r="A137" s="350"/>
      <c r="U137" s="356"/>
      <c r="V137" s="356"/>
      <c r="W137" s="356"/>
      <c r="X137" s="356"/>
      <c r="Y137" s="356"/>
      <c r="Z137" s="356"/>
      <c r="AA137" s="357"/>
      <c r="AB137" s="357"/>
      <c r="AC137" s="357"/>
      <c r="AD137" s="357"/>
      <c r="AE137" s="357"/>
      <c r="AF137" s="357"/>
      <c r="AG137" s="356"/>
      <c r="AH137" s="356"/>
      <c r="AI137" s="356"/>
      <c r="AJ137" s="356"/>
      <c r="AK137" s="356"/>
      <c r="AL137" s="356"/>
      <c r="AM137" s="356"/>
      <c r="AN137" s="356"/>
      <c r="AO137" s="356"/>
      <c r="AP137" s="356"/>
      <c r="AQ137" s="356"/>
      <c r="AR137" s="356"/>
      <c r="AS137" s="356"/>
      <c r="AT137" s="356"/>
      <c r="AU137" s="356"/>
      <c r="AV137" s="356"/>
      <c r="AW137" s="284"/>
      <c r="AX137" s="354"/>
    </row>
    <row r="138" spans="1:50" ht="15" customHeight="1">
      <c r="A138" s="350"/>
      <c r="AA138" s="362"/>
      <c r="AB138" s="362"/>
      <c r="AC138" s="362"/>
      <c r="AD138" s="362"/>
      <c r="AE138" s="362"/>
      <c r="AF138" s="362"/>
    </row>
    <row r="139" spans="1:50" ht="15" customHeight="1">
      <c r="A139" s="350"/>
      <c r="AA139" s="406"/>
      <c r="AB139" s="406"/>
      <c r="AC139" s="406"/>
    </row>
    <row r="140" spans="1:50" ht="15" customHeight="1">
      <c r="A140" s="350"/>
      <c r="AA140" s="406"/>
      <c r="AB140" s="406"/>
      <c r="AC140" s="406"/>
      <c r="AD140" s="22" t="s">
        <v>73</v>
      </c>
      <c r="AE140" s="452"/>
      <c r="AG140" s="365" t="s">
        <v>381</v>
      </c>
      <c r="AH140" s="442" t="str">
        <f xml:space="preserve"> F43</f>
        <v>Kilogram [kg/day]</v>
      </c>
      <c r="AI140" s="453"/>
      <c r="AJ140" s="533" t="s">
        <v>513</v>
      </c>
      <c r="AK140" s="442" t="b">
        <f xml:space="preserve"> IF(AND(AH140 = 0, AH141 = 0), TRUE, IF(OR(AH140 = AG149, AH140 = AG151, AH140 = AG154, AH141 = AH149, AH141 = AH151, AH141 = AH154), TRUE, FALSE))</f>
        <v>1</v>
      </c>
      <c r="AO140" s="273" t="s">
        <v>380</v>
      </c>
      <c r="AP140" s="417" t="s">
        <v>80</v>
      </c>
      <c r="AQ140" s="425" t="s">
        <v>368</v>
      </c>
    </row>
    <row r="141" spans="1:50" ht="15" customHeight="1">
      <c r="A141" s="350"/>
      <c r="AA141" s="406"/>
      <c r="AB141" s="406"/>
      <c r="AC141" s="406"/>
      <c r="AD141" s="454" t="s">
        <v>74</v>
      </c>
      <c r="AE141" s="455" t="s">
        <v>75</v>
      </c>
      <c r="AG141" s="366" t="s">
        <v>382</v>
      </c>
      <c r="AH141" s="368" t="str">
        <f xml:space="preserve"> F39</f>
        <v>Metric ton (Tonne) [/t]</v>
      </c>
      <c r="AI141" s="453"/>
      <c r="AO141" s="366" t="s">
        <v>87</v>
      </c>
      <c r="AP141" s="437" t="s">
        <v>76</v>
      </c>
      <c r="AQ141" s="368">
        <v>1</v>
      </c>
    </row>
    <row r="142" spans="1:50" ht="15" customHeight="1">
      <c r="A142" s="350"/>
      <c r="AA142" s="406"/>
      <c r="AB142" s="406"/>
      <c r="AC142" s="406"/>
      <c r="AD142" s="23" t="s">
        <v>65</v>
      </c>
      <c r="AE142" s="24" t="s">
        <v>66</v>
      </c>
      <c r="AO142" s="366" t="s">
        <v>88</v>
      </c>
      <c r="AP142" s="437" t="s">
        <v>77</v>
      </c>
      <c r="AQ142" s="368">
        <v>7</v>
      </c>
    </row>
    <row r="143" spans="1:50" ht="15" customHeight="1">
      <c r="A143" s="350"/>
      <c r="AA143" s="406"/>
      <c r="AB143" s="406"/>
      <c r="AC143" s="406"/>
      <c r="AD143" s="454" t="s">
        <v>67</v>
      </c>
      <c r="AE143" s="455">
        <v>0.45359237000000002</v>
      </c>
      <c r="AH143" s="416" t="s">
        <v>370</v>
      </c>
      <c r="AI143" s="425" t="s">
        <v>371</v>
      </c>
      <c r="AJ143" s="425" t="s">
        <v>375</v>
      </c>
      <c r="AK143" s="425" t="s">
        <v>376</v>
      </c>
      <c r="AO143" s="366" t="s">
        <v>89</v>
      </c>
      <c r="AP143" s="437" t="s">
        <v>78</v>
      </c>
      <c r="AQ143" s="368">
        <v>30</v>
      </c>
    </row>
    <row r="144" spans="1:50" ht="15" customHeight="1">
      <c r="A144" s="350"/>
      <c r="AA144" s="406"/>
      <c r="AB144" s="406"/>
      <c r="AC144" s="406"/>
      <c r="AD144" s="454" t="s">
        <v>68</v>
      </c>
      <c r="AE144" s="455">
        <v>1016.0469000000001</v>
      </c>
      <c r="AG144" s="456" t="str">
        <f xml:space="preserve"> "Input values for " &amp; G21</f>
        <v>Input values for Your_Additive</v>
      </c>
      <c r="AH144" s="457">
        <f xml:space="preserve"> IFERROR(IF(G43 &gt; 0, G43, 0), 0)</f>
        <v>920.000001</v>
      </c>
      <c r="AI144" s="458">
        <f xml:space="preserve"> IFERROR(IF(G40 &gt; 0, G40, 0), 0)</f>
        <v>0</v>
      </c>
      <c r="AJ144" s="458">
        <f xml:space="preserve"> G39</f>
        <v>520.000001</v>
      </c>
      <c r="AK144" s="459"/>
      <c r="AO144" s="366" t="s">
        <v>90</v>
      </c>
      <c r="AP144" s="437" t="s">
        <v>79</v>
      </c>
      <c r="AQ144" s="368">
        <v>365</v>
      </c>
    </row>
    <row r="145" spans="1:50" ht="15" customHeight="1">
      <c r="A145" s="350"/>
      <c r="AD145" s="454" t="s">
        <v>69</v>
      </c>
      <c r="AE145" s="455">
        <v>907.18474000000003</v>
      </c>
      <c r="AG145" s="421" t="str">
        <f xml:space="preserve"> "Input value for " &amp; AB117</f>
        <v>Input value for SBGx</v>
      </c>
      <c r="AH145" s="460"/>
      <c r="AI145" s="460"/>
      <c r="AJ145" s="460"/>
      <c r="AK145" s="461">
        <f xml:space="preserve"> IF(ISERR(K41), 0, IF(AND(ISNUMBER(K41), K41 &gt; 0), K41, 0))</f>
        <v>765.000001</v>
      </c>
      <c r="AO145" s="270" t="s">
        <v>378</v>
      </c>
      <c r="AP145" s="269" t="str">
        <f xml:space="preserve"> IFERROR(VLOOKUP(M46, AO141:AQ144, 2, FALSE), AP144)</f>
        <v>yearly</v>
      </c>
      <c r="AQ145" s="270">
        <f xml:space="preserve"> IFERROR(VLOOKUP(M46, AO141:AQ144, 3, FALSE), 365)</f>
        <v>365</v>
      </c>
    </row>
    <row r="146" spans="1:50" ht="15" customHeight="1">
      <c r="A146" s="350"/>
      <c r="AD146" s="454" t="s">
        <v>116</v>
      </c>
      <c r="AE146" s="455" t="s">
        <v>116</v>
      </c>
      <c r="AG146" s="421" t="s">
        <v>373</v>
      </c>
      <c r="AH146" s="462"/>
      <c r="AI146" s="430" t="b">
        <f xml:space="preserve">
IF(F39 = AH154,
    IF(OR(F43 = AG155, F43 = AG156), TRUE, FALSE),
    IF(F39 = AH155,
        IF(OR(F43 = AG154, F43 = AG156), TRUE, FALSE),
        IF(F39 = AH156,
            IF(OR(F43 = AG154, F43 = AG155), TRUE, FALSE),
            FALSE
        )
    )
)</f>
        <v>0</v>
      </c>
    </row>
    <row r="147" spans="1:50" ht="15" customHeight="1">
      <c r="A147" s="350"/>
      <c r="AA147" s="8"/>
      <c r="AB147" s="362"/>
      <c r="AC147" s="362"/>
      <c r="AD147" s="23" t="s">
        <v>70</v>
      </c>
      <c r="AE147" s="24" t="s">
        <v>71</v>
      </c>
    </row>
    <row r="148" spans="1:50" ht="15" customHeight="1">
      <c r="A148" s="350"/>
      <c r="AA148" s="362"/>
      <c r="AB148" s="362"/>
      <c r="AC148" s="362"/>
      <c r="AD148" s="454" t="s">
        <v>72</v>
      </c>
      <c r="AE148" s="455">
        <v>4.5460900000000004</v>
      </c>
      <c r="AG148" s="270" t="s">
        <v>372</v>
      </c>
      <c r="AH148" s="269" t="s">
        <v>379</v>
      </c>
      <c r="AI148" s="282" t="s">
        <v>374</v>
      </c>
      <c r="AJ148" s="282" t="s">
        <v>377</v>
      </c>
      <c r="AK148" s="269" t="s">
        <v>395</v>
      </c>
      <c r="AL148" s="269" t="s">
        <v>396</v>
      </c>
      <c r="AM148" s="624" t="s">
        <v>549</v>
      </c>
    </row>
    <row r="149" spans="1:50" ht="15" customHeight="1">
      <c r="A149" s="350"/>
      <c r="AA149" s="362"/>
      <c r="AB149" s="362"/>
      <c r="AC149" s="362"/>
      <c r="AD149" s="463" t="s">
        <v>102</v>
      </c>
      <c r="AE149" s="464">
        <v>3.7854117839999999</v>
      </c>
      <c r="AF149" s="26"/>
      <c r="AG149" s="465" t="s">
        <v>83</v>
      </c>
      <c r="AH149" s="366" t="s">
        <v>91</v>
      </c>
      <c r="AI149" s="368">
        <f xml:space="preserve"> AH144</f>
        <v>920.000001</v>
      </c>
      <c r="AJ149" s="368">
        <f xml:space="preserve"> AJ144 * 1000</f>
        <v>520000.00099999999</v>
      </c>
      <c r="AK149" s="368"/>
      <c r="AL149" s="283"/>
      <c r="AM149" s="622">
        <f xml:space="preserve"> AM151 * 1000</f>
        <v>1000</v>
      </c>
      <c r="AN149" s="26"/>
      <c r="AO149" s="26"/>
      <c r="AP149" s="26"/>
      <c r="AQ149" s="26"/>
      <c r="AR149" s="26"/>
      <c r="AS149" s="26"/>
    </row>
    <row r="150" spans="1:50" ht="15" customHeight="1">
      <c r="A150" s="350"/>
      <c r="AA150" s="383"/>
      <c r="AB150" s="362"/>
      <c r="AC150" s="362"/>
      <c r="AD150" s="26"/>
      <c r="AE150" s="26"/>
      <c r="AF150" s="26"/>
      <c r="AG150" s="465" t="s">
        <v>86</v>
      </c>
      <c r="AH150" s="366" t="s">
        <v>94</v>
      </c>
      <c r="AI150" s="368">
        <f xml:space="preserve"> AH144 * AE143</f>
        <v>417.30498085359238</v>
      </c>
      <c r="AJ150" s="368">
        <f xml:space="preserve"> AJ144 / AE143 * 1000</f>
        <v>1146403.765565986</v>
      </c>
      <c r="AK150" s="368"/>
      <c r="AL150" s="283"/>
      <c r="AM150" s="622">
        <f xml:space="preserve"> AM151 / AE143 * 1000</f>
        <v>2204.6226218487755</v>
      </c>
      <c r="AN150" s="26"/>
      <c r="AO150" s="26"/>
      <c r="AP150" s="26"/>
      <c r="AQ150" s="26"/>
      <c r="AR150" s="26"/>
      <c r="AS150" s="26"/>
      <c r="AT150" s="26"/>
      <c r="AU150" s="26"/>
      <c r="AV150" s="26"/>
      <c r="AW150" s="26"/>
      <c r="AX150" s="26"/>
    </row>
    <row r="151" spans="1:50" ht="15" customHeight="1">
      <c r="A151" s="350"/>
      <c r="AA151" s="362"/>
      <c r="AB151" s="362"/>
      <c r="AC151" s="362"/>
      <c r="AG151" s="465" t="s">
        <v>84</v>
      </c>
      <c r="AH151" s="366" t="s">
        <v>92</v>
      </c>
      <c r="AI151" s="368">
        <f xml:space="preserve"> AH144 * 1000</f>
        <v>920000.00100000005</v>
      </c>
      <c r="AJ151" s="368">
        <f xml:space="preserve"> AJ144</f>
        <v>520.000001</v>
      </c>
      <c r="AK151" s="368"/>
      <c r="AL151" s="368"/>
      <c r="AM151" s="622">
        <v>1</v>
      </c>
      <c r="AT151" s="26"/>
      <c r="AU151" s="26"/>
      <c r="AV151" s="26"/>
      <c r="AW151" s="26"/>
      <c r="AX151" s="26"/>
    </row>
    <row r="152" spans="1:50" ht="15" customHeight="1">
      <c r="A152" s="350"/>
      <c r="AA152" s="362"/>
      <c r="AB152" s="362"/>
      <c r="AC152" s="362"/>
      <c r="AD152" s="26"/>
      <c r="AE152" s="26"/>
      <c r="AF152" s="26"/>
      <c r="AG152" s="465" t="s">
        <v>99</v>
      </c>
      <c r="AH152" s="366" t="s">
        <v>97</v>
      </c>
      <c r="AI152" s="368">
        <f xml:space="preserve"> AH144 * AE144</f>
        <v>934763.1490160469</v>
      </c>
      <c r="AJ152" s="368">
        <f xml:space="preserve"> AJ144 / AE144 * 1000</f>
        <v>511.78739977455768</v>
      </c>
      <c r="AK152" s="368"/>
      <c r="AL152" s="283"/>
      <c r="AM152" s="622">
        <f xml:space="preserve"> AM151 / AE144 * 1000</f>
        <v>0.98420653613529052</v>
      </c>
      <c r="AN152" s="26"/>
      <c r="AO152" s="26"/>
      <c r="AP152" s="26"/>
      <c r="AQ152" s="26"/>
      <c r="AR152" s="26"/>
      <c r="AS152" s="26"/>
    </row>
    <row r="153" spans="1:50" ht="15" customHeight="1">
      <c r="A153" s="350"/>
      <c r="AA153" s="362"/>
      <c r="AB153" s="362"/>
      <c r="AC153" s="362"/>
      <c r="AD153" s="26"/>
      <c r="AE153" s="26"/>
      <c r="AF153" s="26"/>
      <c r="AG153" s="465" t="s">
        <v>95</v>
      </c>
      <c r="AH153" s="366" t="s">
        <v>96</v>
      </c>
      <c r="AI153" s="368">
        <f xml:space="preserve"> AH144 * AE145</f>
        <v>834609.96170718479</v>
      </c>
      <c r="AJ153" s="368">
        <f xml:space="preserve"> AJ144 / AE145 * 1000</f>
        <v>573.20188278299304</v>
      </c>
      <c r="AK153" s="368"/>
      <c r="AL153" s="283"/>
      <c r="AM153" s="622">
        <f xml:space="preserve"> AM151 / AE145 * 1000</f>
        <v>1.1023113109243878</v>
      </c>
      <c r="AN153" s="26"/>
      <c r="AO153" s="26"/>
      <c r="AP153" s="26"/>
      <c r="AQ153" s="26"/>
      <c r="AR153" s="26"/>
      <c r="AS153" s="26"/>
      <c r="AT153" s="26"/>
      <c r="AU153" s="26"/>
      <c r="AV153" s="26"/>
      <c r="AW153" s="26"/>
      <c r="AX153" s="26"/>
    </row>
    <row r="154" spans="1:50" ht="15" customHeight="1">
      <c r="A154" s="350"/>
      <c r="AA154" s="362"/>
      <c r="AB154" s="362"/>
      <c r="AC154" s="362"/>
      <c r="AG154" s="465" t="s">
        <v>85</v>
      </c>
      <c r="AH154" s="366" t="s">
        <v>93</v>
      </c>
      <c r="AI154" s="368">
        <f xml:space="preserve"> AH144 * AI144</f>
        <v>0</v>
      </c>
      <c r="AJ154" s="368" t="e">
        <f xml:space="preserve"> IF(AI146, 0, (AJ144 / AI144) * 1000)</f>
        <v>#DIV/0!</v>
      </c>
      <c r="AK154" s="368" t="s">
        <v>117</v>
      </c>
      <c r="AL154" s="368" t="s">
        <v>117</v>
      </c>
      <c r="AM154" s="622" t="e">
        <f xml:space="preserve"> IF(AI146, 0, (AM151 / AI144) * 1000)</f>
        <v>#DIV/0!</v>
      </c>
      <c r="AT154" s="26"/>
      <c r="AU154" s="26"/>
      <c r="AV154" s="26"/>
      <c r="AW154" s="26"/>
      <c r="AX154" s="26"/>
    </row>
    <row r="155" spans="1:50" ht="15" customHeight="1">
      <c r="A155" s="350"/>
      <c r="AC155" s="362"/>
      <c r="AD155" s="589"/>
      <c r="AG155" s="465" t="s">
        <v>100</v>
      </c>
      <c r="AH155" s="366" t="s">
        <v>98</v>
      </c>
      <c r="AI155" s="368">
        <f xml:space="preserve"> (AH144 * AI144) * AE143</f>
        <v>0</v>
      </c>
      <c r="AJ155" s="368" t="e">
        <f xml:space="preserve"> IF(AI146, 0, (AJ144 / AI144) / AE143 * 1000)</f>
        <v>#DIV/0!</v>
      </c>
      <c r="AK155" s="368" t="s">
        <v>408</v>
      </c>
      <c r="AL155" s="368" t="s">
        <v>408</v>
      </c>
      <c r="AM155" s="622" t="e">
        <f xml:space="preserve"> IF(AI146, 0, (AM151 / AI144) / AE143 * 1000)</f>
        <v>#DIV/0!</v>
      </c>
    </row>
    <row r="156" spans="1:50" ht="15" customHeight="1">
      <c r="A156" s="350"/>
      <c r="AA156" s="362"/>
      <c r="AB156" s="362"/>
      <c r="AC156" s="362"/>
      <c r="AD156" s="353"/>
      <c r="AG156" s="465" t="s">
        <v>103</v>
      </c>
      <c r="AH156" s="366" t="s">
        <v>104</v>
      </c>
      <c r="AI156" s="368">
        <f xml:space="preserve"> ( AH144 * AI144) * AE143</f>
        <v>0</v>
      </c>
      <c r="AJ156" s="368" t="e">
        <f xml:space="preserve"> IF(AI146, 0, (AJ144 / AI144) / AE143 * 1000)</f>
        <v>#DIV/0!</v>
      </c>
      <c r="AK156" s="368" t="s">
        <v>409</v>
      </c>
      <c r="AL156" s="368" t="s">
        <v>409</v>
      </c>
      <c r="AM156" s="622" t="e">
        <f xml:space="preserve"> IF(AI146, 0, (AM151 / AI144) / AE143 * 1000)</f>
        <v>#DIV/0!</v>
      </c>
    </row>
    <row r="157" spans="1:50" ht="15" customHeight="1">
      <c r="A157" s="350"/>
      <c r="AG157" s="456" t="str">
        <f xml:space="preserve"> "Dosage " &amp; G21 &amp; " [kg/day]"</f>
        <v>Dosage Your_Additive [kg/day]</v>
      </c>
      <c r="AH157" s="267"/>
      <c r="AI157" s="276">
        <f xml:space="preserve"> IFERROR(VLOOKUP(F43, AG149:AI156,3, FALSE), 0)</f>
        <v>920.000001</v>
      </c>
      <c r="AJ157" s="281" t="s">
        <v>383</v>
      </c>
      <c r="AK157" s="261">
        <f xml:space="preserve"> IFERROR(VLOOKUP(AH140, AG149:AK156, 5, FALSE), 0)</f>
        <v>0</v>
      </c>
      <c r="AL157" s="291">
        <f xml:space="preserve"> IFERROR(VLOOKUP(AH141, AH149:AL156, 5, FALSE), 0)</f>
        <v>0</v>
      </c>
      <c r="AM157" s="623">
        <f xml:space="preserve"> IFERROR(VLOOKUP(AH141, AH149:AM156, 6, FALSE), 0)</f>
        <v>1</v>
      </c>
    </row>
    <row r="158" spans="1:50" ht="15" customHeight="1">
      <c r="A158" s="350"/>
      <c r="AG158" s="466" t="str">
        <f xml:space="preserve"> "Dosage " &amp; AB117 &amp; " [kg/day]"</f>
        <v>Dosage SBGx [kg/day]</v>
      </c>
      <c r="AH158" s="268"/>
      <c r="AI158" s="276">
        <f xml:space="preserve"> AI157 * AQ123</f>
        <v>533.85427346777385</v>
      </c>
      <c r="AK158" s="577" t="s">
        <v>540</v>
      </c>
      <c r="AL158" s="368" t="b">
        <f xml:space="preserve"> IF(AND($AK$157 = 0, $AL$157 = 0), FALSE, TRUE)</f>
        <v>0</v>
      </c>
      <c r="AM158" s="621"/>
      <c r="AN158" s="353"/>
    </row>
    <row r="159" spans="1:50" ht="15" customHeight="1">
      <c r="A159" s="350"/>
    </row>
    <row r="160" spans="1:50" ht="15" customHeight="1">
      <c r="A160" s="350"/>
      <c r="AG160" s="414" t="str">
        <f xml:space="preserve"> "Price of " &amp; G21 &amp; " [/mt]"</f>
        <v>Price of Your_Additive [/mt]</v>
      </c>
      <c r="AH160" s="356"/>
      <c r="AI160" s="592">
        <f xml:space="preserve"> IFERROR(VLOOKUP(AH141, AH149:AJ156, 3, FALSE), 0)</f>
        <v>520.000001</v>
      </c>
      <c r="AJ160" s="277">
        <f xml:space="preserve"> AI160</f>
        <v>520.000001</v>
      </c>
      <c r="AK160" s="588" t="s">
        <v>543</v>
      </c>
      <c r="AL160" s="442">
        <f xml:space="preserve"> IF(AQ121 = 0, 0, AI161 / AQ121) + 0.0000001</f>
        <v>443.91143411390203</v>
      </c>
      <c r="AM160" s="442">
        <f xml:space="preserve"> IFERROR(AL160 / AM157, 0)</f>
        <v>443.91143411390203</v>
      </c>
    </row>
    <row r="161" spans="1:39" ht="15" customHeight="1" thickBot="1">
      <c r="A161" s="350"/>
      <c r="AG161" s="380" t="str">
        <f xml:space="preserve"> "Price of " &amp; AB117 &amp; " [/mT]"</f>
        <v>Price of SBGx [/mT]</v>
      </c>
      <c r="AH161" s="467"/>
      <c r="AI161" s="593">
        <f xml:space="preserve"> IF(AK145 &gt; 0, AK145, 0)</f>
        <v>765.000001</v>
      </c>
      <c r="AJ161" s="278">
        <f xml:space="preserve"> AI161</f>
        <v>765.000001</v>
      </c>
      <c r="AK161" s="588" t="s">
        <v>542</v>
      </c>
      <c r="AL161" s="368">
        <f xml:space="preserve"> AI160 * AQ121 - 0.0000001</f>
        <v>896.12470137038849</v>
      </c>
      <c r="AM161" s="621"/>
    </row>
    <row r="162" spans="1:39" ht="15" customHeight="1" thickTop="1">
      <c r="A162" s="350"/>
      <c r="AG162" s="274" t="str">
        <f xml:space="preserve"> "Cost " &amp; G21 &amp; " [/day]"</f>
        <v>Cost Your_Additive [/day]</v>
      </c>
      <c r="AH162" s="275"/>
      <c r="AI162" s="590"/>
      <c r="AJ162" s="279">
        <f xml:space="preserve"> AI157 * AJ160 / 1000</f>
        <v>478.40000144000004</v>
      </c>
      <c r="AM162" s="621"/>
    </row>
    <row r="163" spans="1:39" ht="15" customHeight="1">
      <c r="A163" s="350"/>
      <c r="U163" s="350"/>
      <c r="V163" s="350"/>
      <c r="W163" s="350"/>
      <c r="X163" s="350"/>
      <c r="Y163" s="350"/>
      <c r="Z163" s="350"/>
      <c r="AG163" s="271" t="str">
        <f xml:space="preserve"> "Cost " &amp; AB117 &amp; " [/day]"</f>
        <v>Cost SBGx [/day]</v>
      </c>
      <c r="AH163" s="272"/>
      <c r="AI163" s="591"/>
      <c r="AJ163" s="280">
        <f xml:space="preserve"> AI158 * AJ161 / 1000</f>
        <v>408.39851973670125</v>
      </c>
      <c r="AM163" s="621"/>
    </row>
    <row r="164" spans="1:39" ht="15" customHeight="1">
      <c r="A164" s="350"/>
      <c r="U164" s="350"/>
      <c r="V164" s="350"/>
      <c r="W164" s="350"/>
      <c r="X164" s="350"/>
      <c r="Y164" s="350"/>
      <c r="Z164" s="350"/>
    </row>
    <row r="165" spans="1:39" ht="15" customHeight="1">
      <c r="A165" s="350"/>
      <c r="U165" s="350"/>
      <c r="V165" s="350"/>
      <c r="W165" s="350"/>
      <c r="X165" s="350"/>
      <c r="Y165" s="350"/>
      <c r="Z165" s="350"/>
    </row>
    <row r="166" spans="1:39" ht="15" customHeight="1">
      <c r="A166" s="350"/>
    </row>
    <row r="167" spans="1:39" ht="15" customHeight="1">
      <c r="A167" s="350"/>
    </row>
    <row r="168" spans="1:39" ht="15" customHeight="1">
      <c r="A168" s="350"/>
    </row>
    <row r="169" spans="1:39" ht="15" customHeight="1">
      <c r="A169" s="350"/>
    </row>
    <row r="170" spans="1:39" ht="15" customHeight="1">
      <c r="A170" s="350"/>
    </row>
    <row r="171" spans="1:39" ht="15" customHeight="1">
      <c r="A171" s="350"/>
    </row>
    <row r="172" spans="1:39" ht="15" customHeight="1">
      <c r="A172" s="350"/>
    </row>
    <row r="173" spans="1:39" ht="15" customHeight="1">
      <c r="A173" s="350"/>
    </row>
    <row r="174" spans="1:39" ht="15" customHeight="1">
      <c r="A174" s="350"/>
    </row>
    <row r="175" spans="1:39" ht="15" customHeight="1">
      <c r="A175" s="350"/>
    </row>
    <row r="176" spans="1:39" ht="15" customHeight="1">
      <c r="A176" s="350"/>
    </row>
    <row r="177" spans="1:55" ht="15" customHeight="1">
      <c r="A177" s="350"/>
    </row>
    <row r="178" spans="1:55" ht="15" customHeight="1">
      <c r="A178" s="350"/>
    </row>
    <row r="179" spans="1:55" ht="15" customHeight="1">
      <c r="A179" s="350"/>
    </row>
    <row r="180" spans="1:55" ht="15" customHeight="1">
      <c r="A180" s="350"/>
    </row>
    <row r="181" spans="1:55" ht="15" customHeight="1">
      <c r="A181" s="350"/>
    </row>
    <row r="182" spans="1:55" ht="15" customHeight="1">
      <c r="A182" s="350"/>
    </row>
    <row r="183" spans="1:55" ht="15" customHeight="1">
      <c r="A183" s="350"/>
    </row>
    <row r="184" spans="1:55" ht="15" customHeight="1">
      <c r="A184" s="350"/>
    </row>
    <row r="185" spans="1:55" ht="15" customHeight="1">
      <c r="A185" s="350"/>
      <c r="BC185" s="362"/>
    </row>
    <row r="186" spans="1:55" ht="15" customHeight="1">
      <c r="A186" s="350"/>
      <c r="BC186" s="362"/>
    </row>
    <row r="187" spans="1:55" ht="15" customHeight="1">
      <c r="A187" s="350"/>
      <c r="BC187" s="362"/>
    </row>
    <row r="188" spans="1:55" ht="15" customHeight="1">
      <c r="A188" s="350"/>
      <c r="BC188" s="362"/>
    </row>
    <row r="189" spans="1:55" ht="15" customHeight="1">
      <c r="A189" s="350"/>
      <c r="BC189" s="362"/>
    </row>
    <row r="190" spans="1:55" ht="15" customHeight="1">
      <c r="A190" s="350"/>
      <c r="BC190" s="362"/>
    </row>
    <row r="191" spans="1:55" ht="15" customHeight="1">
      <c r="A191" s="350"/>
      <c r="BC191" s="362"/>
    </row>
    <row r="192" spans="1:55" ht="15" customHeight="1">
      <c r="A192" s="350"/>
      <c r="BC192" s="362"/>
    </row>
    <row r="193" spans="1:55" ht="15" customHeight="1">
      <c r="A193" s="350"/>
      <c r="BC193" s="362"/>
    </row>
    <row r="194" spans="1:55" ht="15" customHeight="1">
      <c r="A194" s="350"/>
      <c r="BC194" s="362"/>
    </row>
    <row r="195" spans="1:55" ht="15" customHeight="1">
      <c r="A195" s="350"/>
      <c r="BC195" s="362"/>
    </row>
    <row r="196" spans="1:55" ht="15" customHeight="1">
      <c r="A196" s="350"/>
      <c r="BC196" s="362"/>
    </row>
    <row r="197" spans="1:55" ht="15" customHeight="1">
      <c r="A197" s="350"/>
      <c r="BC197" s="362"/>
    </row>
    <row r="198" spans="1:55" ht="15" customHeight="1">
      <c r="A198" s="350"/>
      <c r="BC198" s="362"/>
    </row>
    <row r="199" spans="1:55" ht="15" customHeight="1">
      <c r="A199" s="350"/>
      <c r="BC199" s="362"/>
    </row>
    <row r="200" spans="1:55" ht="15" customHeight="1">
      <c r="A200" s="350"/>
      <c r="BC200" s="362"/>
    </row>
    <row r="201" spans="1:55" ht="15" customHeight="1">
      <c r="A201" s="350"/>
      <c r="BC201" s="362"/>
    </row>
    <row r="202" spans="1:55" ht="15" customHeight="1">
      <c r="A202" s="350"/>
      <c r="BC202" s="362"/>
    </row>
    <row r="203" spans="1:55" ht="15" customHeight="1">
      <c r="A203" s="350"/>
      <c r="BC203" s="362"/>
    </row>
    <row r="204" spans="1:55" ht="15" customHeight="1">
      <c r="A204" s="350"/>
      <c r="BC204" s="362"/>
    </row>
    <row r="205" spans="1:55" ht="15" customHeight="1">
      <c r="A205" s="350"/>
      <c r="BC205" s="362"/>
    </row>
    <row r="206" spans="1:55" ht="15" customHeight="1">
      <c r="A206" s="350"/>
      <c r="BC206" s="362"/>
    </row>
    <row r="207" spans="1:55" ht="15" customHeight="1">
      <c r="A207" s="350"/>
      <c r="BC207" s="362"/>
    </row>
    <row r="208" spans="1:55" ht="15" customHeight="1">
      <c r="A208" s="350"/>
      <c r="BC208" s="362"/>
    </row>
    <row r="209" spans="1:55" ht="15" customHeight="1">
      <c r="A209" s="350"/>
      <c r="U209" s="252" t="s">
        <v>310</v>
      </c>
      <c r="V209" s="252"/>
      <c r="W209" s="252"/>
      <c r="X209" s="252"/>
      <c r="Y209" s="252"/>
      <c r="Z209" s="252"/>
      <c r="BC209" s="362"/>
    </row>
    <row r="210" spans="1:55" ht="15" hidden="1" customHeight="1">
      <c r="A210" s="468"/>
      <c r="B210" s="469"/>
      <c r="C210" s="403" t="s">
        <v>163</v>
      </c>
      <c r="D210" s="403"/>
      <c r="E210" s="403"/>
      <c r="F210" s="470" t="s">
        <v>319</v>
      </c>
      <c r="I210" s="471" t="s">
        <v>164</v>
      </c>
      <c r="J210" s="403"/>
      <c r="K210" s="403"/>
      <c r="L210" s="403"/>
      <c r="M210" s="257" t="s">
        <v>320</v>
      </c>
      <c r="N210" s="472"/>
      <c r="O210" s="353"/>
      <c r="P210" s="257"/>
      <c r="Q210" s="258"/>
      <c r="R210" s="258"/>
      <c r="S210" s="254"/>
      <c r="T210" s="352"/>
      <c r="U210" s="351"/>
      <c r="V210" s="351"/>
      <c r="W210" s="351"/>
      <c r="X210" s="351"/>
      <c r="Y210" s="351"/>
      <c r="Z210" s="351"/>
      <c r="AA210" s="352"/>
      <c r="AB210" s="352"/>
      <c r="AC210" s="352"/>
      <c r="AD210" s="352"/>
      <c r="AE210" s="352"/>
      <c r="AF210" s="352"/>
      <c r="AG210" s="352"/>
      <c r="AH210" s="352"/>
      <c r="AI210" s="352"/>
      <c r="AJ210" s="352"/>
      <c r="AK210" s="352"/>
      <c r="AL210" s="352"/>
      <c r="AM210" s="352"/>
      <c r="AN210" s="352"/>
      <c r="AO210" s="352"/>
      <c r="BC210" s="362"/>
    </row>
    <row r="211" spans="1:55" ht="15" hidden="1" customHeight="1">
      <c r="A211" s="468"/>
      <c r="B211" s="469"/>
      <c r="C211" s="349"/>
      <c r="D211" s="403"/>
      <c r="E211" s="403"/>
      <c r="F211" s="473">
        <f xml:space="preserve"> IF(OR(ISBLANK(I55), I55 = I210), K55, IF(I55 = I211, K55 * AE148 / 1000, K55 * AE149 / 1000))</f>
        <v>53000.000001</v>
      </c>
      <c r="I211" s="474" t="s">
        <v>165</v>
      </c>
      <c r="J211" s="403"/>
      <c r="K211" s="475" t="s">
        <v>322</v>
      </c>
      <c r="L211" s="403"/>
      <c r="M211" s="473">
        <f xml:space="preserve"> 1 / (1000 / AE148)</f>
        <v>4.54609E-3</v>
      </c>
      <c r="N211" s="403"/>
      <c r="O211" s="403"/>
      <c r="P211" s="403"/>
      <c r="BC211" s="362"/>
    </row>
    <row r="212" spans="1:55" ht="15" hidden="1" customHeight="1">
      <c r="A212" s="468"/>
      <c r="B212" s="468"/>
      <c r="C212" s="402"/>
      <c r="D212" s="402"/>
      <c r="E212" s="402"/>
      <c r="F212" s="470" t="s">
        <v>317</v>
      </c>
      <c r="I212" s="474" t="s">
        <v>166</v>
      </c>
      <c r="J212" s="402"/>
      <c r="K212" s="475" t="s">
        <v>323</v>
      </c>
      <c r="L212" s="402"/>
      <c r="M212" s="473">
        <f xml:space="preserve"> 1 / (1000 / AE149)</f>
        <v>3.7854117839999997E-3</v>
      </c>
      <c r="N212" s="402"/>
      <c r="O212" s="402"/>
      <c r="P212" s="402"/>
      <c r="Q212" s="354"/>
      <c r="R212" s="354"/>
      <c r="S212" s="354"/>
      <c r="T212" s="354"/>
      <c r="BC212" s="362"/>
    </row>
    <row r="213" spans="1:55" ht="15" hidden="1" customHeight="1">
      <c r="A213" s="468"/>
      <c r="B213" s="469"/>
      <c r="C213" s="403"/>
      <c r="D213" s="403"/>
      <c r="E213" s="403"/>
      <c r="F213" s="476">
        <f xml:space="preserve"> IF(OR(ISBLANK(I58), I58 = I210), K58, IF(I58 = I211, K58 * AE148 / 1000, K58 * AE149 / 1000))</f>
        <v>0</v>
      </c>
      <c r="I213" s="403"/>
      <c r="J213" s="403"/>
      <c r="K213" s="403"/>
      <c r="L213" s="403"/>
      <c r="N213" s="403"/>
      <c r="O213" s="403"/>
      <c r="P213" s="403"/>
      <c r="BC213" s="362"/>
    </row>
    <row r="214" spans="1:55" ht="15" hidden="1" customHeight="1">
      <c r="A214" s="468"/>
      <c r="B214" s="469"/>
      <c r="C214" s="403"/>
      <c r="D214" s="403"/>
      <c r="E214" s="403"/>
      <c r="F214" s="403"/>
      <c r="I214" s="403"/>
      <c r="J214" s="403"/>
      <c r="K214" s="403"/>
      <c r="L214" s="403"/>
      <c r="N214" s="403"/>
      <c r="O214" s="403"/>
      <c r="P214" s="403"/>
      <c r="BC214" s="362"/>
    </row>
    <row r="215" spans="1:55" ht="15" hidden="1" customHeight="1">
      <c r="A215" s="468"/>
      <c r="B215" s="469"/>
      <c r="C215" s="403" t="s">
        <v>330</v>
      </c>
      <c r="D215" s="403"/>
      <c r="E215" s="403"/>
      <c r="F215" s="477" t="s">
        <v>316</v>
      </c>
      <c r="I215" s="474" t="s">
        <v>115</v>
      </c>
      <c r="J215" s="403"/>
      <c r="K215" s="403"/>
      <c r="L215" s="403"/>
      <c r="N215" s="403"/>
      <c r="P215" s="403"/>
      <c r="BC215" s="362"/>
    </row>
    <row r="216" spans="1:55" ht="15" hidden="1" customHeight="1">
      <c r="A216" s="468"/>
      <c r="B216" s="469"/>
      <c r="F216" s="473">
        <f xml:space="preserve"> IF(OR(ISBLANK(I56), I56 = I215), K56, I235 * K56 / I234)</f>
        <v>1800.0000010000001</v>
      </c>
      <c r="I216" s="474" t="s">
        <v>114</v>
      </c>
      <c r="J216" s="403"/>
      <c r="K216" s="478" t="s">
        <v>321</v>
      </c>
      <c r="L216" s="403"/>
      <c r="M216" s="435">
        <v>64.798910000000006</v>
      </c>
      <c r="N216" s="403"/>
      <c r="P216" s="403"/>
      <c r="BC216" s="362"/>
    </row>
    <row r="217" spans="1:55" ht="15" hidden="1" customHeight="1">
      <c r="A217" s="468"/>
      <c r="B217" s="469"/>
      <c r="C217" s="354"/>
      <c r="D217" s="354"/>
      <c r="E217" s="354"/>
      <c r="F217" s="403"/>
      <c r="I217" s="403"/>
      <c r="J217" s="403"/>
      <c r="K217" s="403"/>
      <c r="L217" s="403"/>
      <c r="N217" s="403"/>
      <c r="O217" s="403"/>
      <c r="P217" s="403"/>
      <c r="BC217" s="362"/>
    </row>
    <row r="218" spans="1:55" ht="15" hidden="1" customHeight="1">
      <c r="A218" s="468"/>
      <c r="B218" s="469"/>
      <c r="C218" s="354" t="s">
        <v>312</v>
      </c>
      <c r="D218" s="354"/>
      <c r="E218" s="354"/>
      <c r="F218" s="477" t="s">
        <v>315</v>
      </c>
      <c r="I218" s="474" t="s">
        <v>313</v>
      </c>
      <c r="J218" s="403"/>
      <c r="L218" s="403"/>
      <c r="N218" s="403"/>
      <c r="O218" s="403"/>
      <c r="P218" s="403"/>
      <c r="BC218" s="362"/>
    </row>
    <row r="219" spans="1:55" ht="15" hidden="1" customHeight="1">
      <c r="A219" s="468"/>
      <c r="B219" s="469"/>
      <c r="C219" s="354"/>
      <c r="D219" s="354"/>
      <c r="E219" s="354"/>
      <c r="F219" s="473">
        <f xml:space="preserve"> IF(OR(ISBLANK(I61), I61 = I218), K61, (K61 - 32) * 5 / 9)</f>
        <v>0</v>
      </c>
      <c r="I219" s="474" t="s">
        <v>314</v>
      </c>
      <c r="J219" s="403"/>
      <c r="K219" s="354" t="s">
        <v>318</v>
      </c>
      <c r="L219" s="403"/>
      <c r="N219" s="403"/>
      <c r="O219" s="403"/>
      <c r="P219" s="403"/>
      <c r="BC219" s="362"/>
    </row>
    <row r="220" spans="1:55" ht="15" hidden="1" customHeight="1">
      <c r="A220" s="468"/>
      <c r="B220" s="469"/>
      <c r="C220" s="354"/>
      <c r="D220" s="354"/>
      <c r="E220" s="354"/>
      <c r="F220" s="402"/>
      <c r="G220" s="402"/>
      <c r="H220" s="402"/>
      <c r="I220" s="403"/>
      <c r="J220" s="403"/>
      <c r="K220" s="403"/>
      <c r="L220" s="403"/>
      <c r="M220" s="403"/>
      <c r="N220" s="403"/>
      <c r="O220" s="403"/>
      <c r="P220" s="403"/>
      <c r="BC220" s="362"/>
    </row>
    <row r="221" spans="1:55" ht="15" hidden="1" customHeight="1">
      <c r="A221" s="468"/>
      <c r="B221" s="469"/>
      <c r="C221" s="354" t="s">
        <v>324</v>
      </c>
      <c r="D221" s="354"/>
      <c r="E221" s="354"/>
      <c r="F221" s="402" t="str">
        <f xml:space="preserve"> "Masses in selectd unit " &amp; IF(SI_unit, I221, I222)</f>
        <v>Masses in selectd unit [kg/day]</v>
      </c>
      <c r="G221" s="402"/>
      <c r="H221" s="402"/>
      <c r="I221" s="474" t="s">
        <v>326</v>
      </c>
      <c r="J221" s="403"/>
      <c r="K221" s="477" t="s">
        <v>325</v>
      </c>
      <c r="L221" s="403"/>
      <c r="M221" s="476">
        <f xml:space="preserve"> 1 / AE143</f>
        <v>2.2046226218487757</v>
      </c>
      <c r="N221" s="403"/>
      <c r="O221" s="403"/>
      <c r="P221" s="403"/>
      <c r="BC221" s="362"/>
    </row>
    <row r="222" spans="1:55" ht="15" hidden="1" customHeight="1">
      <c r="A222" s="468"/>
      <c r="B222" s="469"/>
      <c r="C222" s="354"/>
      <c r="D222" s="356" t="str">
        <f xml:space="preserve"> G21</f>
        <v>Your_Additive</v>
      </c>
      <c r="E222" s="354"/>
      <c r="F222" s="476">
        <f xml:space="preserve"> IF(SI_unit, I255, I255 * fact_kg2lb)</f>
        <v>897.97810030024175</v>
      </c>
      <c r="G222" s="402"/>
      <c r="H222" s="402"/>
      <c r="I222" s="474" t="s">
        <v>327</v>
      </c>
      <c r="J222" s="403"/>
      <c r="K222" s="403"/>
      <c r="L222" s="403"/>
      <c r="M222" s="403"/>
      <c r="N222" s="403"/>
      <c r="O222" s="403"/>
      <c r="P222" s="403"/>
    </row>
    <row r="223" spans="1:55" ht="15" hidden="1" customHeight="1">
      <c r="A223" s="468"/>
      <c r="B223" s="469"/>
      <c r="C223" s="354"/>
      <c r="D223" s="462" t="str">
        <f xml:space="preserve"> AB117</f>
        <v>SBGx</v>
      </c>
      <c r="E223" s="354"/>
      <c r="F223" s="476">
        <f xml:space="preserve"> IF(SI_unit, I256, I256 * fact_kg2lb)</f>
        <v>521.07548457030634</v>
      </c>
      <c r="G223" s="402"/>
      <c r="H223" s="402"/>
      <c r="I223" s="403"/>
      <c r="J223" s="403"/>
      <c r="K223" s="403"/>
      <c r="L223" s="403"/>
      <c r="M223" s="403"/>
      <c r="N223" s="403"/>
      <c r="O223" s="403"/>
      <c r="P223" s="403"/>
    </row>
    <row r="224" spans="1:55" ht="15" hidden="1" customHeight="1">
      <c r="A224" s="468"/>
      <c r="B224" s="469"/>
    </row>
    <row r="225" spans="1:55" ht="15" hidden="1" customHeight="1">
      <c r="A225" s="468"/>
      <c r="B225" s="469"/>
      <c r="C225" s="350" t="s">
        <v>332</v>
      </c>
      <c r="D225" s="354"/>
      <c r="E225" s="354"/>
      <c r="F225" s="383" t="s">
        <v>331</v>
      </c>
      <c r="I225" s="474" t="s">
        <v>333</v>
      </c>
      <c r="M225" s="352" t="s">
        <v>334</v>
      </c>
      <c r="N225" s="352"/>
      <c r="O225" s="352"/>
      <c r="P225" s="352"/>
      <c r="Q225" s="352"/>
      <c r="R225" s="352"/>
    </row>
    <row r="226" spans="1:55" ht="15" hidden="1" customHeight="1">
      <c r="A226" s="468"/>
      <c r="B226" s="469"/>
      <c r="F226" s="473">
        <f xml:space="preserve"> IFERROR(IF(AND(ISNUMBER(K59), K59 &gt; 0), IF(OR(ISBLANK(I59), I59 = I225), K59, K59 * M226), 0), 0)</f>
        <v>0</v>
      </c>
      <c r="I226" s="474" t="s">
        <v>115</v>
      </c>
      <c r="M226" s="435">
        <v>0.99885900000000005</v>
      </c>
      <c r="O226" s="350" t="s">
        <v>335</v>
      </c>
    </row>
    <row r="227" spans="1:55" ht="15" hidden="1" customHeight="1">
      <c r="A227" s="468"/>
      <c r="B227" s="469"/>
    </row>
    <row r="228" spans="1:55" ht="15" hidden="1" customHeight="1">
      <c r="A228" s="468"/>
      <c r="B228" s="469"/>
    </row>
    <row r="229" spans="1:55" ht="15" hidden="1" customHeight="1">
      <c r="A229" s="468"/>
      <c r="B229" s="469"/>
      <c r="C229" s="354"/>
      <c r="D229" s="354"/>
      <c r="E229" s="354"/>
      <c r="F229" s="402"/>
      <c r="G229" s="402"/>
      <c r="H229" s="402"/>
      <c r="I229" s="403"/>
      <c r="J229" s="403"/>
      <c r="K229" s="403"/>
      <c r="L229" s="403"/>
      <c r="M229" s="403"/>
      <c r="N229" s="403"/>
      <c r="O229" s="403"/>
      <c r="P229" s="403"/>
    </row>
    <row r="230" spans="1:55" ht="15" hidden="1" customHeight="1">
      <c r="A230" s="468"/>
      <c r="B230" s="469"/>
      <c r="C230" s="402" t="s">
        <v>27</v>
      </c>
      <c r="D230" s="354"/>
      <c r="E230" s="354"/>
      <c r="F230" s="354"/>
      <c r="G230" s="354"/>
      <c r="H230" s="354"/>
      <c r="I230" s="479">
        <v>55.844999999999999</v>
      </c>
      <c r="K230" s="480"/>
      <c r="L230" s="480"/>
      <c r="M230" s="403"/>
      <c r="N230" s="403"/>
      <c r="O230" s="403"/>
      <c r="P230" s="403"/>
    </row>
    <row r="231" spans="1:55" ht="15" hidden="1" customHeight="1">
      <c r="A231" s="468"/>
      <c r="B231" s="469"/>
      <c r="C231" s="402" t="s">
        <v>329</v>
      </c>
      <c r="D231" s="354"/>
      <c r="E231" s="354"/>
      <c r="F231" s="354"/>
      <c r="G231" s="354"/>
      <c r="H231" s="354"/>
      <c r="I231" s="479">
        <v>32.064999999999998</v>
      </c>
      <c r="K231" s="480"/>
      <c r="L231" s="480"/>
      <c r="M231" s="403"/>
      <c r="N231" s="403"/>
      <c r="O231" s="403"/>
      <c r="P231" s="403"/>
    </row>
    <row r="232" spans="1:55" ht="15" hidden="1" customHeight="1">
      <c r="A232" s="468"/>
      <c r="B232" s="469"/>
      <c r="C232" s="402" t="s">
        <v>424</v>
      </c>
      <c r="D232" s="354"/>
      <c r="E232" s="354"/>
      <c r="F232" s="354"/>
      <c r="G232" s="354"/>
      <c r="H232" s="354"/>
      <c r="I232" s="479">
        <v>33.07</v>
      </c>
      <c r="K232" s="480" t="s">
        <v>423</v>
      </c>
      <c r="L232" s="480"/>
      <c r="M232" s="403"/>
      <c r="N232" s="403"/>
      <c r="O232" s="403"/>
      <c r="P232" s="403"/>
    </row>
    <row r="233" spans="1:55" ht="15" hidden="1" customHeight="1">
      <c r="A233" s="468"/>
      <c r="B233" s="469"/>
      <c r="C233" s="402" t="s">
        <v>425</v>
      </c>
      <c r="D233" s="354"/>
      <c r="E233" s="354"/>
      <c r="F233" s="354"/>
      <c r="G233" s="354"/>
      <c r="H233" s="354"/>
      <c r="I233" s="479">
        <v>34.08</v>
      </c>
      <c r="K233" s="480" t="s">
        <v>109</v>
      </c>
      <c r="L233" s="480"/>
      <c r="M233" s="403"/>
      <c r="N233" s="403"/>
      <c r="O233" s="403"/>
      <c r="P233" s="403"/>
      <c r="BC233" s="26"/>
    </row>
    <row r="234" spans="1:55" ht="15" hidden="1" customHeight="1">
      <c r="A234" s="468"/>
      <c r="B234" s="469"/>
      <c r="C234" s="39" t="s">
        <v>426</v>
      </c>
      <c r="D234" s="354"/>
      <c r="E234" s="354"/>
      <c r="F234" s="354"/>
      <c r="G234" s="354"/>
      <c r="H234" s="354"/>
      <c r="I234" s="310">
        <f xml:space="preserve"> I233</f>
        <v>34.08</v>
      </c>
      <c r="K234" s="480"/>
      <c r="L234" s="480"/>
      <c r="M234" s="403"/>
      <c r="N234" s="403"/>
      <c r="O234" s="403"/>
      <c r="P234" s="403"/>
      <c r="BC234" s="26"/>
    </row>
    <row r="235" spans="1:55" ht="15" hidden="1" customHeight="1">
      <c r="A235" s="468"/>
      <c r="B235" s="469"/>
      <c r="C235" s="402" t="s">
        <v>181</v>
      </c>
      <c r="D235" s="354"/>
      <c r="E235" s="354"/>
      <c r="F235" s="354"/>
      <c r="G235" s="354"/>
      <c r="H235" s="354"/>
      <c r="I235" s="479">
        <v>24.45</v>
      </c>
      <c r="K235" s="480" t="s">
        <v>110</v>
      </c>
      <c r="L235" s="480"/>
      <c r="M235" s="403"/>
      <c r="N235" s="403"/>
      <c r="O235" s="403"/>
      <c r="P235" s="403"/>
      <c r="BC235" s="26"/>
    </row>
    <row r="236" spans="1:55" ht="15" hidden="1" customHeight="1">
      <c r="A236" s="468"/>
      <c r="B236" s="352"/>
      <c r="C236" s="64" t="s">
        <v>182</v>
      </c>
      <c r="D236" s="481"/>
      <c r="E236" s="481"/>
      <c r="F236" s="481"/>
      <c r="G236" s="482"/>
      <c r="H236" s="482"/>
      <c r="I236" s="62">
        <f xml:space="preserve"> F216 / 1000 / I235 * I234 * F211</f>
        <v>132974.72400276418</v>
      </c>
      <c r="M236" s="350" t="s">
        <v>113</v>
      </c>
      <c r="BC236" s="26"/>
    </row>
    <row r="237" spans="1:55" ht="15" hidden="1" customHeight="1">
      <c r="A237" s="468"/>
      <c r="B237" s="352"/>
    </row>
    <row r="238" spans="1:55" ht="15" hidden="1" customHeight="1">
      <c r="A238" s="468"/>
      <c r="B238" s="469"/>
      <c r="C238" s="402" t="s">
        <v>28</v>
      </c>
      <c r="D238" s="354"/>
      <c r="E238" s="354"/>
      <c r="F238" s="354"/>
      <c r="G238" s="354"/>
      <c r="H238" s="354"/>
      <c r="I238" s="483">
        <f xml:space="preserve"> IF(K60 &gt; 0, 10 ^ -K60, 0)</f>
        <v>0</v>
      </c>
      <c r="K238" s="484"/>
      <c r="L238" s="403"/>
      <c r="M238" s="403"/>
      <c r="N238" s="403"/>
      <c r="O238" s="403"/>
      <c r="P238" s="403"/>
      <c r="BC238" s="26"/>
    </row>
    <row r="239" spans="1:55" ht="15" hidden="1" customHeight="1">
      <c r="A239" s="468"/>
      <c r="B239" s="469"/>
      <c r="C239" s="402" t="s">
        <v>29</v>
      </c>
      <c r="D239" s="354"/>
      <c r="E239" s="354"/>
      <c r="F239" s="354"/>
      <c r="G239" s="354"/>
      <c r="H239" s="354"/>
      <c r="I239" s="483">
        <f xml:space="preserve"> IF(F219 &gt; 0, 10 ^ -(1351.9 / (F219 + 273.15) + 0.0992 + 0.00792 * (F219 + 273.15)), 0)</f>
        <v>0</v>
      </c>
      <c r="K239" s="403"/>
      <c r="L239" s="403"/>
      <c r="M239" s="403"/>
      <c r="N239" s="403"/>
      <c r="O239" s="403"/>
      <c r="P239" s="403"/>
      <c r="BC239" s="26"/>
    </row>
    <row r="240" spans="1:55" ht="15" hidden="1" customHeight="1">
      <c r="A240" s="468"/>
      <c r="B240" s="469"/>
      <c r="C240" s="402" t="s">
        <v>30</v>
      </c>
      <c r="D240" s="354"/>
      <c r="E240" s="354"/>
      <c r="F240" s="354"/>
      <c r="G240" s="354"/>
      <c r="H240" s="354"/>
      <c r="I240" s="485">
        <f xml:space="preserve"> 10 ^ -11.96</f>
        <v>1.0964781961431817E-12</v>
      </c>
      <c r="K240" s="439"/>
      <c r="L240" s="439"/>
      <c r="M240" s="403"/>
      <c r="N240" s="403"/>
      <c r="O240" s="403"/>
      <c r="P240" s="403"/>
    </row>
    <row r="241" spans="1:20" ht="15" hidden="1" customHeight="1">
      <c r="A241" s="468"/>
      <c r="B241" s="469"/>
      <c r="C241" s="402" t="s">
        <v>108</v>
      </c>
      <c r="D241" s="354"/>
      <c r="E241" s="354"/>
      <c r="F241" s="354"/>
      <c r="G241" s="354"/>
      <c r="H241" s="354"/>
      <c r="I241" s="483">
        <f xml:space="preserve"> IF(I239 * I238 &gt; 0, (1 + I239 / I238 + I239 * I240 / I238 ^ 2) ^ -1, 0)</f>
        <v>0</v>
      </c>
      <c r="K241" s="439"/>
      <c r="L241" s="439"/>
      <c r="M241" s="403"/>
      <c r="N241" s="403"/>
      <c r="O241" s="403"/>
      <c r="P241" s="403"/>
    </row>
    <row r="242" spans="1:20" ht="15" hidden="1" customHeight="1">
      <c r="A242" s="468"/>
      <c r="B242" s="469"/>
      <c r="C242" s="402" t="s">
        <v>491</v>
      </c>
      <c r="D242" s="354"/>
      <c r="E242" s="354"/>
      <c r="F242" s="354"/>
      <c r="G242" s="354"/>
      <c r="H242" s="354"/>
      <c r="I242" s="483">
        <f xml:space="preserve"> IF(I241 &gt; 0, I239 / I238 * I241, 0)</f>
        <v>0</v>
      </c>
      <c r="K242" s="486" t="s">
        <v>111</v>
      </c>
      <c r="L242" s="486"/>
      <c r="M242" s="469"/>
      <c r="N242" s="469"/>
      <c r="O242" s="469"/>
      <c r="P242" s="469"/>
      <c r="Q242" s="352"/>
      <c r="R242" s="352"/>
      <c r="S242" s="352"/>
    </row>
    <row r="243" spans="1:20" ht="15" hidden="1" customHeight="1">
      <c r="A243" s="468"/>
      <c r="B243" s="469"/>
      <c r="C243" s="402" t="s">
        <v>187</v>
      </c>
      <c r="D243" s="354"/>
      <c r="E243" s="354"/>
      <c r="F243" s="354"/>
      <c r="G243" s="487"/>
      <c r="H243" s="487"/>
      <c r="I243" s="483" t="e">
        <f xml:space="preserve"> I239 * I240 / I238 ^ 2 * I241</f>
        <v>#DIV/0!</v>
      </c>
      <c r="K243" s="33" t="s">
        <v>106</v>
      </c>
      <c r="L243" s="486"/>
      <c r="M243" s="469"/>
      <c r="N243" s="469"/>
      <c r="O243" s="469"/>
      <c r="P243" s="469"/>
      <c r="Q243" s="352"/>
      <c r="R243" s="352"/>
      <c r="S243" s="352"/>
    </row>
    <row r="244" spans="1:20" ht="15" hidden="1" customHeight="1">
      <c r="A244" s="468"/>
      <c r="B244" s="469"/>
      <c r="C244" s="39" t="s">
        <v>101</v>
      </c>
      <c r="D244" s="40"/>
      <c r="E244" s="40"/>
      <c r="F244" s="40"/>
      <c r="G244" s="40"/>
      <c r="H244" s="40"/>
      <c r="I244" s="36"/>
      <c r="K244" s="439"/>
      <c r="L244" s="439"/>
      <c r="M244" s="403"/>
      <c r="N244" s="403"/>
      <c r="O244" s="403"/>
      <c r="P244" s="403"/>
    </row>
    <row r="245" spans="1:20" ht="15" hidden="1" customHeight="1">
      <c r="A245" s="468"/>
      <c r="B245" s="469"/>
      <c r="C245" s="402" t="s">
        <v>185</v>
      </c>
      <c r="G245" s="403"/>
      <c r="H245" s="403"/>
      <c r="I245" s="402"/>
      <c r="J245" s="403"/>
    </row>
    <row r="246" spans="1:20" ht="15" hidden="1" customHeight="1">
      <c r="A246" s="468"/>
      <c r="B246" s="469"/>
      <c r="C246" s="488" t="s">
        <v>186</v>
      </c>
      <c r="G246" s="403"/>
      <c r="H246" s="403"/>
      <c r="I246" s="403"/>
      <c r="J246" s="403"/>
    </row>
    <row r="247" spans="1:20" ht="15" hidden="1" customHeight="1">
      <c r="A247" s="468"/>
      <c r="B247" s="469"/>
      <c r="C247" s="488" t="s">
        <v>173</v>
      </c>
      <c r="D247" s="354"/>
      <c r="E247" s="354"/>
      <c r="F247" s="354"/>
      <c r="G247" s="487"/>
      <c r="H247" s="487"/>
      <c r="I247" s="483">
        <f xml:space="preserve"> IF(K56 * I241 &gt; 0, EXP((LN(K56) - 6.42) / 0.78) / I241, 0)</f>
        <v>0</v>
      </c>
      <c r="K247" s="472"/>
      <c r="L247" s="472"/>
      <c r="P247" s="403"/>
    </row>
    <row r="248" spans="1:20" ht="15" hidden="1" customHeight="1">
      <c r="A248" s="468"/>
      <c r="B248" s="469"/>
      <c r="C248" s="65" t="s">
        <v>183</v>
      </c>
      <c r="D248" s="481"/>
      <c r="E248" s="481"/>
      <c r="F248" s="481"/>
      <c r="G248" s="482"/>
      <c r="H248" s="482"/>
      <c r="I248" s="255">
        <f xml:space="preserve"> IF(F226 &gt; 0, F226, I247) * F213</f>
        <v>0</v>
      </c>
      <c r="N248" s="472"/>
      <c r="O248" s="489"/>
      <c r="P248" s="403"/>
    </row>
    <row r="249" spans="1:20" ht="15" hidden="1" customHeight="1">
      <c r="A249" s="468"/>
      <c r="B249" s="469"/>
      <c r="C249" s="403"/>
    </row>
    <row r="250" spans="1:20" ht="15" hidden="1" customHeight="1">
      <c r="A250" s="468"/>
      <c r="B250" s="469"/>
      <c r="C250" s="403"/>
    </row>
    <row r="251" spans="1:20" ht="15" hidden="1" customHeight="1">
      <c r="A251" s="468"/>
      <c r="B251" s="469"/>
      <c r="C251" s="66" t="s">
        <v>122</v>
      </c>
      <c r="D251" s="481"/>
      <c r="E251" s="481"/>
      <c r="F251" s="481"/>
      <c r="G251" s="482"/>
      <c r="H251" s="482"/>
      <c r="I251" s="490">
        <f xml:space="preserve"> IF(OR(I236 &gt; 0, I248 &gt; 0), I230 / I234 * (I236 + I248), 0)</f>
        <v>217898.28233375488</v>
      </c>
      <c r="K251" s="491" t="s">
        <v>468</v>
      </c>
      <c r="M251" s="479">
        <v>1.7</v>
      </c>
      <c r="N251" s="362"/>
      <c r="O251" s="362"/>
    </row>
    <row r="252" spans="1:20" ht="15" hidden="1" customHeight="1">
      <c r="A252" s="468"/>
      <c r="B252" s="469"/>
      <c r="C252" s="37" t="s">
        <v>121</v>
      </c>
      <c r="D252" s="492"/>
      <c r="E252" s="492"/>
      <c r="F252" s="492"/>
      <c r="G252" s="492"/>
      <c r="H252" s="492"/>
      <c r="I252" s="490">
        <f xml:space="preserve"> IF(AND(M252 &gt; 0, OR(I236 &gt; 0, I248 &gt; 0)), M252 * I230 / I234 * (I236 + I248), 0)</f>
        <v>370427.0799673833</v>
      </c>
      <c r="K252" s="491" t="s">
        <v>151</v>
      </c>
      <c r="L252" s="403"/>
      <c r="M252" s="493">
        <f xml:space="preserve"> IF(ISBLANK(K57), M251, IF(ISNUMBER(K57), IF(K57 &gt; 0, K57, 0), 0))</f>
        <v>1.7</v>
      </c>
      <c r="N252" s="439"/>
      <c r="O252" s="494"/>
      <c r="P252" s="403"/>
    </row>
    <row r="253" spans="1:20" ht="15" hidden="1" customHeight="1">
      <c r="A253" s="468"/>
      <c r="B253" s="469"/>
      <c r="C253" s="38" t="s">
        <v>112</v>
      </c>
      <c r="D253" s="353"/>
      <c r="E253" s="353"/>
      <c r="F253" s="353"/>
      <c r="G253" s="353"/>
      <c r="H253" s="353"/>
      <c r="I253" s="495"/>
      <c r="K253" s="403"/>
      <c r="L253" s="403"/>
      <c r="M253" s="494"/>
      <c r="N253" s="439"/>
      <c r="O253" s="439"/>
      <c r="P253" s="403"/>
    </row>
    <row r="254" spans="1:20" ht="15" hidden="1" customHeight="1">
      <c r="A254" s="496"/>
      <c r="B254" s="497"/>
      <c r="C254" s="498"/>
      <c r="D254" s="379"/>
      <c r="E254" s="379"/>
      <c r="F254" s="379"/>
      <c r="G254" s="390"/>
      <c r="H254" s="390"/>
      <c r="I254" s="498"/>
      <c r="J254" s="346"/>
      <c r="K254" s="498"/>
      <c r="L254" s="484"/>
      <c r="M254" s="346"/>
      <c r="N254" s="346"/>
      <c r="O254" s="346"/>
      <c r="P254" s="484"/>
      <c r="Q254" s="346"/>
      <c r="R254" s="346"/>
      <c r="S254" s="346"/>
      <c r="T254" s="346"/>
    </row>
    <row r="255" spans="1:20" ht="15" hidden="1" customHeight="1">
      <c r="A255" s="496"/>
      <c r="B255" s="497"/>
      <c r="C255" s="498"/>
      <c r="D255" s="379"/>
      <c r="E255" s="379"/>
      <c r="F255" s="379"/>
      <c r="G255" s="390" t="str">
        <f xml:space="preserve"> G21 &amp; " [kg]"</f>
        <v>Your_Additive [kg]</v>
      </c>
      <c r="H255" s="390"/>
      <c r="I255" s="499">
        <f xml:space="preserve"> IF(AJ132 &gt; 0, I252 / AJ132 / 1000, 0)</f>
        <v>897.97810030024175</v>
      </c>
      <c r="J255" s="346"/>
      <c r="K255" s="498"/>
      <c r="L255" s="484"/>
      <c r="M255" s="346"/>
      <c r="N255" s="346"/>
      <c r="O255" s="346"/>
      <c r="P255" s="484"/>
      <c r="Q255" s="346"/>
      <c r="R255" s="346"/>
      <c r="S255" s="346"/>
      <c r="T255" s="346"/>
    </row>
    <row r="256" spans="1:20" ht="15" hidden="1" customHeight="1">
      <c r="A256" s="496"/>
      <c r="B256" s="497"/>
      <c r="C256" s="498"/>
      <c r="D256" s="379"/>
      <c r="E256" s="379"/>
      <c r="F256" s="379"/>
      <c r="G256" s="390" t="str">
        <f xml:space="preserve"> AB118 &amp; " [kg]"</f>
        <v>SBGx by SwissBiogas.com [kg]</v>
      </c>
      <c r="H256" s="390"/>
      <c r="I256" s="499">
        <f xml:space="preserve"> I252 / AM132 / 1000</f>
        <v>521.07548457030634</v>
      </c>
      <c r="J256" s="346"/>
      <c r="K256" s="498" t="s">
        <v>328</v>
      </c>
      <c r="L256" s="484"/>
      <c r="M256" s="346"/>
      <c r="N256" s="346"/>
      <c r="O256" s="346"/>
      <c r="P256" s="484"/>
      <c r="Q256" s="346"/>
      <c r="R256" s="346"/>
      <c r="S256" s="346"/>
      <c r="T256" s="346"/>
    </row>
    <row r="257" spans="1:20" ht="15" hidden="1" customHeight="1">
      <c r="A257" s="496"/>
      <c r="B257" s="497"/>
      <c r="C257" s="498"/>
      <c r="D257" s="379"/>
      <c r="E257" s="379"/>
      <c r="F257" s="379"/>
      <c r="G257" s="390" t="s">
        <v>184</v>
      </c>
      <c r="H257" s="390"/>
      <c r="I257" s="498">
        <f xml:space="preserve"> I255 / I256</f>
        <v>1.7233167302828303</v>
      </c>
      <c r="J257" s="346"/>
      <c r="K257" s="498"/>
      <c r="L257" s="484"/>
      <c r="M257" s="346"/>
      <c r="N257" s="346"/>
      <c r="O257" s="346"/>
      <c r="P257" s="484"/>
      <c r="Q257" s="346"/>
      <c r="R257" s="346"/>
      <c r="S257" s="346"/>
      <c r="T257" s="346"/>
    </row>
    <row r="258" spans="1:20" ht="15" hidden="1" customHeight="1">
      <c r="A258" s="496"/>
      <c r="B258" s="497"/>
      <c r="C258" s="498"/>
      <c r="D258" s="379"/>
      <c r="E258" s="379"/>
      <c r="F258" s="379"/>
      <c r="G258" s="379"/>
      <c r="H258" s="379"/>
      <c r="I258" s="498"/>
      <c r="J258" s="346"/>
      <c r="K258" s="484"/>
      <c r="L258" s="484"/>
      <c r="M258" s="346"/>
      <c r="N258" s="346"/>
      <c r="O258" s="346"/>
      <c r="P258" s="484"/>
      <c r="Q258" s="346"/>
      <c r="R258" s="346"/>
      <c r="S258" s="346"/>
      <c r="T258" s="346"/>
    </row>
    <row r="259" spans="1:20" ht="15" hidden="1" customHeight="1">
      <c r="A259" s="496"/>
      <c r="B259" s="497"/>
      <c r="C259" s="500"/>
      <c r="D259" s="344"/>
      <c r="E259" s="344"/>
      <c r="F259" s="344"/>
      <c r="G259" s="344"/>
      <c r="H259" s="344"/>
      <c r="I259" s="500"/>
      <c r="J259" s="346"/>
      <c r="K259" s="484"/>
      <c r="L259" s="484"/>
      <c r="M259" s="346"/>
      <c r="N259" s="346"/>
      <c r="O259" s="346"/>
      <c r="P259" s="484"/>
      <c r="Q259" s="346"/>
      <c r="R259" s="346"/>
      <c r="S259" s="346"/>
      <c r="T259" s="346"/>
    </row>
    <row r="260" spans="1:20" ht="15" hidden="1" customHeight="1">
      <c r="A260" s="496"/>
      <c r="B260" s="497"/>
      <c r="C260" s="484"/>
      <c r="D260" s="346"/>
      <c r="E260" s="346"/>
      <c r="F260" s="346"/>
      <c r="G260" s="346"/>
      <c r="H260" s="346"/>
      <c r="I260" s="484"/>
      <c r="J260" s="346"/>
      <c r="K260" s="484"/>
      <c r="L260" s="484"/>
      <c r="M260" s="484"/>
      <c r="N260" s="484"/>
      <c r="O260" s="484"/>
      <c r="P260" s="484"/>
      <c r="Q260" s="346"/>
      <c r="R260" s="346"/>
      <c r="S260" s="346"/>
      <c r="T260" s="346"/>
    </row>
    <row r="261" spans="1:20" ht="15" hidden="1" customHeight="1">
      <c r="A261" s="468"/>
      <c r="B261" s="469"/>
      <c r="C261" s="403" t="s">
        <v>31</v>
      </c>
      <c r="D261" s="403"/>
      <c r="E261" s="403"/>
      <c r="F261" s="403"/>
      <c r="G261" s="403"/>
      <c r="H261" s="403"/>
      <c r="I261" s="403"/>
      <c r="J261" s="403"/>
      <c r="K261" s="403"/>
      <c r="L261" s="403"/>
      <c r="M261" s="403"/>
      <c r="N261" s="403"/>
      <c r="O261" s="403"/>
      <c r="P261" s="403"/>
    </row>
    <row r="262" spans="1:20" ht="15" hidden="1" customHeight="1">
      <c r="A262" s="468"/>
      <c r="B262" s="469"/>
      <c r="C262" s="403" t="s">
        <v>32</v>
      </c>
      <c r="D262" s="501"/>
      <c r="E262" s="501"/>
      <c r="F262" s="403"/>
      <c r="G262" s="403"/>
      <c r="H262" s="403"/>
      <c r="I262" s="403"/>
      <c r="J262" s="403"/>
      <c r="K262" s="403"/>
      <c r="L262" s="403"/>
      <c r="M262" s="403"/>
      <c r="N262" s="403"/>
      <c r="O262" s="403"/>
      <c r="P262" s="403"/>
    </row>
    <row r="263" spans="1:20" ht="15" hidden="1" customHeight="1">
      <c r="A263" s="468"/>
      <c r="B263" s="469"/>
      <c r="C263" s="403" t="s">
        <v>33</v>
      </c>
      <c r="D263" s="502"/>
      <c r="E263" s="502"/>
      <c r="F263" s="403"/>
      <c r="G263" s="403"/>
      <c r="H263" s="403"/>
      <c r="I263" s="403"/>
      <c r="J263" s="403"/>
      <c r="K263" s="403"/>
      <c r="L263" s="403"/>
      <c r="M263" s="403"/>
      <c r="N263" s="403"/>
      <c r="O263" s="403"/>
      <c r="P263" s="403"/>
    </row>
    <row r="264" spans="1:20" ht="15" hidden="1" customHeight="1">
      <c r="A264" s="468"/>
      <c r="B264" s="469"/>
      <c r="C264" s="403"/>
      <c r="D264" s="495"/>
      <c r="E264" s="495"/>
      <c r="F264" s="403"/>
      <c r="G264" s="403"/>
      <c r="H264" s="403"/>
      <c r="I264" s="403"/>
      <c r="J264" s="403"/>
      <c r="K264" s="403"/>
      <c r="L264" s="403"/>
      <c r="M264" s="403"/>
      <c r="N264" s="403"/>
      <c r="O264" s="403"/>
      <c r="P264" s="403"/>
    </row>
    <row r="265" spans="1:20" ht="15" hidden="1" customHeight="1">
      <c r="A265" s="468"/>
      <c r="B265" s="503"/>
      <c r="C265" s="495" t="s">
        <v>34</v>
      </c>
      <c r="D265" s="495"/>
      <c r="E265" s="495"/>
      <c r="F265" s="403"/>
      <c r="G265" s="403"/>
      <c r="H265" s="403"/>
      <c r="I265" s="403"/>
      <c r="J265" s="403"/>
      <c r="K265" s="403"/>
      <c r="L265" s="403"/>
      <c r="M265" s="504"/>
      <c r="N265" s="504"/>
      <c r="O265" s="504"/>
      <c r="P265" s="504"/>
    </row>
    <row r="266" spans="1:20" ht="15" hidden="1" customHeight="1">
      <c r="A266" s="468"/>
      <c r="B266" s="503"/>
      <c r="C266" s="28" t="s">
        <v>35</v>
      </c>
      <c r="D266" s="403"/>
      <c r="E266" s="403"/>
      <c r="F266" s="403"/>
      <c r="G266" s="403"/>
      <c r="H266" s="403"/>
      <c r="I266" s="403"/>
      <c r="J266" s="403"/>
      <c r="K266" s="504"/>
      <c r="L266" s="504"/>
      <c r="M266" s="504"/>
      <c r="N266" s="504"/>
      <c r="O266" s="504"/>
      <c r="P266" s="504"/>
    </row>
    <row r="267" spans="1:20" ht="15" hidden="1" customHeight="1">
      <c r="A267" s="468"/>
      <c r="B267" s="503"/>
      <c r="C267" s="403" t="s">
        <v>36</v>
      </c>
      <c r="D267" s="495"/>
      <c r="E267" s="495"/>
      <c r="F267" s="403"/>
      <c r="G267" s="504"/>
      <c r="H267" s="504"/>
      <c r="I267" s="403"/>
      <c r="J267" s="403"/>
      <c r="K267" s="504"/>
      <c r="L267" s="504"/>
      <c r="M267" s="504"/>
      <c r="N267" s="504"/>
      <c r="O267" s="504"/>
      <c r="P267" s="504"/>
    </row>
    <row r="268" spans="1:20" ht="15" hidden="1" customHeight="1">
      <c r="A268" s="468"/>
      <c r="B268" s="503"/>
      <c r="C268" s="28" t="s">
        <v>37</v>
      </c>
      <c r="D268" s="505"/>
      <c r="E268" s="505"/>
      <c r="F268" s="504"/>
      <c r="G268" s="504"/>
      <c r="H268" s="504"/>
      <c r="I268" s="504"/>
      <c r="J268" s="504"/>
      <c r="K268" s="504"/>
      <c r="L268" s="504"/>
      <c r="M268" s="504"/>
      <c r="N268" s="504"/>
      <c r="O268" s="504"/>
      <c r="P268" s="504"/>
    </row>
    <row r="269" spans="1:20" ht="15" hidden="1" customHeight="1">
      <c r="A269" s="468"/>
      <c r="B269" s="503"/>
      <c r="C269" s="403" t="s">
        <v>38</v>
      </c>
      <c r="D269" s="505"/>
      <c r="E269" s="505"/>
      <c r="F269" s="504"/>
      <c r="G269" s="504"/>
      <c r="H269" s="504"/>
      <c r="I269" s="504"/>
      <c r="J269" s="504"/>
      <c r="K269" s="504"/>
      <c r="L269" s="504"/>
      <c r="M269" s="504"/>
      <c r="N269" s="504"/>
      <c r="O269" s="504"/>
      <c r="P269" s="504"/>
    </row>
    <row r="270" spans="1:20" ht="15" hidden="1" customHeight="1">
      <c r="A270" s="468"/>
      <c r="B270" s="503"/>
      <c r="C270" s="7" t="s">
        <v>39</v>
      </c>
      <c r="D270" s="505"/>
      <c r="E270" s="505"/>
      <c r="F270" s="504"/>
      <c r="G270" s="504"/>
      <c r="H270" s="504"/>
      <c r="I270" s="504"/>
      <c r="J270" s="504"/>
      <c r="K270" s="504"/>
      <c r="L270" s="504"/>
      <c r="M270" s="504"/>
      <c r="N270" s="504"/>
      <c r="O270" s="504"/>
      <c r="P270" s="504"/>
    </row>
    <row r="271" spans="1:20" ht="15" hidden="1" customHeight="1">
      <c r="A271" s="468"/>
      <c r="B271" s="503"/>
      <c r="C271" s="403" t="s">
        <v>40</v>
      </c>
      <c r="D271" s="505"/>
      <c r="E271" s="505"/>
      <c r="F271" s="504"/>
      <c r="G271" s="504"/>
      <c r="H271" s="504"/>
      <c r="I271" s="504"/>
      <c r="J271" s="504"/>
      <c r="K271" s="504"/>
      <c r="L271" s="504"/>
      <c r="M271" s="504"/>
      <c r="N271" s="504"/>
      <c r="O271" s="504"/>
      <c r="P271" s="504"/>
    </row>
    <row r="272" spans="1:20" ht="15" customHeight="1">
      <c r="A272" s="377"/>
    </row>
    <row r="273" spans="1:1" ht="15" customHeight="1">
      <c r="A273" s="350"/>
    </row>
    <row r="274" spans="1:1" ht="15" customHeight="1">
      <c r="A274" s="350"/>
    </row>
    <row r="275" spans="1:1" ht="15" customHeight="1">
      <c r="A275" s="350"/>
    </row>
    <row r="276" spans="1:1" ht="15" customHeight="1">
      <c r="A276" s="350"/>
    </row>
    <row r="277" spans="1:1" ht="15" customHeight="1">
      <c r="A277" s="350"/>
    </row>
    <row r="278" spans="1:1">
      <c r="A278" s="350"/>
    </row>
    <row r="279" spans="1:1">
      <c r="A279" s="350"/>
    </row>
    <row r="280" spans="1:1">
      <c r="A280" s="350"/>
    </row>
    <row r="281" spans="1:1">
      <c r="A281" s="350"/>
    </row>
    <row r="282" spans="1:1">
      <c r="A282" s="350"/>
    </row>
    <row r="283" spans="1:1" ht="15" customHeight="1">
      <c r="A283" s="350"/>
    </row>
    <row r="284" spans="1:1" ht="15" customHeight="1">
      <c r="A284" s="350"/>
    </row>
    <row r="285" spans="1:1" ht="15" customHeight="1">
      <c r="A285" s="350"/>
    </row>
    <row r="286" spans="1:1" ht="15" customHeight="1">
      <c r="A286" s="350"/>
    </row>
    <row r="287" spans="1:1" ht="15" customHeight="1">
      <c r="A287" s="350"/>
    </row>
    <row r="288" spans="1:1" ht="15" customHeight="1">
      <c r="A288" s="350"/>
    </row>
    <row r="289" spans="1:1" ht="15" customHeight="1">
      <c r="A289" s="350"/>
    </row>
    <row r="290" spans="1:1" ht="15" customHeight="1">
      <c r="A290" s="350"/>
    </row>
    <row r="291" spans="1:1" ht="15" customHeight="1">
      <c r="A291" s="350"/>
    </row>
    <row r="292" spans="1:1" ht="15" customHeight="1">
      <c r="A292" s="350"/>
    </row>
    <row r="293" spans="1:1" ht="15" customHeight="1">
      <c r="A293" s="350"/>
    </row>
    <row r="294" spans="1:1" ht="15" customHeight="1">
      <c r="A294" s="350"/>
    </row>
    <row r="295" spans="1:1" ht="15" customHeight="1">
      <c r="A295" s="350"/>
    </row>
    <row r="296" spans="1:1" ht="15" customHeight="1">
      <c r="A296" s="350"/>
    </row>
    <row r="297" spans="1:1" ht="15" customHeight="1">
      <c r="A297" s="350"/>
    </row>
    <row r="298" spans="1:1" ht="15" customHeight="1">
      <c r="A298" s="350"/>
    </row>
    <row r="299" spans="1:1" ht="15" customHeight="1">
      <c r="A299" s="350"/>
    </row>
    <row r="300" spans="1:1" ht="15" customHeight="1">
      <c r="A300" s="350"/>
    </row>
    <row r="301" spans="1:1" ht="15" customHeight="1">
      <c r="A301" s="350"/>
    </row>
    <row r="302" spans="1:1" ht="15" customHeight="1">
      <c r="A302" s="350"/>
    </row>
    <row r="303" spans="1:1" ht="15" customHeight="1">
      <c r="A303" s="350"/>
    </row>
    <row r="304" spans="1:1" ht="15" customHeight="1">
      <c r="A304" s="350"/>
    </row>
    <row r="305" spans="1:26" s="346" customFormat="1" ht="15" customHeight="1">
      <c r="U305" s="354"/>
      <c r="V305" s="354"/>
      <c r="W305" s="354"/>
      <c r="X305" s="354"/>
      <c r="Y305" s="354"/>
      <c r="Z305" s="354"/>
    </row>
    <row r="306" spans="1:26" s="346" customFormat="1" ht="15" customHeight="1">
      <c r="U306" s="506"/>
      <c r="V306" s="506"/>
      <c r="W306" s="506"/>
      <c r="X306" s="506"/>
      <c r="Y306" s="506"/>
      <c r="Z306" s="506"/>
    </row>
    <row r="307" spans="1:26" s="346" customFormat="1" ht="15" customHeight="1">
      <c r="U307" s="506"/>
      <c r="V307" s="506"/>
      <c r="W307" s="506"/>
      <c r="X307" s="506"/>
      <c r="Y307" s="506"/>
      <c r="Z307" s="506"/>
    </row>
    <row r="308" spans="1:26" s="346" customFormat="1" ht="15" customHeight="1">
      <c r="U308" s="506"/>
      <c r="V308" s="506"/>
      <c r="W308" s="506"/>
      <c r="X308" s="506"/>
      <c r="Y308" s="506"/>
      <c r="Z308" s="506"/>
    </row>
    <row r="309" spans="1:26" s="346" customFormat="1" ht="15" customHeight="1">
      <c r="U309" s="506"/>
      <c r="V309" s="506"/>
      <c r="W309" s="506"/>
      <c r="X309" s="506"/>
      <c r="Y309" s="506"/>
      <c r="Z309" s="506"/>
    </row>
    <row r="310" spans="1:26" s="346" customFormat="1" ht="15" customHeight="1">
      <c r="U310" s="506"/>
      <c r="V310" s="506"/>
      <c r="W310" s="506"/>
      <c r="X310" s="506"/>
      <c r="Y310" s="506"/>
      <c r="Z310" s="506"/>
    </row>
    <row r="311" spans="1:26" s="346" customFormat="1" ht="15" customHeight="1">
      <c r="U311" s="506"/>
      <c r="V311" s="506"/>
      <c r="W311" s="506"/>
      <c r="X311" s="506"/>
      <c r="Y311" s="506"/>
      <c r="Z311" s="506"/>
    </row>
    <row r="312" spans="1:26" ht="18" customHeight="1">
      <c r="A312" s="350"/>
      <c r="U312" s="506"/>
      <c r="V312" s="506"/>
      <c r="W312" s="506"/>
      <c r="X312" s="506"/>
      <c r="Y312" s="506"/>
      <c r="Z312" s="506"/>
    </row>
    <row r="313" spans="1:26" ht="18" customHeight="1">
      <c r="A313" s="350"/>
    </row>
    <row r="314" spans="1:26" ht="15" customHeight="1">
      <c r="A314" s="350"/>
    </row>
    <row r="315" spans="1:26" ht="15" customHeight="1">
      <c r="A315" s="350"/>
    </row>
    <row r="316" spans="1:26" ht="15" customHeight="1">
      <c r="A316" s="350"/>
    </row>
    <row r="317" spans="1:26" ht="15" customHeight="1">
      <c r="A317" s="350"/>
    </row>
    <row r="318" spans="1:26" ht="18" customHeight="1">
      <c r="A318" s="350"/>
    </row>
    <row r="319" spans="1:26" ht="15" customHeight="1">
      <c r="A319" s="350"/>
    </row>
    <row r="320" spans="1:26" ht="15" customHeight="1">
      <c r="A320" s="350"/>
    </row>
    <row r="321" spans="1:1" ht="15" customHeight="1">
      <c r="A321" s="350"/>
    </row>
    <row r="322" spans="1:1" ht="15" customHeight="1">
      <c r="A322" s="350"/>
    </row>
    <row r="323" spans="1:1" ht="15" customHeight="1">
      <c r="A323" s="350"/>
    </row>
    <row r="324" spans="1:1" ht="15" customHeight="1">
      <c r="A324" s="350"/>
    </row>
    <row r="325" spans="1:1" ht="15" customHeight="1"/>
    <row r="326" spans="1:1" ht="15" customHeight="1"/>
    <row r="327" spans="1:1" ht="15" customHeight="1"/>
    <row r="328" spans="1:1" ht="15" customHeight="1"/>
    <row r="329" spans="1:1" ht="15" customHeight="1"/>
    <row r="330" spans="1:1" ht="15" customHeight="1"/>
    <row r="331" spans="1:1" ht="15" customHeight="1"/>
    <row r="332" spans="1:1" ht="15" customHeight="1"/>
    <row r="333" spans="1:1" ht="15" customHeight="1"/>
  </sheetData>
  <sheetProtection sheet="1" objects="1" scenarios="1" selectLockedCells="1"/>
  <mergeCells count="29">
    <mergeCell ref="C72:G72"/>
    <mergeCell ref="AO113:AV118"/>
    <mergeCell ref="AH127:AI127"/>
    <mergeCell ref="AK127:AL127"/>
    <mergeCell ref="D59:G59"/>
    <mergeCell ref="I59:J59"/>
    <mergeCell ref="C60:C61"/>
    <mergeCell ref="I61:J61"/>
    <mergeCell ref="M63:M64"/>
    <mergeCell ref="M69:M70"/>
    <mergeCell ref="D50:O53"/>
    <mergeCell ref="I55:J55"/>
    <mergeCell ref="I56:J56"/>
    <mergeCell ref="B57:B58"/>
    <mergeCell ref="D57:J57"/>
    <mergeCell ref="I58:J58"/>
    <mergeCell ref="C43:D43"/>
    <mergeCell ref="M43:M45"/>
    <mergeCell ref="I12:K12"/>
    <mergeCell ref="I14:K14"/>
    <mergeCell ref="D17:O20"/>
    <mergeCell ref="C23:D23"/>
    <mergeCell ref="C26:I26"/>
    <mergeCell ref="C27:I27"/>
    <mergeCell ref="C28:I28"/>
    <mergeCell ref="L29:M31"/>
    <mergeCell ref="D34:O37"/>
    <mergeCell ref="C39:D39"/>
    <mergeCell ref="M40:M42"/>
  </mergeCells>
  <conditionalFormatting sqref="F43 F23">
    <cfRule type="expression" dxfId="65" priority="22">
      <formula xml:space="preserve"> MOD(ROUND(G23 * 1000000, 0), 10) = 1</formula>
    </cfRule>
  </conditionalFormatting>
  <conditionalFormatting sqref="G23:H25 K56:K61">
    <cfRule type="expression" dxfId="64" priority="21">
      <formula xml:space="preserve"> MOD(ROUND(G23 * 1000000, 0), 10) = 1</formula>
    </cfRule>
  </conditionalFormatting>
  <conditionalFormatting sqref="G43">
    <cfRule type="expression" dxfId="63" priority="20">
      <formula xml:space="preserve"> MOD(ROUND(G43 * 1000000, 0), 10) = 1</formula>
    </cfRule>
  </conditionalFormatting>
  <conditionalFormatting sqref="G39">
    <cfRule type="expression" dxfId="62" priority="19">
      <formula xml:space="preserve"> MOD(ROUND(G39 * 1000000, 0), 10) = 1</formula>
    </cfRule>
  </conditionalFormatting>
  <conditionalFormatting sqref="K41">
    <cfRule type="expression" dxfId="61" priority="18">
      <formula xml:space="preserve"> MOD(ROUND(K41 * 1000000, 0), 10) = 1</formula>
    </cfRule>
  </conditionalFormatting>
  <conditionalFormatting sqref="K55">
    <cfRule type="expression" dxfId="60" priority="17">
      <formula xml:space="preserve"> MOD(ROUND(K55 * 1000000, 0), 10) = 1</formula>
    </cfRule>
  </conditionalFormatting>
  <conditionalFormatting sqref="I55:J55">
    <cfRule type="expression" dxfId="59" priority="16">
      <formula xml:space="preserve"> MOD(ROUND(K55 * 1000000, 0), 10) = 1</formula>
    </cfRule>
  </conditionalFormatting>
  <conditionalFormatting sqref="I56:J56">
    <cfRule type="expression" dxfId="58" priority="15">
      <formula xml:space="preserve"> MOD(ROUND(K56 * 1000000, 0), 10) = 1</formula>
    </cfRule>
  </conditionalFormatting>
  <conditionalFormatting sqref="I58:J58">
    <cfRule type="expression" dxfId="57" priority="14">
      <formula xml:space="preserve"> MOD(ROUND(K58 * 1000000, 0), 10) = 1</formula>
    </cfRule>
  </conditionalFormatting>
  <conditionalFormatting sqref="I59:J59">
    <cfRule type="expression" dxfId="56" priority="13">
      <formula xml:space="preserve"> MOD(ROUND(K59 * 1000000, 0), 10) = 1</formula>
    </cfRule>
  </conditionalFormatting>
  <conditionalFormatting sqref="I61:J61">
    <cfRule type="expression" dxfId="55" priority="12">
      <formula xml:space="preserve"> MOD(ROUND(K61 * 1000000, 0), 10) = 1</formula>
    </cfRule>
  </conditionalFormatting>
  <conditionalFormatting sqref="AG149:AG156">
    <cfRule type="expression" dxfId="54" priority="23">
      <formula xml:space="preserve"> $AH$140 = AG149</formula>
    </cfRule>
  </conditionalFormatting>
  <conditionalFormatting sqref="AH149:AH156">
    <cfRule type="expression" dxfId="53" priority="24">
      <formula xml:space="preserve"> $AH$141 = AH149</formula>
    </cfRule>
  </conditionalFormatting>
  <conditionalFormatting sqref="F24">
    <cfRule type="expression" dxfId="52" priority="11">
      <formula xml:space="preserve"> MOD(ROUND(G24 * 1000000, 0), 10) = 1</formula>
    </cfRule>
  </conditionalFormatting>
  <conditionalFormatting sqref="F39">
    <cfRule type="expression" dxfId="51" priority="25">
      <formula>$AI$146</formula>
    </cfRule>
    <cfRule type="expression" dxfId="50" priority="26">
      <formula xml:space="preserve"> MOD(ROUND(G39 * 1000000, 0), 10) = 1</formula>
    </cfRule>
  </conditionalFormatting>
  <conditionalFormatting sqref="G40">
    <cfRule type="expression" dxfId="49" priority="28">
      <formula xml:space="preserve"> MOD(ROUND(G40 * 1000000, 0), 10) = 1</formula>
    </cfRule>
  </conditionalFormatting>
  <conditionalFormatting sqref="C40:G40">
    <cfRule type="expression" dxfId="48" priority="27">
      <formula xml:space="preserve"> NOT(is_liquid)</formula>
    </cfRule>
  </conditionalFormatting>
  <conditionalFormatting sqref="AI149:AI156">
    <cfRule type="expression" dxfId="47" priority="29">
      <formula xml:space="preserve"> $AH$140 = AG149</formula>
    </cfRule>
  </conditionalFormatting>
  <conditionalFormatting sqref="AJ149:AJ156">
    <cfRule type="expression" dxfId="46" priority="30">
      <formula xml:space="preserve"> $AH$141 = AH149</formula>
    </cfRule>
  </conditionalFormatting>
  <conditionalFormatting sqref="D60:D61 K60:K61">
    <cfRule type="expression" dxfId="45" priority="10">
      <formula xml:space="preserve"> $F$226 &gt; 0</formula>
    </cfRule>
  </conditionalFormatting>
  <conditionalFormatting sqref="F12">
    <cfRule type="expression" dxfId="44" priority="9">
      <formula xml:space="preserve"> ISNUMBER(SEARCH("example", F12))</formula>
    </cfRule>
  </conditionalFormatting>
  <conditionalFormatting sqref="G41">
    <cfRule type="expression" dxfId="43" priority="8">
      <formula xml:space="preserve"> NOT(ISNUMBER(G41))</formula>
    </cfRule>
  </conditionalFormatting>
  <conditionalFormatting sqref="I23:I24">
    <cfRule type="expression" dxfId="42" priority="31">
      <formula xml:space="preserve"> NOT($U$12)</formula>
    </cfRule>
  </conditionalFormatting>
  <conditionalFormatting sqref="M23:M24 L29 M43 M40 M63 M69">
    <cfRule type="expression" dxfId="41" priority="32">
      <formula xml:space="preserve"> NOT($U$12)</formula>
    </cfRule>
  </conditionalFormatting>
  <conditionalFormatting sqref="K46:M46">
    <cfRule type="expression" dxfId="40" priority="33">
      <formula xml:space="preserve"> NOT(IFERROR(FIND($AP$145, $D$46, 1), 0))</formula>
    </cfRule>
  </conditionalFormatting>
  <conditionalFormatting sqref="D69">
    <cfRule type="expression" dxfId="39" priority="7">
      <formula xml:space="preserve"> NOT(is_liquid)</formula>
    </cfRule>
  </conditionalFormatting>
  <conditionalFormatting sqref="G68">
    <cfRule type="expression" dxfId="38" priority="6">
      <formula xml:space="preserve"> MOD(ROUND($G$68 * 1000000, 0), 10) = 1</formula>
    </cfRule>
  </conditionalFormatting>
  <conditionalFormatting sqref="G69">
    <cfRule type="expression" dxfId="37" priority="5">
      <formula xml:space="preserve"> MOD(ROUND($G$69 * 1000000, 0), 10) = 1</formula>
    </cfRule>
  </conditionalFormatting>
  <conditionalFormatting sqref="O41">
    <cfRule type="expression" dxfId="36" priority="4">
      <formula xml:space="preserve"> NOT($U$12)</formula>
    </cfRule>
  </conditionalFormatting>
  <conditionalFormatting sqref="F25">
    <cfRule type="expression" dxfId="35" priority="3">
      <formula xml:space="preserve"> $F$25 &lt;&gt; ""</formula>
    </cfRule>
  </conditionalFormatting>
  <conditionalFormatting sqref="I41:I42">
    <cfRule type="expression" dxfId="34" priority="2">
      <formula xml:space="preserve"> AND($G$42, $K$42)</formula>
    </cfRule>
  </conditionalFormatting>
  <conditionalFormatting sqref="I62 I64">
    <cfRule type="expression" dxfId="33" priority="1">
      <formula xml:space="preserve"> AND($G$64 &gt; 0, $K$64 &gt; 0)</formula>
    </cfRule>
  </conditionalFormatting>
  <dataValidations count="12">
    <dataValidation type="list" allowBlank="1" showInputMessage="1" showErrorMessage="1" sqref="M12">
      <formula1>$U$9:$U$10</formula1>
    </dataValidation>
    <dataValidation allowBlank="1" showInputMessage="1" showErrorMessage="1" errorTitle="Invalit timeframe" error="Please select one of the timeframes offered in the list box." sqref="M48"/>
    <dataValidation type="list" allowBlank="1" showErrorMessage="1" errorTitle="Invalid measuring unit" error="Please select one of the measuring units offered in the list box." promptTitle="Select the measuring unit" prompt="by clicking on the down arrow on the right side border of the cell" sqref="F23:F24">
      <formula1>$V$123:$V$131</formula1>
    </dataValidation>
    <dataValidation type="list" allowBlank="1" showInputMessage="1" showErrorMessage="1" errorTitle="Invalid measuring unit" error="Please select one of the measuring units offered in the list box." sqref="F39">
      <formula1>$AH$149:$AH$156</formula1>
    </dataValidation>
    <dataValidation type="list" allowBlank="1" showErrorMessage="1" errorTitle="Invalid measuring unit" error="Please select one of the measuring units offered in the list box." promptTitle="Select the measuring unit" prompt="by clicking on the down arrow on the right side border of the cell" sqref="F43">
      <formula1>$AG$149:$AG$156</formula1>
    </dataValidation>
    <dataValidation type="list" allowBlank="1" showInputMessage="1" showErrorMessage="1" errorTitle="Invalit timeframe" error="Please select one of the timeframes offered in the list box." sqref="M46">
      <formula1>$AO$141:$AO$144</formula1>
    </dataValidation>
    <dataValidation type="list" allowBlank="1" showInputMessage="1" showErrorMessage="1" sqref="I59:J59">
      <formula1>$I$225:$I$226</formula1>
    </dataValidation>
    <dataValidation type="list" allowBlank="1" showInputMessage="1" showErrorMessage="1" sqref="I61:J61">
      <formula1>$I$218:$I$219</formula1>
    </dataValidation>
    <dataValidation type="list" allowBlank="1" showInputMessage="1" showErrorMessage="1" sqref="I55:J55 I58:J58">
      <formula1>$I$210:$I$212</formula1>
    </dataValidation>
    <dataValidation type="list" allowBlank="1" showInputMessage="1" showErrorMessage="1" sqref="I56:J56">
      <formula1>$I$215:$I$216</formula1>
    </dataValidation>
    <dataValidation type="custom" allowBlank="1" showInputMessage="1" showErrorMessage="1" sqref="C72:H72">
      <formula1>"&lt; 0 &gt; 0"</formula1>
    </dataValidation>
    <dataValidation allowBlank="1" showInputMessage="1" showErrorMessage="1" errorTitle="Invalid measuring unit" error="Please select one of the measuring units offered in the list box." sqref="F40"/>
  </dataValidations>
  <hyperlinks>
    <hyperlink ref="C266" r:id="rId1"/>
    <hyperlink ref="C268" r:id="rId2"/>
    <hyperlink ref="C270" r:id="rId3"/>
    <hyperlink ref="K243" r:id="rId4"/>
    <hyperlink ref="C72:F72" r:id="rId5" display="Source:  https://swissbiogas.com/ Resources - Download Area"/>
  </hyperlinks>
  <pageMargins left="0.39370078740157483" right="0.39370078740157483" top="0.39370078740157483" bottom="0.39370078740157483" header="0.31496062992125984" footer="0.31496062992125984"/>
  <pageSetup paperSize="9" scale="83" orientation="portrait" r:id="rId6"/>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text_translations!$C$8:$C$12</xm:f>
          </x14:formula1>
          <xm:sqref>M14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N333"/>
  <sheetViews>
    <sheetView showGridLines="0" topLeftCell="A5" zoomScaleNormal="100" workbookViewId="0">
      <selection activeCell="F12" sqref="F12"/>
    </sheetView>
  </sheetViews>
  <sheetFormatPr defaultRowHeight="15" outlineLevelRow="1"/>
  <cols>
    <col min="1" max="1" width="1.625" style="349" customWidth="1"/>
    <col min="2" max="2" width="2.125" style="350" customWidth="1"/>
    <col min="3" max="3" width="10.75" style="350" customWidth="1"/>
    <col min="4" max="4" width="16.25" style="350" customWidth="1"/>
    <col min="5" max="5" width="0.125" style="350" customWidth="1"/>
    <col min="6" max="6" width="26.75" style="350" customWidth="1"/>
    <col min="7" max="7" width="12.625" style="350" customWidth="1"/>
    <col min="8" max="8" width="0.125" style="350" customWidth="1"/>
    <col min="9" max="9" width="10.625" style="350" customWidth="1"/>
    <col min="10" max="10" width="0.875" style="350" customWidth="1"/>
    <col min="11" max="11" width="12.625" style="350" customWidth="1"/>
    <col min="12" max="12" width="0.125" style="350" customWidth="1"/>
    <col min="13" max="13" width="10.625" style="350" customWidth="1"/>
    <col min="14" max="14" width="0.875" style="350" customWidth="1"/>
    <col min="15" max="15" width="20.375" style="350" customWidth="1"/>
    <col min="16" max="16" width="13.375" style="350" customWidth="1"/>
    <col min="17" max="17" width="28.875" style="350" customWidth="1"/>
    <col min="18" max="18" width="15.75" style="350" customWidth="1"/>
    <col min="19" max="20" width="12.125" style="350" customWidth="1"/>
    <col min="21" max="22" width="12.125" style="354" hidden="1" customWidth="1"/>
    <col min="23" max="23" width="23" style="354" hidden="1" customWidth="1"/>
    <col min="24" max="24" width="11.375" style="354" hidden="1" customWidth="1"/>
    <col min="25" max="26" width="8.875" style="354" hidden="1" customWidth="1"/>
    <col min="27" max="31" width="12.625" style="350" hidden="1" customWidth="1"/>
    <col min="32" max="32" width="10.75" style="350" hidden="1" customWidth="1"/>
    <col min="33" max="33" width="24.875" style="350" hidden="1" customWidth="1"/>
    <col min="34" max="39" width="11.75" style="350" hidden="1" customWidth="1"/>
    <col min="40" max="40" width="11" style="350" hidden="1" customWidth="1"/>
    <col min="41" max="41" width="26.125" style="350" hidden="1" customWidth="1"/>
    <col min="42" max="43" width="10.875" style="350" hidden="1" customWidth="1"/>
    <col min="44" max="44" width="9" style="350" hidden="1" customWidth="1"/>
    <col min="45" max="45" width="21.25" style="350" hidden="1" customWidth="1"/>
    <col min="46" max="47" width="10.875" style="350" hidden="1" customWidth="1"/>
    <col min="48" max="48" width="3.25" style="350" hidden="1" customWidth="1"/>
    <col min="49" max="49" width="9" style="350" hidden="1" customWidth="1"/>
    <col min="50" max="50" width="14.625" style="350" customWidth="1"/>
    <col min="51" max="53" width="9" style="350" customWidth="1"/>
    <col min="54" max="54" width="10.625" style="350" customWidth="1"/>
    <col min="55" max="16384" width="9" style="350"/>
  </cols>
  <sheetData>
    <row r="1" spans="1:66" s="346" customFormat="1" hidden="1">
      <c r="A1" s="341"/>
      <c r="B1" s="342">
        <v>1.5</v>
      </c>
      <c r="C1" s="342">
        <v>10.130000000000001</v>
      </c>
      <c r="D1" s="342">
        <v>15.63</v>
      </c>
      <c r="E1" s="342">
        <v>0.08</v>
      </c>
      <c r="F1" s="342">
        <v>26.13</v>
      </c>
      <c r="G1" s="342">
        <v>12</v>
      </c>
      <c r="H1" s="342"/>
      <c r="I1" s="342">
        <v>10</v>
      </c>
      <c r="J1" s="342">
        <v>0.54</v>
      </c>
      <c r="K1" s="342">
        <v>12</v>
      </c>
      <c r="L1" s="342">
        <v>0.08</v>
      </c>
      <c r="M1" s="342">
        <v>10</v>
      </c>
      <c r="N1" s="343"/>
      <c r="O1" s="343"/>
      <c r="P1" s="343"/>
      <c r="Q1" s="344">
        <f>SUM(B1:P1)</f>
        <v>98.09</v>
      </c>
      <c r="R1" s="343"/>
      <c r="S1" s="343"/>
      <c r="T1" s="343"/>
      <c r="U1" s="345"/>
      <c r="V1" s="345"/>
      <c r="W1" s="345"/>
      <c r="X1" s="345"/>
      <c r="Y1" s="345"/>
      <c r="Z1" s="345"/>
      <c r="AA1" s="343"/>
      <c r="AB1" s="343"/>
      <c r="AC1" s="343"/>
      <c r="AD1" s="343"/>
      <c r="AE1" s="343"/>
      <c r="AF1" s="343"/>
      <c r="AG1" s="343"/>
      <c r="AH1" s="343"/>
      <c r="AI1" s="343"/>
      <c r="AJ1" s="343"/>
      <c r="AK1" s="343"/>
      <c r="AL1" s="343"/>
      <c r="AM1" s="343"/>
      <c r="AN1" s="343"/>
      <c r="AO1" s="343"/>
      <c r="AP1" s="343"/>
      <c r="AQ1" s="343"/>
      <c r="AR1" s="343"/>
      <c r="AS1" s="343"/>
      <c r="AT1" s="343"/>
      <c r="AU1" s="343"/>
      <c r="AV1" s="343"/>
      <c r="AW1" s="343"/>
    </row>
    <row r="2" spans="1:66" s="346" customFormat="1" hidden="1">
      <c r="A2" s="341"/>
      <c r="B2" s="343"/>
      <c r="C2" s="347">
        <f xml:space="preserve"> C1</f>
        <v>10.130000000000001</v>
      </c>
      <c r="D2" s="347">
        <f t="shared" ref="D2:N3" si="0" xml:space="preserve"> D1</f>
        <v>15.63</v>
      </c>
      <c r="E2" s="347">
        <f t="shared" si="0"/>
        <v>0.08</v>
      </c>
      <c r="F2" s="347">
        <f t="shared" si="0"/>
        <v>26.13</v>
      </c>
      <c r="G2" s="347">
        <f t="shared" si="0"/>
        <v>12</v>
      </c>
      <c r="H2" s="347"/>
      <c r="I2" s="347">
        <f t="shared" si="0"/>
        <v>10</v>
      </c>
      <c r="J2" s="347">
        <f t="shared" si="0"/>
        <v>0.54</v>
      </c>
      <c r="K2" s="347">
        <f t="shared" si="0"/>
        <v>12</v>
      </c>
      <c r="L2" s="347">
        <f t="shared" si="0"/>
        <v>0.08</v>
      </c>
      <c r="M2" s="347">
        <f t="shared" si="0"/>
        <v>10</v>
      </c>
      <c r="N2" s="347">
        <f t="shared" si="0"/>
        <v>0</v>
      </c>
      <c r="O2" s="347">
        <v>19.75</v>
      </c>
      <c r="P2" s="347">
        <v>12.75</v>
      </c>
      <c r="Q2" s="344">
        <f>SUM(B2:P2)</f>
        <v>129.09</v>
      </c>
      <c r="R2" s="343"/>
      <c r="S2" s="343"/>
      <c r="T2" s="343"/>
      <c r="U2" s="345"/>
      <c r="V2" s="345"/>
      <c r="W2" s="345"/>
      <c r="X2" s="345"/>
      <c r="Y2" s="345"/>
      <c r="Z2" s="345"/>
      <c r="AA2" s="343"/>
      <c r="AB2" s="343"/>
      <c r="AC2" s="343"/>
      <c r="AD2" s="343"/>
      <c r="AE2" s="343"/>
      <c r="AF2" s="343"/>
      <c r="AG2" s="343"/>
      <c r="AH2" s="343"/>
      <c r="AI2" s="343"/>
      <c r="AJ2" s="343"/>
      <c r="AK2" s="343"/>
      <c r="AL2" s="343"/>
      <c r="AM2" s="343"/>
      <c r="AN2" s="343"/>
      <c r="AO2" s="343"/>
      <c r="AP2" s="343"/>
      <c r="AQ2" s="343"/>
      <c r="AR2" s="343"/>
      <c r="AS2" s="343"/>
      <c r="AT2" s="343"/>
      <c r="AU2" s="343"/>
      <c r="AV2" s="343"/>
      <c r="AW2" s="343"/>
    </row>
    <row r="3" spans="1:66" s="346" customFormat="1" hidden="1">
      <c r="A3" s="341"/>
      <c r="B3" s="343"/>
      <c r="C3" s="343"/>
      <c r="D3" s="348">
        <f xml:space="preserve"> D2</f>
        <v>15.63</v>
      </c>
      <c r="E3" s="348">
        <f t="shared" si="0"/>
        <v>0.08</v>
      </c>
      <c r="F3" s="348">
        <f t="shared" si="0"/>
        <v>26.13</v>
      </c>
      <c r="G3" s="348">
        <f t="shared" si="0"/>
        <v>12</v>
      </c>
      <c r="H3" s="348"/>
      <c r="I3" s="348">
        <f t="shared" si="0"/>
        <v>10</v>
      </c>
      <c r="J3" s="348">
        <f t="shared" si="0"/>
        <v>0.54</v>
      </c>
      <c r="K3" s="348">
        <f t="shared" si="0"/>
        <v>12</v>
      </c>
      <c r="L3" s="348">
        <f t="shared" si="0"/>
        <v>0.08</v>
      </c>
      <c r="M3" s="348">
        <f t="shared" si="0"/>
        <v>10</v>
      </c>
      <c r="N3" s="348">
        <f t="shared" si="0"/>
        <v>0</v>
      </c>
      <c r="O3" s="348">
        <f xml:space="preserve"> O2</f>
        <v>19.75</v>
      </c>
      <c r="P3" s="343"/>
      <c r="Q3" s="344">
        <f>SUM(B3:P3)</f>
        <v>106.21000000000001</v>
      </c>
      <c r="R3" s="343"/>
      <c r="S3" s="343"/>
      <c r="T3" s="343"/>
      <c r="U3" s="345"/>
      <c r="V3" s="345"/>
      <c r="W3" s="345"/>
      <c r="X3" s="345"/>
      <c r="Y3" s="345"/>
      <c r="Z3" s="345"/>
      <c r="AA3" s="343"/>
      <c r="AB3" s="343"/>
      <c r="AC3" s="343"/>
      <c r="AD3" s="343"/>
      <c r="AE3" s="343"/>
      <c r="AF3" s="343"/>
      <c r="AG3" s="343"/>
      <c r="AH3" s="343"/>
      <c r="AI3" s="343"/>
      <c r="AJ3" s="343"/>
      <c r="AK3" s="343"/>
      <c r="AL3" s="343"/>
      <c r="AM3" s="343"/>
      <c r="AN3" s="343"/>
      <c r="AO3" s="343"/>
      <c r="AP3" s="343"/>
      <c r="AQ3" s="343"/>
      <c r="AR3" s="343"/>
      <c r="AS3" s="343"/>
      <c r="AT3" s="343"/>
      <c r="AU3" s="343"/>
      <c r="AV3" s="343"/>
      <c r="AW3" s="343"/>
    </row>
    <row r="4" spans="1:66" s="346" customFormat="1" hidden="1">
      <c r="A4" s="341"/>
      <c r="B4" s="343"/>
      <c r="C4" s="343"/>
      <c r="D4" s="343"/>
      <c r="E4" s="343"/>
      <c r="F4" s="343"/>
      <c r="G4" s="343"/>
      <c r="H4" s="343"/>
      <c r="I4" s="343"/>
      <c r="J4" s="343"/>
      <c r="K4" s="343"/>
      <c r="L4" s="343"/>
      <c r="M4" s="343"/>
      <c r="N4" s="343"/>
      <c r="O4" s="343"/>
      <c r="P4" s="343"/>
      <c r="Q4" s="344"/>
      <c r="R4" s="343"/>
      <c r="S4" s="343"/>
      <c r="T4" s="343"/>
      <c r="U4" s="345"/>
      <c r="V4" s="345"/>
      <c r="W4" s="345"/>
      <c r="X4" s="345"/>
      <c r="Y4" s="345"/>
      <c r="Z4" s="345"/>
      <c r="AA4" s="343"/>
      <c r="AB4" s="343"/>
      <c r="AC4" s="343"/>
      <c r="AD4" s="343"/>
      <c r="AE4" s="343"/>
      <c r="AF4" s="343"/>
      <c r="AG4" s="343"/>
      <c r="AH4" s="343"/>
      <c r="AI4" s="343"/>
      <c r="AJ4" s="343"/>
      <c r="AK4" s="343"/>
      <c r="AL4" s="343"/>
      <c r="AM4" s="343"/>
      <c r="AN4" s="343"/>
      <c r="AO4" s="343"/>
      <c r="AP4" s="343"/>
      <c r="AQ4" s="343"/>
      <c r="AR4" s="343"/>
      <c r="AS4" s="343"/>
      <c r="AT4" s="343"/>
      <c r="AU4" s="343"/>
      <c r="AV4" s="343"/>
      <c r="AW4" s="343"/>
    </row>
    <row r="5" spans="1:66" s="508" customFormat="1">
      <c r="A5" s="507"/>
      <c r="B5" s="512"/>
      <c r="U5" s="509"/>
      <c r="V5" s="509"/>
      <c r="W5" s="509"/>
      <c r="X5" s="509"/>
      <c r="Y5" s="509"/>
      <c r="Z5" s="509"/>
      <c r="AA5" s="510"/>
      <c r="AB5" s="510"/>
      <c r="AC5" s="510"/>
      <c r="AD5" s="510"/>
      <c r="AE5" s="510"/>
      <c r="AF5" s="510"/>
      <c r="AG5" s="510"/>
      <c r="AH5" s="510"/>
      <c r="AI5" s="510"/>
      <c r="AJ5" s="510"/>
      <c r="AK5" s="510"/>
      <c r="AL5" s="510"/>
      <c r="AM5" s="510"/>
      <c r="AN5" s="510"/>
      <c r="AO5" s="510"/>
      <c r="AP5" s="510"/>
      <c r="AQ5" s="510"/>
      <c r="AR5" s="510"/>
      <c r="AS5" s="510"/>
      <c r="AT5" s="510"/>
      <c r="AU5" s="510"/>
      <c r="AV5" s="510"/>
      <c r="AW5" s="510"/>
      <c r="AX5" s="511"/>
      <c r="AY5" s="511"/>
      <c r="AZ5" s="511"/>
      <c r="BA5" s="511"/>
      <c r="BB5" s="511"/>
      <c r="BC5" s="511"/>
      <c r="BD5" s="511"/>
      <c r="BE5" s="511"/>
      <c r="BF5" s="511"/>
      <c r="BG5" s="511"/>
      <c r="BH5" s="511"/>
      <c r="BI5" s="511"/>
      <c r="BJ5" s="511"/>
      <c r="BK5" s="511"/>
      <c r="BL5" s="511"/>
      <c r="BM5" s="511"/>
      <c r="BN5" s="511"/>
    </row>
    <row r="6" spans="1:66" ht="18.75">
      <c r="B6" s="16" t="str">
        <f ca="1" xml:space="preserve"> "Reactive Iron Ion Content (RIIC) Calculator: Additive dosage comparison and additive dosage calculation " &amp; M16</f>
        <v>Reactive Iron Ion Content (RIIC) Calculator: Additive dosage comparison and additive dosage calculation - Standard, v2.13 -</v>
      </c>
      <c r="U6" s="351"/>
      <c r="V6" s="351"/>
      <c r="W6" s="351"/>
      <c r="X6" s="351"/>
      <c r="Y6" s="351"/>
      <c r="Z6" s="351"/>
      <c r="AA6" s="352"/>
      <c r="AB6" s="352"/>
      <c r="AC6" s="352"/>
      <c r="AD6" s="352"/>
      <c r="AE6" s="352"/>
      <c r="AF6" s="352"/>
      <c r="AG6" s="352"/>
      <c r="AH6" s="352"/>
      <c r="AI6" s="352"/>
      <c r="AJ6" s="352"/>
      <c r="AK6" s="352"/>
      <c r="AL6" s="352"/>
      <c r="AM6" s="352"/>
      <c r="AN6" s="352"/>
      <c r="AO6" s="352"/>
      <c r="AP6" s="352"/>
      <c r="AQ6" s="352"/>
      <c r="AR6" s="352"/>
      <c r="AS6" s="352"/>
      <c r="AT6" s="352"/>
      <c r="AU6" s="352"/>
      <c r="AV6" s="352"/>
      <c r="AW6" s="352"/>
      <c r="AX6" s="353"/>
      <c r="AY6" s="353"/>
      <c r="AZ6" s="353"/>
      <c r="BA6" s="353"/>
      <c r="BB6" s="353"/>
      <c r="BC6" s="353"/>
      <c r="BD6" s="353"/>
      <c r="BE6" s="353"/>
      <c r="BF6" s="353"/>
      <c r="BG6" s="353"/>
      <c r="BH6" s="353"/>
      <c r="BI6" s="353"/>
      <c r="BJ6" s="353"/>
      <c r="BK6" s="353"/>
      <c r="BL6" s="353"/>
      <c r="BM6" s="353"/>
      <c r="BN6" s="353"/>
    </row>
    <row r="7" spans="1:66" ht="15" customHeight="1">
      <c r="B7" s="9" t="str">
        <f xml:space="preserve"> IF(basis!C7, "", "*** This version is not authorised by SwissBiogas.com ***")</f>
        <v/>
      </c>
      <c r="M7" s="694"/>
      <c r="T7" s="353"/>
      <c r="AX7" s="353"/>
      <c r="AY7" s="353"/>
      <c r="AZ7" s="353"/>
      <c r="BA7" s="353"/>
      <c r="BB7" s="353"/>
      <c r="BC7" s="353"/>
      <c r="BD7" s="353"/>
      <c r="BE7" s="353"/>
      <c r="BF7" s="353"/>
      <c r="BG7" s="353"/>
      <c r="BH7" s="353"/>
      <c r="BI7" s="353"/>
      <c r="BJ7" s="353"/>
      <c r="BK7" s="353"/>
      <c r="BL7" s="353"/>
      <c r="BM7" s="353"/>
      <c r="BN7" s="353"/>
    </row>
    <row r="8" spans="1:66" ht="15" customHeight="1">
      <c r="A8" s="355"/>
      <c r="B8" s="574" t="str">
        <f ca="1" xml:space="preserve"> IF(ISNUMBER(SEARCH("basic", CELL("filename", A1))), AF24, AF23)</f>
        <v>Input and output are designed for experienced users who don't need the basic explanations. To perform calculations easily and quickly without fine adjustments, please use the sheet "RIIC Calculator Basic".</v>
      </c>
      <c r="U8" s="528" t="s">
        <v>496</v>
      </c>
      <c r="V8" s="350"/>
      <c r="W8" s="25" t="s">
        <v>448</v>
      </c>
    </row>
    <row r="9" spans="1:66" ht="15" customHeight="1">
      <c r="A9" s="355"/>
      <c r="B9" s="356"/>
      <c r="C9" s="356"/>
      <c r="D9" s="356"/>
      <c r="E9" s="356"/>
      <c r="F9" s="356"/>
      <c r="G9" s="356"/>
      <c r="H9" s="356"/>
      <c r="I9" s="356"/>
      <c r="J9" s="356"/>
      <c r="K9" s="356"/>
      <c r="L9" s="356"/>
      <c r="M9" s="356"/>
      <c r="N9" s="356"/>
      <c r="O9" s="356"/>
      <c r="P9" s="356"/>
      <c r="Q9" s="356"/>
      <c r="R9" s="356"/>
      <c r="S9" s="356"/>
      <c r="T9" s="356"/>
      <c r="U9" s="530" t="s">
        <v>508</v>
      </c>
      <c r="V9" s="350"/>
      <c r="W9" s="361" t="s">
        <v>449</v>
      </c>
    </row>
    <row r="10" spans="1:66" ht="15" customHeight="1">
      <c r="A10" s="354"/>
      <c r="B10" s="27" t="str">
        <f xml:space="preserve"> IF(OR(MOD(ROUND(G23 * 1000000, 0), 10) = 1, MOD(ROUND(K41 * 1000000, 0), 10) = 1, MOD(ROUND(K61 * 1000000, 0), 10) = 1), "All example entries are in italic blue. Delete or replace with your own selections and values.", "")</f>
        <v>All example entries are in italic blue. Delete or replace with your own selections and values.</v>
      </c>
      <c r="T10" s="353"/>
      <c r="U10" s="530" t="s">
        <v>509</v>
      </c>
      <c r="V10" s="350"/>
      <c r="W10" s="25" t="s">
        <v>452</v>
      </c>
      <c r="AY10" s="26"/>
      <c r="AZ10" s="26"/>
      <c r="BA10" s="26"/>
      <c r="BB10" s="26"/>
    </row>
    <row r="11" spans="1:66" ht="15" customHeight="1" outlineLevel="1">
      <c r="A11" s="350"/>
      <c r="U11" s="529" t="s">
        <v>497</v>
      </c>
      <c r="W11" s="361" t="s">
        <v>453</v>
      </c>
      <c r="AD11" s="354" t="s">
        <v>450</v>
      </c>
      <c r="AE11" s="354"/>
      <c r="AF11" s="354"/>
      <c r="AG11" s="354"/>
    </row>
    <row r="12" spans="1:66" ht="15" customHeight="1" outlineLevel="1">
      <c r="A12" s="350"/>
      <c r="C12" s="289" t="s">
        <v>511</v>
      </c>
      <c r="D12" s="299"/>
      <c r="E12" s="321" t="s">
        <v>435</v>
      </c>
      <c r="F12" s="741"/>
      <c r="I12" s="755" t="s">
        <v>515</v>
      </c>
      <c r="J12" s="755"/>
      <c r="K12" s="756"/>
      <c r="L12" s="585" t="s">
        <v>517</v>
      </c>
      <c r="M12" s="579"/>
      <c r="T12" s="353"/>
      <c r="U12" s="430" t="b">
        <f xml:space="preserve"> IF(M12 = U9, TRUE, FALSE)</f>
        <v>0</v>
      </c>
      <c r="W12" s="25" t="s">
        <v>462</v>
      </c>
      <c r="AD12" s="350" t="s">
        <v>428</v>
      </c>
      <c r="AG12" s="354"/>
      <c r="AY12" s="26"/>
      <c r="AZ12" s="26"/>
      <c r="BA12" s="26"/>
      <c r="BB12" s="26"/>
    </row>
    <row r="13" spans="1:66" ht="15" customHeight="1">
      <c r="A13" s="26"/>
      <c r="B13" s="26"/>
      <c r="C13" s="26"/>
      <c r="W13" s="365" t="s">
        <v>451</v>
      </c>
      <c r="X13" s="263" t="str">
        <f ca="1" xml:space="preserve"> IF(CELL("col", A1) = 0, "", "")</f>
        <v/>
      </c>
      <c r="Y13" s="354" t="s">
        <v>466</v>
      </c>
      <c r="AD13" s="354"/>
      <c r="AE13" s="354"/>
      <c r="AF13" s="354"/>
      <c r="AG13" s="354"/>
    </row>
    <row r="14" spans="1:66" ht="15" hidden="1" customHeight="1" outlineLevel="1">
      <c r="A14" s="350"/>
      <c r="I14" s="757" t="s">
        <v>516</v>
      </c>
      <c r="J14" s="757"/>
      <c r="K14" s="758"/>
      <c r="L14" s="586" t="s">
        <v>518</v>
      </c>
      <c r="M14" s="583"/>
      <c r="N14" s="354"/>
      <c r="O14" s="340"/>
      <c r="T14" s="353"/>
      <c r="W14" s="366" t="s">
        <v>465</v>
      </c>
      <c r="X14" s="329" t="str">
        <f ca="1" xml:space="preserve"> update_trigger &amp; FIXED(1000 + 1 / 2)</f>
        <v>1,000.50</v>
      </c>
      <c r="AD14" s="25" t="s">
        <v>433</v>
      </c>
      <c r="AE14" s="354"/>
      <c r="AF14" s="354"/>
      <c r="AG14" s="354"/>
      <c r="AY14" s="26"/>
      <c r="AZ14" s="26"/>
      <c r="BA14" s="26"/>
      <c r="BB14" s="26"/>
    </row>
    <row r="15" spans="1:66" ht="15" hidden="1" customHeight="1" outlineLevel="1">
      <c r="A15" s="350"/>
      <c r="M15" s="26"/>
      <c r="N15" s="26"/>
      <c r="O15" s="26"/>
      <c r="P15" s="26"/>
      <c r="W15" s="366" t="s">
        <v>463</v>
      </c>
      <c r="X15" s="329" t="str">
        <f ca="1" xml:space="preserve"> MID(X14, 2, 1)</f>
        <v>,</v>
      </c>
      <c r="AD15" s="570" t="s">
        <v>429</v>
      </c>
      <c r="AE15" s="569"/>
      <c r="AF15" s="569"/>
      <c r="AG15" s="354"/>
    </row>
    <row r="16" spans="1:66" ht="15" customHeight="1" collapsed="1">
      <c r="B16" s="25" t="s">
        <v>48</v>
      </c>
      <c r="C16" s="25" t="str">
        <f ca="1" xml:space="preserve"> "Evaluation of your additive's Reactive Iron Ion Content (RIIC)" &amp; IF(ISNUMBER(SEARCH("basic", CELL("filename", A1))), "", " and its H₂S reduction rate")</f>
        <v>Evaluation of your additive's Reactive Iron Ion Content (RIIC) and its H₂S reduction rate</v>
      </c>
      <c r="D16" s="354"/>
      <c r="E16" s="354"/>
      <c r="F16" s="354"/>
      <c r="G16" s="354"/>
      <c r="H16" s="354"/>
      <c r="I16" s="354"/>
      <c r="J16" s="362"/>
      <c r="M16" s="711" t="str">
        <f ca="1" xml:space="preserve"> "- " &amp; IF(ISNUMBER(SEARCH("light", CELL("filename", A1))), "Light", IF(ISNUMBER(SEARCH("basic", CELL("filename", A1))), "Basic", "Standard")) &amp; ", " &amp;
MID(CELL("filename", C2), FIND("_v", CELL("filename", C2)) + 1, IFERROR(FIND(".ods", CELL("filename", C2)), FIND(".xls", CELL("filename", C2))) - FIND("_v", CELL("filename", C2)) - 1) &amp; " -"</f>
        <v>- Standard, v2.13 -</v>
      </c>
      <c r="N16" s="354"/>
      <c r="W16" s="367" t="s">
        <v>464</v>
      </c>
      <c r="X16" s="329" t="str">
        <f ca="1" xml:space="preserve"> MID(X14, 6, 1)</f>
        <v>.</v>
      </c>
      <c r="Z16" s="350"/>
      <c r="AD16" s="570" t="s">
        <v>430</v>
      </c>
      <c r="AE16" s="569"/>
      <c r="AF16" s="569"/>
      <c r="AG16" s="354"/>
    </row>
    <row r="17" spans="1:34" ht="15" hidden="1" customHeight="1" outlineLevel="1">
      <c r="B17" s="25"/>
      <c r="C17" s="572" t="str">
        <f xml:space="preserve"> IF(M14 = text_translations!C8, text_translations!D8, IF(M14 = text_translations!C9, text_translations!D9, IF(M14 = text_translations!C10, text_translations!D10, IF(M14 = text_translations!C11, text_translations!D11, IF(M14 = text_translations!C12, text_translations!D12, text_translations!D8)))))</f>
        <v>Explanation:</v>
      </c>
      <c r="D17" s="759" t="str">
        <f xml:space="preserve"> IF(M14 = text_translations!C8, text_translations!D81, IF(M14 = text_translations!C9, text_translations!D96, IF(M14 = text_translations!C10, text_translations!D111, IF(M14 = text_translations!C11, text_translations!D126, IF(M14 = text_translations!C12, text_translations!D141, text_translations!D81)))))</f>
        <v>The entries in this section form the basis for the comparisons and calculations in sections B and C.
The following information is required: What are the iron-based compounds in your additive and what is their content.
If you know the moisture content of your additive, enter this too. If your additive is liquid, then the moisture content is 0 (zero).</v>
      </c>
      <c r="E17" s="759"/>
      <c r="F17" s="759"/>
      <c r="G17" s="759"/>
      <c r="H17" s="759"/>
      <c r="I17" s="759"/>
      <c r="J17" s="759"/>
      <c r="K17" s="759"/>
      <c r="L17" s="759"/>
      <c r="M17" s="759"/>
      <c r="N17" s="759"/>
      <c r="O17" s="759"/>
      <c r="W17" s="261" t="s">
        <v>454</v>
      </c>
      <c r="X17" s="368" t="str">
        <f ca="1" xml:space="preserve"> "#" &amp; X15 &amp; "##0"</f>
        <v>#,##0</v>
      </c>
      <c r="Z17" s="350"/>
      <c r="AD17" s="570" t="s">
        <v>431</v>
      </c>
      <c r="AE17" s="569"/>
      <c r="AF17" s="569"/>
    </row>
    <row r="18" spans="1:34" ht="15" hidden="1" customHeight="1" outlineLevel="1">
      <c r="B18" s="25"/>
      <c r="C18" s="363"/>
      <c r="D18" s="759"/>
      <c r="E18" s="759"/>
      <c r="F18" s="759"/>
      <c r="G18" s="759"/>
      <c r="H18" s="759"/>
      <c r="I18" s="759"/>
      <c r="J18" s="759"/>
      <c r="K18" s="759"/>
      <c r="L18" s="759"/>
      <c r="M18" s="759"/>
      <c r="N18" s="759"/>
      <c r="O18" s="759"/>
      <c r="W18" s="261" t="s">
        <v>455</v>
      </c>
      <c r="X18" s="368" t="str">
        <f ca="1" xml:space="preserve"> fmt_dec_0 &amp; X16 &amp; "0"</f>
        <v>#,##0.0</v>
      </c>
      <c r="Y18" s="350"/>
      <c r="Z18" s="350"/>
      <c r="AD18" s="369" t="s">
        <v>437</v>
      </c>
      <c r="AE18" s="354"/>
      <c r="AF18" s="354"/>
    </row>
    <row r="19" spans="1:34" ht="15" hidden="1" customHeight="1" outlineLevel="1">
      <c r="B19" s="25"/>
      <c r="C19" s="364"/>
      <c r="D19" s="759"/>
      <c r="E19" s="759"/>
      <c r="F19" s="759"/>
      <c r="G19" s="759"/>
      <c r="H19" s="759"/>
      <c r="I19" s="759"/>
      <c r="J19" s="759"/>
      <c r="K19" s="759"/>
      <c r="L19" s="759"/>
      <c r="M19" s="759"/>
      <c r="N19" s="759"/>
      <c r="O19" s="759"/>
      <c r="W19" s="261" t="s">
        <v>456</v>
      </c>
      <c r="X19" s="368" t="str">
        <f ca="1" xml:space="preserve"> fmt_dec_1 &amp; "0"</f>
        <v>#,##0.00</v>
      </c>
      <c r="Y19" s="350"/>
      <c r="Z19" s="350"/>
      <c r="AD19" s="369" t="s">
        <v>434</v>
      </c>
    </row>
    <row r="20" spans="1:34" ht="15" hidden="1" customHeight="1" outlineLevel="1">
      <c r="B20" s="25"/>
      <c r="C20" s="364"/>
      <c r="D20" s="759"/>
      <c r="E20" s="759"/>
      <c r="F20" s="759"/>
      <c r="G20" s="759"/>
      <c r="H20" s="759"/>
      <c r="I20" s="759"/>
      <c r="J20" s="759"/>
      <c r="K20" s="759"/>
      <c r="L20" s="759"/>
      <c r="M20" s="759"/>
      <c r="N20" s="759"/>
      <c r="O20" s="759"/>
      <c r="U20" s="350"/>
      <c r="W20" s="261" t="s">
        <v>457</v>
      </c>
      <c r="X20" s="368" t="str">
        <f ca="1" xml:space="preserve"> fmt_dec_2 &amp; "0"</f>
        <v>#,##0.000</v>
      </c>
      <c r="Y20" s="350"/>
      <c r="Z20" s="350"/>
    </row>
    <row r="21" spans="1:34" ht="15" customHeight="1" collapsed="1">
      <c r="B21" s="362"/>
      <c r="G21" s="20" t="str">
        <f xml:space="preserve"> IFERROR(IF(TRIM(F12) = "", TRIM(E12), IF(F12 = "***", "", F12)), TRIM(E12))</f>
        <v>Your_Additive</v>
      </c>
      <c r="H21" s="20"/>
      <c r="I21" s="20"/>
      <c r="J21" s="362"/>
      <c r="K21" s="714" t="str">
        <f xml:space="preserve"> AB118</f>
        <v>SBGx by SwissBiogas.com</v>
      </c>
      <c r="L21" s="715"/>
      <c r="M21" s="716"/>
      <c r="N21" s="362"/>
      <c r="Q21" s="362"/>
      <c r="R21" s="362"/>
      <c r="S21" s="362"/>
      <c r="U21" s="350"/>
      <c r="V21" s="350"/>
      <c r="W21" s="261" t="s">
        <v>458</v>
      </c>
      <c r="X21" s="368" t="str">
        <f ca="1" xml:space="preserve"> fmt_dec_3 &amp; "0"</f>
        <v>#,##0.0000</v>
      </c>
      <c r="Y21" s="350"/>
      <c r="Z21" s="350"/>
    </row>
    <row r="22" spans="1:34" ht="15" customHeight="1">
      <c r="A22" s="370"/>
      <c r="C22" s="541" t="str">
        <f xml:space="preserve"> G21 &amp; "'s precipitant(s) / iron compound(s)"</f>
        <v>Your_Additive's precipitant(s) / iron compound(s)</v>
      </c>
      <c r="D22" s="542"/>
      <c r="E22" s="542"/>
      <c r="F22" s="543"/>
      <c r="G22" s="544" t="s">
        <v>397</v>
      </c>
      <c r="H22" s="608"/>
      <c r="I22" s="612" t="s">
        <v>21</v>
      </c>
      <c r="J22" s="256"/>
      <c r="K22" s="717" t="s">
        <v>397</v>
      </c>
      <c r="L22" s="717"/>
      <c r="M22" s="718" t="s">
        <v>21</v>
      </c>
      <c r="N22" s="21"/>
      <c r="Q22" s="371"/>
      <c r="U22" s="350"/>
      <c r="V22" s="350"/>
      <c r="W22" s="261" t="s">
        <v>553</v>
      </c>
      <c r="X22" s="368" t="str">
        <f ca="1" xml:space="preserve"> fmt_dec_4 &amp; "0"</f>
        <v>#,##0.00000</v>
      </c>
      <c r="Y22" s="350"/>
      <c r="Z22" s="350"/>
    </row>
    <row r="23" spans="1:34" ht="15" customHeight="1">
      <c r="C23" s="750" t="str">
        <f xml:space="preserve"> IFERROR(VLOOKUP(F23, V123:Z131, 2, FALSE), "Precipitant") &amp; " ⓘ"</f>
        <v>Iron(III) oxide-hydroxide ⓘ</v>
      </c>
      <c r="D23" s="751"/>
      <c r="E23" s="633" t="s">
        <v>579</v>
      </c>
      <c r="F23" s="580" t="s">
        <v>15</v>
      </c>
      <c r="G23" s="372">
        <v>52.505960999999999</v>
      </c>
      <c r="H23" s="618"/>
      <c r="I23" s="297">
        <f xml:space="preserve"> IFERROR(VLOOKUP(F23, V123:Z131, 5, FALSE), 0)</f>
        <v>33.000990099293496</v>
      </c>
      <c r="J23" s="362"/>
      <c r="K23" s="719" t="str">
        <f ca="1" xml:space="preserve"> update_trigger &amp; basis!B8 &amp; ":       " &amp; TEXT(basis!B22 * IFERROR((1 - K28 / 100), 1), fmt_dec_2)</f>
        <v>FeO:       41.82</v>
      </c>
      <c r="L23" s="720"/>
      <c r="M23" s="721">
        <f xml:space="preserve"> SUM(AD123:AE123)</f>
        <v>32.506888497920507</v>
      </c>
      <c r="N23" s="15"/>
      <c r="U23" s="350"/>
      <c r="V23" s="350"/>
      <c r="W23" s="261" t="s">
        <v>459</v>
      </c>
      <c r="X23" s="368" t="str">
        <f ca="1" xml:space="preserve"> fmt_dec_0 &amp; "%"</f>
        <v>#,##0%</v>
      </c>
      <c r="Y23" s="350"/>
      <c r="Z23" s="350"/>
      <c r="AD23" s="631" t="s">
        <v>550</v>
      </c>
      <c r="AE23" s="365"/>
      <c r="AF23" s="578" t="s">
        <v>541</v>
      </c>
    </row>
    <row r="24" spans="1:34" ht="15" customHeight="1">
      <c r="C24" s="373" t="str">
        <f xml:space="preserve"> IFERROR(VLOOKUP(F24, V123:Z131, 2, FALSE), "Possible 2nd precipitant")</f>
        <v>Possible 2nd precipitant</v>
      </c>
      <c r="D24" s="296"/>
      <c r="E24" s="634" t="s">
        <v>578</v>
      </c>
      <c r="F24" s="581"/>
      <c r="G24" s="374"/>
      <c r="H24" s="619"/>
      <c r="I24" s="298">
        <f xml:space="preserve"> IFERROR(VLOOKUP(F24, V123:Z131, 5, FALSE), 0)</f>
        <v>0</v>
      </c>
      <c r="J24" s="362"/>
      <c r="K24" s="722" t="str">
        <f ca="1" xml:space="preserve"> update_trigger &amp; basis!B9 &amp; ":       " &amp; TEXT(basis!C22 * IFERROR((1 - K28 / 100), 1), fmt_dec_2)</f>
        <v>Fe₂O₃:       44.13</v>
      </c>
      <c r="L24" s="723"/>
      <c r="M24" s="724">
        <f xml:space="preserve"> SUM(AD124:AE124)</f>
        <v>30.865647555674123</v>
      </c>
      <c r="N24" s="15"/>
      <c r="U24" s="350"/>
      <c r="V24" s="350"/>
      <c r="W24" s="261" t="s">
        <v>460</v>
      </c>
      <c r="X24" s="368" t="str">
        <f ca="1" xml:space="preserve"> fmt_dec_1 &amp; "%"</f>
        <v>#,##0.0%</v>
      </c>
      <c r="Y24" s="350"/>
      <c r="Z24" s="350"/>
      <c r="AD24" s="571" t="s">
        <v>526</v>
      </c>
      <c r="AE24" s="366"/>
      <c r="AF24" s="632" t="s">
        <v>551</v>
      </c>
    </row>
    <row r="25" spans="1:34" ht="15" customHeight="1">
      <c r="A25" s="362"/>
      <c r="B25" s="709" t="str">
        <f ca="1" xml:space="preserve"> IF(F25 &lt;&gt; "", "‼", "")</f>
        <v>‼</v>
      </c>
      <c r="C25" s="335" t="s">
        <v>340</v>
      </c>
      <c r="D25" s="706" t="s">
        <v>575</v>
      </c>
      <c r="E25" s="375"/>
      <c r="F25" s="707" t="str">
        <f ca="1" xml:space="preserve"> IFERROR("RIIC ratio: " &amp; IF(I25 &lt; M25, "1 : " &amp; TEXT(M25 / I25, fmt_dec_2), TEXT(I25 / M25, fmt_dec_2) &amp; " : 1") &amp; " ","")</f>
        <v xml:space="preserve">RIIC ratio: 1 : 1.92 </v>
      </c>
      <c r="G25" s="376"/>
      <c r="H25" s="620"/>
      <c r="I25" s="545">
        <f xml:space="preserve"> AC133</f>
        <v>33.000990099293496</v>
      </c>
      <c r="J25" s="353"/>
      <c r="K25" s="725" t="str">
        <f xml:space="preserve"> IF(AE121 = 0, "", AE121)</f>
        <v/>
      </c>
      <c r="L25" s="725"/>
      <c r="M25" s="726">
        <f xml:space="preserve"> AE133</f>
        <v>63.372536053594629</v>
      </c>
      <c r="N25" s="17"/>
      <c r="O25" s="34"/>
      <c r="P25" s="362"/>
      <c r="Q25" s="362"/>
      <c r="R25" s="362"/>
      <c r="S25" s="362"/>
      <c r="T25" s="362"/>
      <c r="W25" s="261" t="s">
        <v>461</v>
      </c>
      <c r="X25" s="368" t="str">
        <f ca="1" xml:space="preserve"> fmt_dec_2 &amp; "%"</f>
        <v>#,##0.00%</v>
      </c>
    </row>
    <row r="26" spans="1:34" ht="15" customHeight="1" outlineLevel="1">
      <c r="A26" s="362"/>
      <c r="B26" s="362"/>
      <c r="C26" s="760" t="s">
        <v>510</v>
      </c>
      <c r="D26" s="760"/>
      <c r="E26" s="760"/>
      <c r="F26" s="760"/>
      <c r="G26" s="760"/>
      <c r="H26" s="760"/>
      <c r="I26" s="760"/>
      <c r="J26" s="362"/>
      <c r="K26" s="333"/>
      <c r="L26" s="635" t="s">
        <v>474</v>
      </c>
      <c r="M26" s="537" t="str">
        <f xml:space="preserve"> "B : C = " &amp; ROUND(AI123 * 100, 0) &amp; " : " &amp; 100 - ROUND(AI123 * 100, 0)</f>
        <v>B : C = 50 : 50</v>
      </c>
      <c r="N26" s="14"/>
      <c r="O26" s="362"/>
      <c r="P26" s="362"/>
      <c r="Q26" s="362"/>
      <c r="R26" s="362"/>
      <c r="S26" s="362"/>
      <c r="T26" s="362"/>
    </row>
    <row r="27" spans="1:34" ht="15" customHeight="1" outlineLevel="1">
      <c r="A27" s="377"/>
      <c r="B27" s="362"/>
      <c r="C27" s="761" t="s">
        <v>547</v>
      </c>
      <c r="D27" s="761"/>
      <c r="E27" s="761"/>
      <c r="F27" s="761"/>
      <c r="G27" s="761"/>
      <c r="H27" s="761"/>
      <c r="I27" s="761"/>
      <c r="J27" s="362"/>
      <c r="K27" s="337"/>
      <c r="L27" s="636" t="s">
        <v>474</v>
      </c>
      <c r="M27" s="538" t="str">
        <f xml:space="preserve"> IF(AI124 = 1, "No overdose", IF(AI124 &gt; 1, "+", "") &amp; TEXT(AI124 - 1, fmt_pct_2))</f>
        <v>No overdose</v>
      </c>
      <c r="N27" s="362"/>
      <c r="O27" s="14"/>
      <c r="P27" s="362"/>
      <c r="Q27" s="362"/>
      <c r="R27" s="362"/>
      <c r="S27" s="362"/>
      <c r="T27" s="362"/>
      <c r="AH27" s="354"/>
    </row>
    <row r="28" spans="1:34" ht="15" customHeight="1" outlineLevel="1">
      <c r="B28" s="362"/>
      <c r="C28" s="760" t="s">
        <v>548</v>
      </c>
      <c r="D28" s="760"/>
      <c r="E28" s="760"/>
      <c r="F28" s="760"/>
      <c r="G28" s="760"/>
      <c r="H28" s="760"/>
      <c r="I28" s="760"/>
      <c r="J28" s="353"/>
      <c r="K28" s="527"/>
      <c r="L28" s="635" t="s">
        <v>474</v>
      </c>
      <c r="M28" s="538" t="str">
        <f xml:space="preserve"> IF(ISNUMBER(K28), IF(AND(K28 &gt;= 0, K28 &lt;= 100), "H₂S-RR x " &amp; TEXT((100 - K28) / 100, fmt_pct_0), "0 ≤ Zeo ≤ 100"), "0%")</f>
        <v>0%</v>
      </c>
      <c r="N28" s="17"/>
      <c r="O28" s="34"/>
      <c r="P28" s="362"/>
      <c r="R28" s="378"/>
      <c r="S28" s="378"/>
      <c r="T28" s="362"/>
    </row>
    <row r="29" spans="1:34" ht="15" customHeight="1" outlineLevel="1">
      <c r="A29" s="362"/>
      <c r="B29" s="362"/>
      <c r="C29" s="549" t="s">
        <v>123</v>
      </c>
      <c r="D29" s="550" t="str">
        <f xml:space="preserve"> IF(AJ133 &gt; 0, "With 100 kg of the additives the following masses can theoretically be reduced / precipitated", "Please enter the content of the iron compound(s) in your additive.")</f>
        <v>With 100 kg of the additives the following masses can theoretically be reduced / precipitated</v>
      </c>
      <c r="E29" s="550"/>
      <c r="F29" s="550"/>
      <c r="G29" s="551"/>
      <c r="H29" s="551"/>
      <c r="I29" s="551"/>
      <c r="J29" s="362"/>
      <c r="K29" s="727"/>
      <c r="L29" s="762" t="str">
        <f ca="1" xml:space="preserve"> IF(OR(AJ133 = 0, AM133 = 0), "", "Ratio H₂S-RR" &amp; CHAR(10) &amp; "Factor " &amp; AR121 &amp; CHAR(10) &amp; $AB$117 &amp; ": " &amp; IF(AQ121 &gt; 1, "+", "") &amp; TEXT(AQ121 - 1, fmt_pct_2))</f>
        <v>Ratio H₂S-RR
Factor 1 : 1.723
SBGx: +72.33%</v>
      </c>
      <c r="M29" s="763"/>
      <c r="N29" s="14"/>
      <c r="O29" s="362"/>
      <c r="P29" s="362"/>
      <c r="Q29" s="362"/>
      <c r="R29" s="362"/>
      <c r="S29" s="362"/>
      <c r="T29" s="362"/>
    </row>
    <row r="30" spans="1:34" ht="15" customHeight="1" outlineLevel="1">
      <c r="A30" s="362"/>
      <c r="B30" s="362"/>
      <c r="C30" s="552" t="str">
        <f xml:space="preserve"> IF(AJ133 &gt; 0, "• Hydrogen sulphide (H₂S) reduction [kg], up to", "• Hydrogen sulphide (H₂S) reduction [kg] per 100 kg of SBGx, up to")</f>
        <v>• Hydrogen sulphide (H₂S) reduction [kg], up to</v>
      </c>
      <c r="D30" s="381"/>
      <c r="E30" s="381"/>
      <c r="F30" s="381"/>
      <c r="G30" s="531">
        <f xml:space="preserve"> IF(AJ133 &gt; 0, AJ133 * 100, "")</f>
        <v>25.174002654309302</v>
      </c>
      <c r="H30" s="615"/>
      <c r="I30" s="613"/>
      <c r="J30" s="362"/>
      <c r="K30" s="728">
        <f xml:space="preserve"> AM133 * 100</f>
        <v>43.382779942355597</v>
      </c>
      <c r="L30" s="764"/>
      <c r="M30" s="765"/>
      <c r="N30" s="362"/>
      <c r="O30" s="362"/>
      <c r="P30" s="362"/>
      <c r="Q30" s="362"/>
      <c r="R30" s="362"/>
      <c r="S30" s="362"/>
      <c r="T30" s="362"/>
    </row>
    <row r="31" spans="1:34" ht="15" customHeight="1" outlineLevel="1">
      <c r="A31" s="362"/>
      <c r="B31" s="362"/>
      <c r="C31" s="553" t="str">
        <f xml:space="preserve"> IF(AJ133 &gt; 0, "• Resulting in sulphur precipitation [kg], up to", "• Resulting in sulphur precipitation [kg] per 100 kg of SBGx, up to")</f>
        <v>• Resulting in sulphur precipitation [kg], up to</v>
      </c>
      <c r="D31" s="414"/>
      <c r="E31" s="414"/>
      <c r="F31" s="414"/>
      <c r="G31" s="554">
        <f xml:space="preserve"> IF(AJ133 &gt; 0, AJ134 * 100, "")</f>
        <v>23.685574973897527</v>
      </c>
      <c r="H31" s="616"/>
      <c r="I31" s="614"/>
      <c r="J31" s="362"/>
      <c r="K31" s="729">
        <f xml:space="preserve"> AM134 * 100</f>
        <v>40.817747618885925</v>
      </c>
      <c r="L31" s="766"/>
      <c r="M31" s="767"/>
      <c r="N31" s="362"/>
      <c r="O31" s="602" t="s">
        <v>545</v>
      </c>
      <c r="P31" s="362"/>
      <c r="Q31" s="362"/>
      <c r="R31" s="362"/>
      <c r="S31" s="362"/>
      <c r="T31" s="362"/>
    </row>
    <row r="32" spans="1:34" ht="15" customHeight="1">
      <c r="A32" s="362"/>
      <c r="B32" s="362"/>
      <c r="C32" s="362"/>
      <c r="D32" s="362"/>
      <c r="E32" s="362"/>
      <c r="F32" s="362"/>
      <c r="G32" s="362"/>
      <c r="H32" s="362"/>
      <c r="I32" s="362"/>
      <c r="J32" s="362"/>
      <c r="K32" s="362"/>
      <c r="L32" s="362"/>
      <c r="M32" s="14"/>
      <c r="N32" s="362"/>
      <c r="O32" s="705"/>
      <c r="P32" s="362"/>
      <c r="Q32" s="362"/>
      <c r="R32" s="362"/>
      <c r="S32" s="362"/>
      <c r="T32" s="362"/>
    </row>
    <row r="33" spans="1:35" ht="15" customHeight="1">
      <c r="B33" s="8" t="s">
        <v>47</v>
      </c>
      <c r="C33" s="8" t="str">
        <f xml:space="preserve"> "Comparison of the daily additive dosage and costs of " &amp; G21 &amp; " and " &amp; AB118</f>
        <v>Comparison of the daily additive dosage and costs of Your_Additive and SBGx by SwissBiogas.com</v>
      </c>
      <c r="D33" s="362"/>
      <c r="E33" s="362"/>
      <c r="F33" s="362"/>
      <c r="G33" s="362"/>
      <c r="H33" s="362"/>
      <c r="I33" s="382"/>
      <c r="J33" s="362"/>
      <c r="K33" s="362"/>
      <c r="L33" s="362"/>
      <c r="M33" s="354"/>
      <c r="N33" s="362"/>
      <c r="O33" s="362"/>
      <c r="P33" s="362"/>
      <c r="Q33" s="362"/>
      <c r="R33" s="378"/>
      <c r="S33" s="378"/>
      <c r="T33" s="362"/>
    </row>
    <row r="34" spans="1:35" ht="15" hidden="1" customHeight="1" outlineLevel="1">
      <c r="B34" s="8"/>
      <c r="C34" s="572" t="str">
        <f xml:space="preserve"> C17</f>
        <v>Explanation:</v>
      </c>
      <c r="D34" s="768" t="str">
        <f xml:space="preserve"> IF(M14 = text_translations!C8, text_translations!D156, IF(M14 = text_translations!C9, text_translations!D171, IF(M14 = text_translations!C10, text_translations!D186, IF(M14 = text_translations!C11, text_translations!D201, IF(M14 = text_translations!C12, text_translations!D216, text_translations!D156)))))</f>
        <v>In this section, your additive is compared with SBGx. This requires the daily additive dosage used. If your additive is liquid and the dosage is volume-based (e.g. litre or gallon), then the density of the additive is also needed.
The second comparison relates to the daily additive costs. For this you need to enter the prices for your additive and for SBGx.</v>
      </c>
      <c r="E34" s="768"/>
      <c r="F34" s="768"/>
      <c r="G34" s="768"/>
      <c r="H34" s="768"/>
      <c r="I34" s="768"/>
      <c r="J34" s="768"/>
      <c r="K34" s="768"/>
      <c r="L34" s="768"/>
      <c r="M34" s="768"/>
      <c r="N34" s="768"/>
      <c r="O34" s="768"/>
      <c r="P34" s="290"/>
    </row>
    <row r="35" spans="1:35" ht="15" hidden="1" customHeight="1" outlineLevel="1">
      <c r="B35" s="8"/>
      <c r="C35" s="363"/>
      <c r="D35" s="768"/>
      <c r="E35" s="768"/>
      <c r="F35" s="768"/>
      <c r="G35" s="768"/>
      <c r="H35" s="768"/>
      <c r="I35" s="768"/>
      <c r="J35" s="768"/>
      <c r="K35" s="768"/>
      <c r="L35" s="768"/>
      <c r="M35" s="768"/>
      <c r="N35" s="768"/>
      <c r="O35" s="768"/>
      <c r="P35" s="290"/>
      <c r="U35" s="26"/>
      <c r="V35" s="26"/>
      <c r="W35" s="26"/>
      <c r="X35" s="26"/>
      <c r="Y35" s="26"/>
      <c r="Z35" s="26"/>
      <c r="AA35" s="26"/>
      <c r="AB35" s="26"/>
      <c r="AC35" s="26"/>
      <c r="AD35" s="26"/>
      <c r="AE35" s="26"/>
      <c r="AF35" s="26"/>
      <c r="AG35" s="26"/>
      <c r="AH35" s="26"/>
      <c r="AI35" s="26"/>
    </row>
    <row r="36" spans="1:35" ht="15" hidden="1" customHeight="1" outlineLevel="1">
      <c r="B36" s="8"/>
      <c r="C36" s="364"/>
      <c r="D36" s="768"/>
      <c r="E36" s="768"/>
      <c r="F36" s="768"/>
      <c r="G36" s="768"/>
      <c r="H36" s="768"/>
      <c r="I36" s="768"/>
      <c r="J36" s="768"/>
      <c r="K36" s="768"/>
      <c r="L36" s="768"/>
      <c r="M36" s="768"/>
      <c r="N36" s="768"/>
      <c r="O36" s="768"/>
      <c r="P36" s="290"/>
    </row>
    <row r="37" spans="1:35" ht="15" hidden="1" customHeight="1" outlineLevel="1">
      <c r="B37" s="8"/>
      <c r="C37" s="364"/>
      <c r="D37" s="768"/>
      <c r="E37" s="768"/>
      <c r="F37" s="768"/>
      <c r="G37" s="768"/>
      <c r="H37" s="768"/>
      <c r="I37" s="768"/>
      <c r="J37" s="768"/>
      <c r="K37" s="768"/>
      <c r="L37" s="768"/>
      <c r="M37" s="768"/>
      <c r="N37" s="768"/>
      <c r="O37" s="768"/>
      <c r="P37" s="290"/>
    </row>
    <row r="38" spans="1:35" ht="15" customHeight="1" collapsed="1">
      <c r="B38" s="8"/>
      <c r="C38" s="362"/>
      <c r="D38" s="362"/>
      <c r="E38" s="362"/>
      <c r="F38" s="362"/>
      <c r="G38" s="20" t="str">
        <f xml:space="preserve"> G21</f>
        <v>Your_Additive</v>
      </c>
      <c r="H38" s="20"/>
      <c r="I38" s="19"/>
      <c r="J38" s="362"/>
      <c r="K38" s="714" t="str">
        <f xml:space="preserve"> AB118</f>
        <v>SBGx by SwissBiogas.com</v>
      </c>
      <c r="L38" s="715"/>
      <c r="M38" s="716"/>
      <c r="O38" s="350" t="str">
        <f xml:space="preserve"> IF(AI124 = 1, "", "* Notice: α is set for SBGx to " &amp; AI124 &amp; " (" &amp; M27 &amp; ") *")</f>
        <v/>
      </c>
      <c r="P38" s="362"/>
      <c r="Q38" s="383"/>
      <c r="R38" s="378"/>
      <c r="S38" s="378"/>
      <c r="T38" s="362"/>
      <c r="U38" s="365" t="str">
        <f xml:space="preserve"> "Equivalent pricing in " &amp; F39</f>
        <v>Equivalent pricing in Metric ton (Tonne) [/t]</v>
      </c>
    </row>
    <row r="39" spans="1:35" ht="15" customHeight="1">
      <c r="B39" s="362"/>
      <c r="C39" s="769" t="s">
        <v>514</v>
      </c>
      <c r="D39" s="751"/>
      <c r="E39" s="634" t="s">
        <v>552</v>
      </c>
      <c r="F39" s="583" t="s">
        <v>92</v>
      </c>
      <c r="G39" s="626">
        <v>520.000001</v>
      </c>
      <c r="H39" s="628" t="str">
        <f xml:space="preserve"> IF(AND(U12, U39 &gt; 0.000001), "&lt;" &amp; TEXT(U39, fmt_dec_5) &amp; "&gt;", "")</f>
        <v/>
      </c>
      <c r="I39" s="534" t="str">
        <f xml:space="preserve"> IF(AI146, "↓ Density mismatch ↔ " &amp; AK157, IF(AND(AL157 &lt;&gt; 0, AI144 = 0), "↓ Enter a value for density", ""))</f>
        <v/>
      </c>
      <c r="J39" s="362"/>
      <c r="K39" s="730"/>
      <c r="L39" s="716"/>
      <c r="M39" s="733"/>
      <c r="P39" s="362"/>
      <c r="Q39" s="362"/>
      <c r="R39" s="378"/>
      <c r="S39" s="378"/>
      <c r="T39" s="362"/>
      <c r="U39" s="430">
        <f xml:space="preserve"> AM160</f>
        <v>443.91143411390203</v>
      </c>
    </row>
    <row r="40" spans="1:35" ht="15" customHeight="1">
      <c r="B40" s="362"/>
      <c r="C40" s="289" t="str">
        <f xml:space="preserve">
IF(AND(ISBLANK(F43), ISBLANK(F39)),
    "Density",
    IF(NOT(AK157 = 0),
        "Density " &amp; AK157,
        IF(NOT(AL157 = 0),
            "Density " &amp; AL157,
            "Density"
        )
    )
)</f>
        <v>Density</v>
      </c>
      <c r="D40" s="358"/>
      <c r="E40" s="336"/>
      <c r="F40" s="358"/>
      <c r="G40" s="625"/>
      <c r="H40" s="629"/>
      <c r="I40" s="534" t="str">
        <f xml:space="preserve"> IF(AI146, "← " &amp; AK157 &amp; " ↔ " &amp; AL157, IF(AND(OR(AL157 &lt;&gt; 0, AK157 &lt;&gt; 0), AI144 = 0), "← ?.??", ""))</f>
        <v/>
      </c>
      <c r="J40" s="362"/>
      <c r="K40" s="715"/>
      <c r="L40" s="730"/>
      <c r="M40" s="753" t="str">
        <f ca="1" xml:space="preserve"> IF(OR(AJ133 = 0, AM133 = 0, AJ160 = 0, AJ161 = 0), "", "Ratio costs" &amp; CHAR(10) &amp; "Factor " &amp; AR125 &amp; CHAR(10) &amp; $AB$117 &amp; ": " &amp; IF(AQ125 &gt; 1, "+", "") &amp; TEXT(AQ125 - 1, fmt_pct_2))</f>
        <v>Ratio costs
Factor 1.171 : 1
SBGx: -14.63%</v>
      </c>
      <c r="N40" s="362"/>
      <c r="O40" s="266"/>
      <c r="P40" s="362"/>
      <c r="Q40" s="362"/>
      <c r="R40" s="378"/>
      <c r="S40" s="378"/>
      <c r="T40" s="362"/>
    </row>
    <row r="41" spans="1:35" ht="15" customHeight="1">
      <c r="B41" s="362"/>
      <c r="C41" s="562" t="s">
        <v>522</v>
      </c>
      <c r="D41" s="358"/>
      <c r="E41" s="358"/>
      <c r="F41" s="358"/>
      <c r="G41" s="609">
        <f xml:space="preserve"> IF(AJ160 &gt; 0, AJ160, IF(AND(U12, AL160 &gt; 0.0000001), "Equivalent pricing: &lt;" &amp; TEXT(AL160, fmt_dec_2) &amp; "&gt;", 0))</f>
        <v>520.000001</v>
      </c>
      <c r="H41" s="627"/>
      <c r="I41" s="747" t="str">
        <f ca="1" xml:space="preserve"> IF(I42 = "", "", "Reduction")</f>
        <v>Reduction</v>
      </c>
      <c r="J41" s="362"/>
      <c r="K41" s="385">
        <v>765.000001</v>
      </c>
      <c r="L41" s="606" t="str">
        <f xml:space="preserve"> IF(AND(U12, AL161 &gt; 0), "Equivalent pricing: &lt;" &amp; TEXT(AL161, fmt_dec_2) &amp; "&gt;", "")</f>
        <v/>
      </c>
      <c r="M41" s="753"/>
      <c r="N41" s="362"/>
      <c r="O41" s="338" t="s">
        <v>544</v>
      </c>
      <c r="P41" s="362"/>
      <c r="Q41" s="362"/>
      <c r="R41" s="378"/>
      <c r="S41" s="378"/>
      <c r="T41" s="362"/>
      <c r="U41" s="350"/>
    </row>
    <row r="42" spans="1:35" ht="15" customHeight="1">
      <c r="B42" s="709" t="str">
        <f xml:space="preserve"> IF(AND($G$42, $K$42, $G$42 &gt; $K$42), "‼", "")</f>
        <v>‼</v>
      </c>
      <c r="C42" s="547" t="s">
        <v>577</v>
      </c>
      <c r="D42" s="699"/>
      <c r="E42" s="535"/>
      <c r="F42" s="708"/>
      <c r="G42" s="610">
        <f xml:space="preserve"> IFERROR(AJ160 / (AJ133 * I230 / I233), 0)</f>
        <v>1260.5682421901211</v>
      </c>
      <c r="H42" s="698"/>
      <c r="I42" s="710" t="str">
        <f ca="1" xml:space="preserve"> IF(AND($G$42, $K$42), IF($G$42 &gt; $K$42, "→ " &amp; TEXT(K42 / G42 - 1, fmt_pct_1) &amp; " →", "← " &amp; TEXT(G42 / K42 - 1, fmt_pct_1) &amp; " ←"), "")</f>
        <v>→ -14.6% →</v>
      </c>
      <c r="J42" s="362"/>
      <c r="K42" s="731">
        <f xml:space="preserve"> IFERROR(K41 / (AM133 * I230 / I233), 0)</f>
        <v>1076.1166442055458</v>
      </c>
      <c r="L42" s="744"/>
      <c r="M42" s="754"/>
      <c r="N42" s="8"/>
      <c r="O42" s="338" t="s">
        <v>576</v>
      </c>
      <c r="P42" s="362"/>
      <c r="Q42" s="362"/>
      <c r="R42" s="378"/>
      <c r="S42" s="378"/>
      <c r="T42" s="362"/>
      <c r="U42" s="350"/>
    </row>
    <row r="43" spans="1:35" ht="15" customHeight="1">
      <c r="B43" s="362"/>
      <c r="C43" s="750" t="s">
        <v>467</v>
      </c>
      <c r="D43" s="751"/>
      <c r="E43" s="634" t="s">
        <v>552</v>
      </c>
      <c r="F43" s="582" t="s">
        <v>83</v>
      </c>
      <c r="G43" s="385">
        <v>920.000001</v>
      </c>
      <c r="H43" s="397"/>
      <c r="I43" s="701" t="str">
        <f xml:space="preserve"> IF(AI146, "↑ Density mismatch ↔ " &amp; AK157, IF(AND(AK157 &lt;&gt; 0, AI144 = 0), "↑ Enter a value for density", ""))</f>
        <v/>
      </c>
      <c r="J43" s="362"/>
      <c r="K43" s="715"/>
      <c r="L43" s="715"/>
      <c r="M43" s="752" t="str">
        <f ca="1" xml:space="preserve"> IF(OR(AJ133 = 0, AM133 = 0), "", "Ratio dosage" &amp; CHAR(10) &amp; M63)</f>
        <v>Ratio dosage
Factor 1.723 : 1
SBGx: -41.97%</v>
      </c>
      <c r="N43" s="362"/>
      <c r="O43" s="14"/>
      <c r="P43" s="362"/>
      <c r="Q43" s="362"/>
      <c r="R43" s="378"/>
      <c r="S43" s="378"/>
      <c r="T43" s="362"/>
    </row>
    <row r="44" spans="1:35" ht="15" customHeight="1" outlineLevel="1">
      <c r="B44" s="362"/>
      <c r="C44" s="695" t="s">
        <v>520</v>
      </c>
      <c r="D44" s="696" t="str">
        <f xml:space="preserve"> "Comparison of the daily additive dosages " &amp; IF(SI_unit, I221, I222)</f>
        <v>Comparison of the daily additive dosages [kg/day]</v>
      </c>
      <c r="E44" s="697"/>
      <c r="F44" s="697"/>
      <c r="G44" s="702">
        <f xml:space="preserve"> IF(SI_unit, AI157, AI157 * fact_kg2lb)</f>
        <v>920.000001</v>
      </c>
      <c r="H44" s="703"/>
      <c r="I44" s="613"/>
      <c r="J44" s="362"/>
      <c r="K44" s="732">
        <f xml:space="preserve"> IF(SI_unit, AI158, AI158 * fact_kg2lb)</f>
        <v>533.85427346777385</v>
      </c>
      <c r="L44" s="742"/>
      <c r="M44" s="753"/>
      <c r="P44" s="362"/>
      <c r="Q44" s="362"/>
      <c r="R44" s="378"/>
      <c r="S44" s="378"/>
      <c r="T44" s="362"/>
    </row>
    <row r="45" spans="1:35" ht="15" customHeight="1" outlineLevel="1">
      <c r="B45" s="362"/>
      <c r="C45" s="547" t="s">
        <v>521</v>
      </c>
      <c r="D45" s="546" t="s">
        <v>311</v>
      </c>
      <c r="E45" s="535"/>
      <c r="F45" s="535"/>
      <c r="G45" s="610">
        <f xml:space="preserve"> AJ162</f>
        <v>478.40000144000004</v>
      </c>
      <c r="H45" s="610"/>
      <c r="I45" s="704"/>
      <c r="J45" s="362"/>
      <c r="K45" s="731">
        <f xml:space="preserve"> AJ163</f>
        <v>408.39851973670125</v>
      </c>
      <c r="L45" s="743"/>
      <c r="M45" s="754"/>
      <c r="N45" s="362"/>
      <c r="O45" s="700" t="s">
        <v>574</v>
      </c>
      <c r="P45" s="362"/>
      <c r="Q45" s="362"/>
      <c r="R45" s="378"/>
      <c r="S45" s="378"/>
      <c r="T45" s="362"/>
    </row>
    <row r="46" spans="1:35" ht="15" customHeight="1">
      <c r="A46" s="362"/>
      <c r="B46" s="362"/>
      <c r="C46" s="549" t="s">
        <v>123</v>
      </c>
      <c r="D46" s="575" t="str">
        <f ca="1" xml:space="preserve">
IF(AQ125 &gt; 0,
    IF(AQ125 &gt; 1,
        "No cost reduction, unfortunately. Please contact us, if still interested.",
        IF(AI157 &gt; 0,
            "Possible " &amp; AP145 &amp; " additive cost reduction by " &amp; TEXT((1 - AQ125) * G45 * AQ145, fmt_dec_0) &amp; X16 &amp; "-- (" &amp; TEXT(1 - AQ125, fmt_pct_2) &amp; ")",
            "Possible additive cost reduction by " &amp; TEXT(1 - AQ125, fmt_pct_2) &amp; " - Daily dosage pending. "
        )
    ),
    IF(AQ123 &gt; 0,
        IF(AQ123 &gt; 1,
            "No dosage reduction, unfortunately. A cost comparison would still be interesting.",
            IF(AI157 &gt; 0,
                "Possible " &amp; AP145 &amp; " additive dosage reduction by " &amp; TEXT((1 - AQ123) * AI157 * AQ145 * IF(SI_unit, 1, fact_kg2lb), fmt_dec_0) &amp; IF(SI_unit, " kg (", " lb (") &amp; TEXT(1 - AQ123, fmt_pct_2)  &amp; ")" &amp; " - Prices pending.",
                "Possible additive dosage reduction by " &amp; TEXT(1 - AQ123, fmt_pct_2) &amp; " - Daily dosage and prices pending."
            )
        ),
        "Please enter the content of the iron compound(s) in your additive."
    )
)</f>
        <v>Possible yearly additive cost reduction by 25,551.-- (14.63%)</v>
      </c>
      <c r="E46" s="576"/>
      <c r="F46" s="576"/>
      <c r="G46" s="576"/>
      <c r="H46" s="576"/>
      <c r="I46" s="576"/>
      <c r="J46" s="8"/>
      <c r="K46" s="550" t="s">
        <v>369</v>
      </c>
      <c r="L46" s="587" t="s">
        <v>447</v>
      </c>
      <c r="M46" s="584"/>
      <c r="N46" s="362"/>
      <c r="P46" s="362"/>
      <c r="Q46" s="362"/>
      <c r="R46" s="362"/>
      <c r="S46" s="362"/>
      <c r="T46" s="362"/>
    </row>
    <row r="47" spans="1:35" ht="15" customHeight="1" outlineLevel="1">
      <c r="A47" s="362"/>
      <c r="B47" s="362"/>
      <c r="C47" s="594" t="str">
        <f ca="1" xml:space="preserve"> IF(OR(AQ123 = 0, AQ123 &gt; 1), "Unfortunately, no storage space can be saved.", "Additionally, increased storage space utilisation: " &amp; IF(is_liquid, "Even with reduced ", "With the same ") &amp; "storage space, SBGx lasts up to " &amp; TEXT(AQ121 * IF(is_liquid, 1, 1), fmt_dec_2) &amp; " times longer. (+" &amp; TEXT(AQ121 * IF(is_liquid, 1, 1) - 1, fmt_pct_1) &amp; ")")</f>
        <v>Additionally, increased storage space utilisation: With the same storage space, SBGx lasts up to 1.72 times longer. (+72.3%)</v>
      </c>
      <c r="D47" s="595"/>
      <c r="E47" s="595"/>
      <c r="F47" s="595"/>
      <c r="G47" s="595"/>
      <c r="H47" s="599"/>
      <c r="I47" s="595"/>
      <c r="J47" s="597"/>
      <c r="K47" s="595"/>
      <c r="L47" s="595"/>
      <c r="M47" s="596"/>
      <c r="N47" s="362"/>
      <c r="O47" s="601" t="s">
        <v>546</v>
      </c>
      <c r="P47" s="362"/>
      <c r="Q47" s="362"/>
      <c r="R47" s="362"/>
      <c r="S47" s="362"/>
      <c r="T47" s="362"/>
    </row>
    <row r="48" spans="1:35" ht="15" customHeight="1">
      <c r="A48" s="532"/>
      <c r="B48" s="603"/>
      <c r="C48" s="604"/>
      <c r="D48" s="604"/>
      <c r="E48" s="604"/>
      <c r="F48" s="604"/>
      <c r="G48" s="604"/>
      <c r="H48" s="604"/>
      <c r="I48" s="604"/>
      <c r="J48" s="603"/>
      <c r="K48" s="604"/>
      <c r="L48" s="604"/>
      <c r="M48" s="604"/>
      <c r="N48" s="603"/>
      <c r="O48" s="603"/>
      <c r="P48" s="605"/>
      <c r="Q48" s="603"/>
      <c r="R48" s="603"/>
      <c r="S48" s="603"/>
      <c r="T48" s="603"/>
    </row>
    <row r="49" spans="1:26" s="26" customFormat="1" ht="15" customHeight="1">
      <c r="A49" s="370"/>
      <c r="B49" s="25" t="s">
        <v>46</v>
      </c>
      <c r="C49" s="25" t="s">
        <v>308</v>
      </c>
      <c r="D49" s="354"/>
      <c r="E49" s="354"/>
      <c r="F49" s="354"/>
      <c r="G49" s="354"/>
      <c r="H49" s="354"/>
      <c r="I49" s="354"/>
      <c r="J49" s="354"/>
      <c r="K49" s="354"/>
      <c r="L49" s="354"/>
      <c r="M49" s="360"/>
      <c r="N49" s="354"/>
      <c r="O49" s="354"/>
      <c r="P49" s="354"/>
      <c r="Q49" s="354"/>
      <c r="R49" s="354"/>
      <c r="S49" s="354"/>
      <c r="T49" s="354"/>
    </row>
    <row r="50" spans="1:26" s="26" customFormat="1" ht="15" hidden="1" customHeight="1" outlineLevel="1">
      <c r="A50" s="370"/>
      <c r="B50" s="25"/>
      <c r="C50" s="572" t="str">
        <f xml:space="preserve"> C17</f>
        <v>Explanation:</v>
      </c>
      <c r="D50" s="759" t="str">
        <f xml:space="preserve"> IF(M14 = text_translations!C8, text_translations!D281, IF(M14 = text_translations!C9, text_translations!D297, IF(M14 = text_translations!C10, text_translations!D313, IF(M14 = text_translations!C11, text_translations!D329, IF(M14 = text_translations!C12, text_translations!D345, text_translations!D281)))))</f>
        <v>In this section, the daily required additive dosage is calculated. To achieve a well-usable result, it is already sufficient to enter the daily produced biogas volume and its H₂S content.
The highest accuracy is achieved if the daily newly introduced substrate volume, the total sulphide content or instead the pH value and the temperature of the reactor liquid are also entered.</v>
      </c>
      <c r="E50" s="759"/>
      <c r="F50" s="759"/>
      <c r="G50" s="759"/>
      <c r="H50" s="759"/>
      <c r="I50" s="759"/>
      <c r="J50" s="759"/>
      <c r="K50" s="759"/>
      <c r="L50" s="759"/>
      <c r="M50" s="759"/>
      <c r="N50" s="759"/>
      <c r="O50" s="759"/>
      <c r="P50" s="386"/>
    </row>
    <row r="51" spans="1:26" s="26" customFormat="1" ht="15" hidden="1" customHeight="1" outlineLevel="1">
      <c r="A51" s="370"/>
      <c r="B51" s="25"/>
      <c r="C51" s="311"/>
      <c r="D51" s="759"/>
      <c r="E51" s="759"/>
      <c r="F51" s="759"/>
      <c r="G51" s="759"/>
      <c r="H51" s="759"/>
      <c r="I51" s="759"/>
      <c r="J51" s="759"/>
      <c r="K51" s="759"/>
      <c r="L51" s="759"/>
      <c r="M51" s="759"/>
      <c r="N51" s="759"/>
      <c r="O51" s="759"/>
      <c r="P51" s="386"/>
    </row>
    <row r="52" spans="1:26" s="26" customFormat="1" ht="15" hidden="1" customHeight="1" outlineLevel="1">
      <c r="A52" s="370"/>
      <c r="B52" s="25"/>
      <c r="C52" s="306"/>
      <c r="D52" s="759"/>
      <c r="E52" s="759"/>
      <c r="F52" s="759"/>
      <c r="G52" s="759"/>
      <c r="H52" s="759"/>
      <c r="I52" s="759"/>
      <c r="J52" s="759"/>
      <c r="K52" s="759"/>
      <c r="L52" s="759"/>
      <c r="M52" s="759"/>
      <c r="N52" s="759"/>
      <c r="O52" s="759"/>
      <c r="P52" s="386"/>
    </row>
    <row r="53" spans="1:26" s="26" customFormat="1" ht="15" hidden="1" customHeight="1" outlineLevel="1">
      <c r="A53" s="370"/>
      <c r="B53" s="25"/>
      <c r="C53" s="306"/>
      <c r="D53" s="759"/>
      <c r="E53" s="759"/>
      <c r="F53" s="759"/>
      <c r="G53" s="759"/>
      <c r="H53" s="759"/>
      <c r="I53" s="759"/>
      <c r="J53" s="759"/>
      <c r="K53" s="759"/>
      <c r="L53" s="759"/>
      <c r="M53" s="759"/>
      <c r="N53" s="759"/>
      <c r="O53" s="759"/>
      <c r="P53" s="386"/>
    </row>
    <row r="54" spans="1:26" s="26" customFormat="1" ht="15" customHeight="1" collapsed="1">
      <c r="A54" s="370"/>
      <c r="B54" s="25"/>
      <c r="C54" s="25"/>
      <c r="D54" s="387"/>
      <c r="E54" s="387"/>
      <c r="F54" s="387"/>
      <c r="G54" s="387"/>
      <c r="H54" s="568"/>
      <c r="I54" s="387"/>
      <c r="J54" s="387"/>
      <c r="K54" s="387"/>
      <c r="L54" s="387"/>
      <c r="M54" s="387"/>
      <c r="N54" s="387"/>
      <c r="O54" s="387"/>
      <c r="P54" s="386"/>
      <c r="Q54" s="354"/>
      <c r="R54" s="354"/>
      <c r="S54" s="354"/>
      <c r="T54" s="354"/>
    </row>
    <row r="55" spans="1:26" s="26" customFormat="1" ht="15" customHeight="1">
      <c r="A55" s="370"/>
      <c r="B55" s="350"/>
      <c r="C55" s="31" t="s">
        <v>581</v>
      </c>
      <c r="D55" s="358" t="str">
        <f xml:space="preserve"> "Biogas volume produced per day " &amp; IF(ISBLANK(I55), I210, "")</f>
        <v xml:space="preserve">Biogas volume produced per day </v>
      </c>
      <c r="E55" s="358"/>
      <c r="F55" s="358"/>
      <c r="G55" s="358"/>
      <c r="H55" s="358"/>
      <c r="I55" s="770" t="s">
        <v>164</v>
      </c>
      <c r="J55" s="771"/>
      <c r="K55" s="388">
        <v>53000.000001</v>
      </c>
      <c r="L55" s="389"/>
      <c r="M55" s="27"/>
      <c r="N55" s="350"/>
      <c r="O55" s="362"/>
      <c r="P55" s="390"/>
      <c r="Q55" s="41"/>
      <c r="R55" s="350"/>
      <c r="S55" s="350"/>
      <c r="T55" s="350"/>
    </row>
    <row r="56" spans="1:26">
      <c r="A56" s="370"/>
      <c r="C56" s="31"/>
      <c r="D56" s="373" t="str">
        <f xml:space="preserve"> "Hydrogen sulphide (H₂S) content of biogas " &amp; IF(ISBLANK(I56), I215, "") &amp; "(before any treatment)"</f>
        <v>Hydrogen sulphide (H₂S) content of biogas (before any treatment)</v>
      </c>
      <c r="E56" s="373"/>
      <c r="F56" s="373"/>
      <c r="G56" s="373"/>
      <c r="H56" s="373"/>
      <c r="I56" s="770" t="s">
        <v>115</v>
      </c>
      <c r="J56" s="771"/>
      <c r="K56" s="391">
        <v>1800.0000010000001</v>
      </c>
      <c r="L56" s="389"/>
      <c r="M56" s="288" t="str">
        <f xml:space="preserve"> IF(OR(NOT(U12), I236 = 0),
      "",
      "  " &amp; TEXT(I236, fmt_dec_0) &amp; " g/day H₂S(gas)" &amp; IF(AND(I236 &gt; 0, I248 &gt; 0),
                                                           " (" &amp; TEXT(I236/(I236 + I248), fmt_pct_2) &amp; ")",
                                                           ""
                                                       ) &amp; "; Interim result"
)</f>
        <v/>
      </c>
      <c r="O56" s="362"/>
      <c r="P56" s="379"/>
      <c r="Q56" s="392"/>
      <c r="U56" s="350"/>
      <c r="V56" s="350"/>
      <c r="W56" s="350"/>
      <c r="X56" s="350"/>
      <c r="Y56" s="350"/>
      <c r="Z56" s="350"/>
    </row>
    <row r="57" spans="1:26">
      <c r="A57" s="370"/>
      <c r="B57" s="772" t="s">
        <v>519</v>
      </c>
      <c r="C57" s="359"/>
      <c r="D57" s="761" t="s">
        <v>512</v>
      </c>
      <c r="E57" s="761"/>
      <c r="F57" s="761"/>
      <c r="G57" s="761"/>
      <c r="H57" s="761"/>
      <c r="I57" s="761"/>
      <c r="J57" s="774"/>
      <c r="K57" s="385"/>
      <c r="L57" s="637" t="str">
        <f xml:space="preserve"> "&lt;No input req.&gt;"</f>
        <v>&lt;No input req.&gt;</v>
      </c>
      <c r="M57" s="536" t="str">
        <f ca="1" xml:space="preserve"> IF(ISBLANK(K57), " β = " &amp; TEXT(M251, fmt_dec_1), IF(OR(M252 &lt; 1.7, M252 &gt; 5), " Recommendation: Use a value between " &amp; TEXT(M251, fmt_dec_1) &amp; " and 5.", "")) &amp; IF(AI124 = 1, "", " * Notice: α is set for SBGx to " &amp; AI124 &amp; " (" &amp; M27 &amp; ") and is multiplied with β; α x β = " &amp; TEXT(AI124 * M252, fmt_dec_4) &amp; " (" &amp; IF(AI124 * M252 &gt; 1, "+", "") &amp; TEXT((AI124 * M252) - 1, fmt_pct_2) &amp; ") *")</f>
        <v xml:space="preserve"> β = 1.7</v>
      </c>
      <c r="P57" s="346"/>
      <c r="U57" s="350"/>
      <c r="V57" s="350"/>
      <c r="W57" s="350"/>
      <c r="X57" s="350"/>
      <c r="Y57" s="350"/>
      <c r="Z57" s="350"/>
    </row>
    <row r="58" spans="1:26" s="26" customFormat="1" ht="15" customHeight="1" outlineLevel="1">
      <c r="A58" s="370"/>
      <c r="B58" s="773"/>
      <c r="C58" s="332" t="s">
        <v>580</v>
      </c>
      <c r="D58" s="358" t="str">
        <f xml:space="preserve"> "Substrate volume added per day " &amp; IF(ISBLANK(I58), I210, "")</f>
        <v xml:space="preserve">Substrate volume added per day </v>
      </c>
      <c r="E58" s="358"/>
      <c r="F58" s="358"/>
      <c r="G58" s="358"/>
      <c r="H58" s="373"/>
      <c r="I58" s="775" t="s">
        <v>164</v>
      </c>
      <c r="J58" s="776"/>
      <c r="K58" s="393">
        <v>80.000000999999997</v>
      </c>
      <c r="L58" s="394"/>
      <c r="M58" s="350"/>
      <c r="N58" s="350"/>
      <c r="O58" s="395"/>
      <c r="P58" s="379"/>
      <c r="Q58" s="362"/>
      <c r="R58" s="30"/>
      <c r="S58" s="350"/>
      <c r="T58" s="350"/>
    </row>
    <row r="59" spans="1:26" s="26" customFormat="1" ht="15" customHeight="1" outlineLevel="1">
      <c r="A59" s="370"/>
      <c r="B59" s="350"/>
      <c r="C59" s="320" t="s">
        <v>421</v>
      </c>
      <c r="D59" s="780" t="str">
        <f xml:space="preserve"> "● Total sulphide (S²⁻ + HS⁻ + H₂S) content of reactor liquid " &amp; IF(ISBLANK(I59), I225 &amp; " ", "") &amp; "ⓘ"</f>
        <v>● Total sulphide (S²⁻ + HS⁻ + H₂S) content of reactor liquid ⓘ</v>
      </c>
      <c r="E59" s="780"/>
      <c r="F59" s="780"/>
      <c r="G59" s="780"/>
      <c r="H59" s="607"/>
      <c r="I59" s="770" t="s">
        <v>333</v>
      </c>
      <c r="J59" s="771"/>
      <c r="K59" s="396"/>
      <c r="L59" s="630" t="str">
        <f ca="1" xml:space="preserve"> IF(I247 &gt; 0, "approx. " &amp; TEXT(I247, fmt_dec_3), "")</f>
        <v>approx. 44.661</v>
      </c>
      <c r="M59" s="34"/>
      <c r="N59" s="350"/>
      <c r="O59" s="350"/>
      <c r="P59" s="346"/>
      <c r="Q59" s="350"/>
      <c r="R59" s="350"/>
      <c r="S59" s="350"/>
      <c r="T59" s="350"/>
    </row>
    <row r="60" spans="1:26" ht="15" customHeight="1" outlineLevel="1">
      <c r="A60" s="370"/>
      <c r="C60" s="781" t="s">
        <v>422</v>
      </c>
      <c r="D60" s="563" t="s">
        <v>523</v>
      </c>
      <c r="E60" s="373"/>
      <c r="F60" s="373"/>
      <c r="G60" s="373"/>
      <c r="H60" s="362"/>
      <c r="I60" s="14"/>
      <c r="J60" s="362"/>
      <c r="K60" s="385">
        <v>7.9100010000000003</v>
      </c>
      <c r="L60" s="397"/>
      <c r="P60" s="398"/>
      <c r="Q60" s="399"/>
      <c r="U60" s="350"/>
      <c r="V60" s="350"/>
      <c r="W60" s="350"/>
      <c r="X60" s="350"/>
      <c r="Y60" s="350"/>
      <c r="Z60" s="350"/>
    </row>
    <row r="61" spans="1:26" ht="15" customHeight="1" outlineLevel="1">
      <c r="A61" s="370"/>
      <c r="C61" s="782"/>
      <c r="D61" s="539" t="str">
        <f xml:space="preserve"> "○ Temperature of reactor liquid " &amp; IF(ISBLANK(I61), I218, "")</f>
        <v xml:space="preserve">○ Temperature of reactor liquid </v>
      </c>
      <c r="E61" s="373"/>
      <c r="F61" s="373"/>
      <c r="G61" s="373"/>
      <c r="H61" s="373"/>
      <c r="I61" s="770" t="s">
        <v>313</v>
      </c>
      <c r="J61" s="771"/>
      <c r="K61" s="391">
        <v>39.500000999999997</v>
      </c>
      <c r="L61" s="540"/>
      <c r="M61" s="288" t="str">
        <f xml:space="preserve"> IF(OR(NOT(U12), I248 = 0),
      "",
      "  " &amp; TEXT(I248, fmt_dec_0) &amp; " g/day Sulphide(substrate)" &amp; IF(AND(I236 &gt; 0, I248 &gt; 0),
                                                                     " (" &amp; TEXT(I248/(I236 + I248), fmt_pct_2) &amp; ")",
                                                                     ""
                                                                 ) &amp; "; Interim result"
)</f>
        <v/>
      </c>
      <c r="P61" s="548"/>
      <c r="Q61" s="548"/>
      <c r="U61" s="350"/>
      <c r="V61" s="350"/>
      <c r="W61" s="350"/>
      <c r="X61" s="350"/>
      <c r="Y61" s="350"/>
      <c r="Z61" s="350"/>
    </row>
    <row r="62" spans="1:26" ht="15" customHeight="1">
      <c r="C62" s="564"/>
      <c r="D62" s="573" t="str">
        <f xml:space="preserve"> IF(OR(NOT(U12), I236 + I248 = 0), "", "Remark: " &amp; IF(SI_unit, "", TEXT((I236 + I248) / 1000 * fact_kg2lb, fmt_dec_1) &amp; " lb = ") &amp; TEXT((I236 + I248) / 1000, fmt_dec_1) &amp; " kg of total sulphide to be reduced")</f>
        <v/>
      </c>
      <c r="E62" s="565"/>
      <c r="F62" s="566"/>
      <c r="G62" s="567" t="str">
        <f xml:space="preserve"> G21</f>
        <v>Your_Additive</v>
      </c>
      <c r="H62" s="567"/>
      <c r="I62" s="746" t="str">
        <f ca="1" xml:space="preserve"> IF(I64 = "", "", "Ratio")</f>
        <v>Ratio</v>
      </c>
      <c r="K62" s="734" t="str">
        <f xml:space="preserve"> AB118</f>
        <v>SBGx by SwissBiogas.com</v>
      </c>
      <c r="L62" s="735"/>
      <c r="M62" s="736"/>
      <c r="O62" s="34"/>
      <c r="R62" s="400"/>
      <c r="S62" s="400"/>
      <c r="T62" s="401"/>
      <c r="U62" s="350"/>
      <c r="V62" s="350"/>
      <c r="W62" s="350"/>
      <c r="X62" s="350"/>
      <c r="Y62" s="350"/>
      <c r="Z62" s="350"/>
    </row>
    <row r="63" spans="1:26" ht="15" hidden="1" customHeight="1" outlineLevel="1">
      <c r="C63" s="549" t="s">
        <v>123</v>
      </c>
      <c r="D63" s="555" t="str">
        <f ca="1" xml:space="preserve"> IF(I236 + I248 = 0, "Please enter the required values to calculate a dosage.", "To reduce " &amp; TEXT((I236 + I248) / 1000 * IF(SI_unit, 1, fact_kg2lb), fmt_dec_1) &amp; IF(SI_unit, " kg", " lb") &amp; " of sulphide, theoretically (β = 1) " &amp; TEXT(I251 / 1000 * IF(SI_unit, 1, fact_kg2lb), fmt_dec_1) &amp; IF(SI_unit, " kg", " lb") &amp; " of iron(II) ions are required.")</f>
        <v>To reduce 136.5 kg of sulphide, theoretically (β = 1) 223.8 kg of iron(II) ions are required.</v>
      </c>
      <c r="E63" s="556"/>
      <c r="F63" s="555"/>
      <c r="G63" s="557"/>
      <c r="H63" s="557"/>
      <c r="I63" s="557"/>
      <c r="J63" s="354"/>
      <c r="K63" s="737"/>
      <c r="L63" s="737"/>
      <c r="M63" s="763" t="str">
        <f ca="1" xml:space="preserve"> IF(OR(AJ133 = 0, AM133 = 0), "", "Factor " &amp; AR123 &amp; CHAR(10) &amp; $AB$117 &amp; ": " &amp; IF(AQ123 &gt; 1, "+", "") &amp; TEXT(AQ123 - 1, fmt_pct_2))</f>
        <v>Factor 1.723 : 1
SBGx: -41.97%</v>
      </c>
      <c r="R63" s="400"/>
      <c r="S63" s="400"/>
      <c r="T63" s="401"/>
      <c r="U63" s="350"/>
      <c r="V63" s="350"/>
      <c r="W63" s="350"/>
      <c r="X63" s="350"/>
      <c r="Y63" s="350"/>
      <c r="Z63" s="350"/>
    </row>
    <row r="64" spans="1:26" ht="15" customHeight="1" collapsed="1">
      <c r="A64" s="370"/>
      <c r="B64" s="740" t="str">
        <f xml:space="preserve"> IF(AND(G64, K64, G64 &gt; K64), "‼", "")</f>
        <v>‼</v>
      </c>
      <c r="C64" s="558" t="str">
        <f ca="1" xml:space="preserve"> "Daily required additive dosages " &amp; IF(SI_unit, I221 &amp; " ", I222 &amp; " ") &amp; IF(AND(F222 &gt; 0, F223 &gt; 0), "     (" &amp; $AB$117 &amp; ": " &amp; IF(AQ123 &gt; 1, "+", "") &amp; TEXT(AQ123 - 1, fmt_pct_2) &amp; ")", "")</f>
        <v>Daily required additive dosages [kg/day]      (SBGx: -41.97%)</v>
      </c>
      <c r="D64" s="559"/>
      <c r="E64" s="560"/>
      <c r="F64" s="559"/>
      <c r="G64" s="611">
        <f xml:space="preserve"> F222</f>
        <v>922.10591409984204</v>
      </c>
      <c r="H64" s="561"/>
      <c r="I64" s="745" t="str">
        <f ca="1" xml:space="preserve"> IFERROR("← " &amp; IF(G64 &lt; K64, "1 : " &amp; TEXT(K64 / G64, fmt_dec_2), TEXT(G64 / K64, fmt_dec_2) &amp; " : 1") &amp; " →","")</f>
        <v>← 1.72 : 1 →</v>
      </c>
      <c r="J64" s="354"/>
      <c r="K64" s="738">
        <f xml:space="preserve"> F223</f>
        <v>535.07628510547011</v>
      </c>
      <c r="L64" s="739"/>
      <c r="M64" s="767"/>
      <c r="N64" s="354"/>
      <c r="O64" s="384" t="s">
        <v>469</v>
      </c>
      <c r="U64" s="350"/>
      <c r="V64" s="350"/>
      <c r="W64" s="350"/>
      <c r="X64" s="350"/>
      <c r="Y64" s="350"/>
      <c r="Z64" s="350"/>
    </row>
    <row r="65" spans="1:26" ht="15" customHeight="1">
      <c r="A65" s="370"/>
      <c r="B65" s="439"/>
      <c r="C65" s="689" t="str">
        <f xml:space="preserve"> IF(AND(I248 &gt; 0, I236 = 0), "Warning: This is only an interim result. At least the volume of the biogas and its H₂S content are required to calculate a useful dosage.", "")</f>
        <v/>
      </c>
      <c r="D65" s="14"/>
      <c r="E65" s="439"/>
      <c r="F65" s="439"/>
      <c r="G65" s="690"/>
      <c r="H65" s="690"/>
      <c r="I65" s="439"/>
      <c r="J65" s="439"/>
      <c r="K65" s="439"/>
      <c r="L65" s="439"/>
      <c r="M65" s="362"/>
      <c r="N65" s="439"/>
      <c r="O65" s="362"/>
      <c r="P65" s="439"/>
      <c r="Q65" s="362"/>
      <c r="R65" s="362"/>
      <c r="S65" s="362"/>
      <c r="T65" s="362"/>
      <c r="U65" s="350"/>
      <c r="V65" s="350"/>
      <c r="W65" s="350"/>
      <c r="X65" s="350"/>
      <c r="Y65" s="350"/>
      <c r="Z65" s="350"/>
    </row>
    <row r="66" spans="1:26" ht="15" hidden="1" customHeight="1" outlineLevel="1">
      <c r="A66" s="350"/>
      <c r="B66" s="354"/>
      <c r="C66" s="354"/>
      <c r="D66" s="354"/>
      <c r="E66" s="354"/>
      <c r="F66" s="354"/>
      <c r="G66" s="354"/>
      <c r="H66" s="354"/>
      <c r="I66" s="354"/>
      <c r="J66" s="354"/>
      <c r="K66" s="354"/>
      <c r="L66" s="354"/>
      <c r="M66" s="354"/>
      <c r="N66" s="354"/>
      <c r="O66" s="354"/>
      <c r="P66" s="354"/>
      <c r="Q66" s="354"/>
      <c r="R66" s="354"/>
      <c r="S66" s="354"/>
      <c r="T66" s="354"/>
      <c r="U66" s="670" t="s">
        <v>566</v>
      </c>
      <c r="V66" s="350"/>
      <c r="W66" s="350"/>
      <c r="X66" s="350"/>
      <c r="Y66" s="350"/>
      <c r="Z66" s="350"/>
    </row>
    <row r="67" spans="1:26" ht="15" hidden="1" customHeight="1" outlineLevel="1">
      <c r="A67" s="352"/>
      <c r="B67" s="35" t="s">
        <v>573</v>
      </c>
      <c r="C67" s="35" t="s">
        <v>560</v>
      </c>
      <c r="K67" s="353"/>
      <c r="L67" s="353"/>
      <c r="M67" s="353"/>
      <c r="U67" s="352"/>
      <c r="V67" s="350"/>
      <c r="W67" s="350"/>
      <c r="X67" s="350"/>
      <c r="Y67" s="350"/>
      <c r="Z67" s="350"/>
    </row>
    <row r="68" spans="1:26" ht="15" hidden="1" customHeight="1" outlineLevel="1">
      <c r="A68" s="352"/>
      <c r="C68" s="671" t="s">
        <v>567</v>
      </c>
      <c r="D68" s="358"/>
      <c r="E68" s="358"/>
      <c r="F68" s="359"/>
      <c r="G68" s="681">
        <v>250.000001</v>
      </c>
      <c r="I68" s="675"/>
      <c r="K68" s="678" t="str">
        <f xml:space="preserve"> AB118</f>
        <v>SBGx by SwissBiogas.com</v>
      </c>
      <c r="L68" s="676"/>
      <c r="M68" s="676"/>
      <c r="U68" s="352"/>
      <c r="V68" s="350"/>
      <c r="W68" s="350"/>
      <c r="X68" s="350"/>
      <c r="Y68" s="350"/>
      <c r="Z68" s="350"/>
    </row>
    <row r="69" spans="1:26" ht="15" hidden="1" customHeight="1" outlineLevel="1">
      <c r="A69" s="352"/>
      <c r="C69" s="680" t="s">
        <v>568</v>
      </c>
      <c r="D69" s="373"/>
      <c r="E69" s="373"/>
      <c r="F69" s="639"/>
      <c r="G69" s="682">
        <v>21.000001000000001</v>
      </c>
      <c r="I69" s="675"/>
      <c r="K69" s="676"/>
      <c r="L69" s="676"/>
      <c r="M69" s="783" t="str">
        <f ca="1" xml:space="preserve"> "Ratio H₂S-RR" &amp; CHAR(10) &amp; "Factor " &amp; IFERROR(TEXT(AC107 / AD107, fmt_dec_3), "0") &amp; " : 1"</f>
        <v>Ratio H₂S-RR
Factor 4.910 : 1</v>
      </c>
      <c r="U69" s="352"/>
      <c r="V69" s="350"/>
      <c r="W69" s="350"/>
      <c r="X69" s="350"/>
      <c r="Y69" s="350"/>
      <c r="Z69" s="350"/>
    </row>
    <row r="70" spans="1:26" ht="15" hidden="1" customHeight="1" outlineLevel="1">
      <c r="A70" s="352"/>
      <c r="C70" s="688" t="s">
        <v>572</v>
      </c>
      <c r="D70" s="546"/>
      <c r="E70" s="672"/>
      <c r="F70" s="673"/>
      <c r="G70" s="679" t="str">
        <f ca="1" xml:space="preserve"> "(O₂: " &amp; TEXT(AB110 * G69 / 100 / 1000, fmt_dec_2) &amp; " kg)"</f>
        <v>(O₂: 74.01 kg)</v>
      </c>
      <c r="H70" s="617"/>
      <c r="I70" s="674"/>
      <c r="K70" s="677">
        <f xml:space="preserve"> AB110 * AB107 / AM133 / 1000</f>
        <v>363.36715827442976</v>
      </c>
      <c r="L70" s="676"/>
      <c r="M70" s="784"/>
      <c r="O70" s="350" t="str">
        <f xml:space="preserve"> IF(AI124 = 1, "", "* Notice: α is set for SBGx to " &amp; AI124 &amp; " (" &amp; M27 &amp; ") *")</f>
        <v/>
      </c>
      <c r="U70" s="352"/>
      <c r="V70" s="350"/>
      <c r="W70" s="350"/>
      <c r="X70" s="350"/>
      <c r="Y70" s="350"/>
      <c r="Z70" s="350"/>
    </row>
    <row r="71" spans="1:26" ht="15" hidden="1" customHeight="1" outlineLevel="1">
      <c r="A71" s="352"/>
      <c r="K71" s="353"/>
      <c r="O71" s="683"/>
      <c r="U71" s="641" t="s">
        <v>556</v>
      </c>
      <c r="V71" s="350"/>
      <c r="W71" s="350"/>
      <c r="X71" s="350"/>
      <c r="Y71" s="350"/>
      <c r="Z71" s="350"/>
    </row>
    <row r="72" spans="1:26" ht="15" customHeight="1" collapsed="1">
      <c r="A72" s="29"/>
      <c r="B72" s="467"/>
      <c r="C72" s="777" t="s">
        <v>139</v>
      </c>
      <c r="D72" s="777"/>
      <c r="E72" s="777"/>
      <c r="F72" s="777"/>
      <c r="G72" s="777"/>
      <c r="H72" s="691"/>
      <c r="I72" s="692"/>
      <c r="J72" s="693"/>
      <c r="K72" s="693"/>
      <c r="L72" s="693"/>
      <c r="M72" s="693"/>
      <c r="N72" s="693"/>
      <c r="O72" s="467"/>
      <c r="P72" s="693"/>
      <c r="Q72" s="467"/>
      <c r="R72" s="467"/>
      <c r="S72" s="467"/>
      <c r="T72" s="467"/>
      <c r="U72" s="350"/>
      <c r="V72" s="350"/>
      <c r="W72" s="350"/>
      <c r="X72" s="350"/>
      <c r="Y72" s="350"/>
      <c r="Z72" s="350"/>
    </row>
    <row r="73" spans="1:26" ht="15" customHeight="1">
      <c r="B73" s="402"/>
      <c r="I73" s="32"/>
      <c r="J73" s="403"/>
      <c r="K73" s="403"/>
      <c r="L73" s="403"/>
      <c r="M73" s="404" t="s">
        <v>407</v>
      </c>
      <c r="N73" s="403"/>
      <c r="P73" s="403"/>
      <c r="U73" s="350"/>
      <c r="V73" s="350"/>
      <c r="W73" s="350"/>
      <c r="X73" s="350"/>
      <c r="Y73" s="350"/>
      <c r="Z73" s="350"/>
    </row>
    <row r="74" spans="1:26" ht="15" customHeight="1">
      <c r="B74" s="402"/>
      <c r="I74" s="32"/>
      <c r="J74" s="403"/>
      <c r="K74" s="403"/>
      <c r="L74" s="403"/>
      <c r="M74" s="404"/>
      <c r="N74" s="403"/>
      <c r="P74" s="403"/>
      <c r="U74" s="350"/>
      <c r="V74" s="350"/>
      <c r="W74" s="350"/>
      <c r="X74" s="350"/>
      <c r="Y74" s="350"/>
      <c r="Z74" s="350"/>
    </row>
    <row r="75" spans="1:26" ht="15" customHeight="1">
      <c r="A75" s="350"/>
      <c r="U75" s="350"/>
      <c r="V75" s="350"/>
      <c r="W75" s="350"/>
      <c r="X75" s="350"/>
      <c r="Y75" s="350"/>
      <c r="Z75" s="350"/>
    </row>
    <row r="76" spans="1:26">
      <c r="A76" s="350"/>
      <c r="U76" s="350"/>
      <c r="V76" s="350"/>
      <c r="W76" s="350"/>
      <c r="X76" s="350"/>
      <c r="Y76" s="350"/>
      <c r="Z76" s="350"/>
    </row>
    <row r="77" spans="1:26">
      <c r="A77" s="350"/>
      <c r="U77" s="350"/>
      <c r="V77" s="350"/>
      <c r="W77" s="350"/>
      <c r="X77" s="350"/>
      <c r="Y77" s="350"/>
      <c r="Z77" s="350"/>
    </row>
    <row r="78" spans="1:26">
      <c r="A78" s="350"/>
      <c r="U78" s="350"/>
      <c r="V78" s="350"/>
      <c r="W78" s="350"/>
      <c r="X78" s="350"/>
      <c r="Y78" s="350"/>
      <c r="Z78" s="350"/>
    </row>
    <row r="79" spans="1:26">
      <c r="A79" s="350"/>
      <c r="U79" s="350"/>
      <c r="V79" s="350"/>
      <c r="W79" s="350"/>
      <c r="X79" s="350"/>
      <c r="Y79" s="350"/>
      <c r="Z79" s="350"/>
    </row>
    <row r="80" spans="1:26">
      <c r="A80" s="350"/>
      <c r="U80" s="350"/>
      <c r="V80" s="350"/>
      <c r="W80" s="350"/>
      <c r="X80" s="350"/>
      <c r="Y80" s="350"/>
      <c r="Z80" s="350"/>
    </row>
    <row r="81" spans="1:26">
      <c r="A81" s="350"/>
      <c r="U81" s="350"/>
      <c r="V81" s="350"/>
      <c r="W81" s="350"/>
      <c r="X81" s="350"/>
      <c r="Y81" s="350"/>
      <c r="Z81" s="350"/>
    </row>
    <row r="82" spans="1:26" ht="15" customHeight="1">
      <c r="A82" s="350"/>
      <c r="U82" s="350"/>
      <c r="V82" s="350"/>
      <c r="W82" s="350"/>
      <c r="X82" s="350"/>
      <c r="Y82" s="350"/>
      <c r="Z82" s="350"/>
    </row>
    <row r="83" spans="1:26" ht="15" customHeight="1">
      <c r="A83" s="350"/>
      <c r="U83" s="350"/>
      <c r="V83" s="350"/>
      <c r="W83" s="350"/>
      <c r="X83" s="350"/>
      <c r="Y83" s="350"/>
      <c r="Z83" s="350"/>
    </row>
    <row r="84" spans="1:26" ht="15" customHeight="1">
      <c r="A84" s="350"/>
      <c r="U84" s="350"/>
      <c r="V84" s="350"/>
      <c r="W84" s="350"/>
      <c r="X84" s="350"/>
      <c r="Y84" s="350"/>
      <c r="Z84" s="350"/>
    </row>
    <row r="85" spans="1:26" ht="15" customHeight="1">
      <c r="A85" s="350"/>
      <c r="U85" s="350"/>
      <c r="V85" s="350"/>
      <c r="W85" s="350"/>
      <c r="X85" s="350"/>
      <c r="Y85" s="350"/>
      <c r="Z85" s="350"/>
    </row>
    <row r="86" spans="1:26" ht="15" customHeight="1">
      <c r="A86" s="350"/>
      <c r="U86" s="350"/>
      <c r="V86" s="350"/>
      <c r="W86" s="350"/>
      <c r="X86" s="350"/>
      <c r="Y86" s="350"/>
      <c r="Z86" s="350"/>
    </row>
    <row r="87" spans="1:26" ht="15" customHeight="1">
      <c r="A87" s="350"/>
      <c r="U87" s="350"/>
      <c r="V87" s="350"/>
      <c r="W87" s="350"/>
      <c r="X87" s="350"/>
      <c r="Y87" s="350"/>
      <c r="Z87" s="350"/>
    </row>
    <row r="88" spans="1:26" ht="15" customHeight="1">
      <c r="A88" s="350"/>
      <c r="U88" s="350"/>
      <c r="Z88" s="350"/>
    </row>
    <row r="89" spans="1:26" ht="15" customHeight="1">
      <c r="A89" s="350"/>
      <c r="U89" s="350"/>
      <c r="V89" s="350"/>
      <c r="X89" s="350"/>
      <c r="Y89" s="350"/>
      <c r="Z89" s="350"/>
    </row>
    <row r="90" spans="1:26" ht="15" customHeight="1">
      <c r="A90" s="350"/>
      <c r="U90" s="350"/>
      <c r="V90" s="350"/>
      <c r="X90" s="350"/>
      <c r="Y90" s="350"/>
      <c r="Z90" s="350"/>
    </row>
    <row r="91" spans="1:26" ht="15" customHeight="1">
      <c r="A91" s="350"/>
      <c r="U91" s="350"/>
      <c r="V91" s="350"/>
      <c r="X91" s="350"/>
      <c r="Y91" s="350"/>
      <c r="Z91" s="350"/>
    </row>
    <row r="92" spans="1:26" ht="15" customHeight="1">
      <c r="A92" s="350"/>
      <c r="U92" s="350"/>
      <c r="V92" s="350"/>
      <c r="X92" s="350"/>
      <c r="Y92" s="350"/>
      <c r="Z92" s="350"/>
    </row>
    <row r="93" spans="1:26" ht="15" customHeight="1">
      <c r="A93" s="350"/>
      <c r="U93" s="350"/>
      <c r="V93" s="350"/>
      <c r="X93" s="350"/>
      <c r="Y93" s="350"/>
      <c r="Z93" s="350"/>
    </row>
    <row r="94" spans="1:26" ht="15" customHeight="1">
      <c r="A94" s="350"/>
      <c r="K94" s="669"/>
      <c r="U94" s="350"/>
      <c r="V94" s="350"/>
      <c r="X94" s="350"/>
      <c r="Y94" s="350"/>
      <c r="Z94" s="350"/>
    </row>
    <row r="95" spans="1:26" ht="15" customHeight="1">
      <c r="A95" s="350"/>
      <c r="K95" s="353"/>
      <c r="U95" s="350"/>
      <c r="V95" s="350"/>
      <c r="X95" s="350"/>
      <c r="Y95" s="350"/>
      <c r="Z95" s="350"/>
    </row>
    <row r="96" spans="1:26" ht="15" customHeight="1">
      <c r="A96" s="350"/>
      <c r="K96" s="353"/>
      <c r="U96" s="350"/>
      <c r="V96" s="350"/>
      <c r="X96" s="350"/>
      <c r="Y96" s="350"/>
      <c r="Z96" s="350"/>
    </row>
    <row r="97" spans="1:50" ht="15" customHeight="1">
      <c r="A97" s="350"/>
      <c r="K97" s="353"/>
      <c r="U97" s="350"/>
      <c r="V97" s="350"/>
      <c r="X97" s="350"/>
      <c r="Y97" s="350"/>
      <c r="Z97" s="350"/>
    </row>
    <row r="98" spans="1:50" ht="15" customHeight="1">
      <c r="A98" s="350"/>
      <c r="K98" s="353"/>
      <c r="U98" s="350"/>
      <c r="V98" s="350"/>
      <c r="X98" s="350"/>
      <c r="Y98" s="350"/>
      <c r="Z98" s="350"/>
    </row>
    <row r="99" spans="1:50" ht="15" customHeight="1">
      <c r="A99" s="350"/>
      <c r="K99" s="353"/>
      <c r="U99" s="356"/>
      <c r="V99" s="356"/>
      <c r="W99" s="356"/>
      <c r="X99" s="356"/>
      <c r="Y99" s="356"/>
      <c r="Z99" s="356"/>
      <c r="AA99" s="356"/>
      <c r="AB99" s="356"/>
      <c r="AC99" s="356"/>
      <c r="AD99" s="356"/>
      <c r="AE99" s="356"/>
      <c r="AF99" s="356"/>
      <c r="AG99" s="356"/>
      <c r="AH99" s="356"/>
      <c r="AI99" s="356"/>
      <c r="AJ99" s="356"/>
      <c r="AK99" s="356"/>
      <c r="AL99" s="356"/>
      <c r="AM99" s="356"/>
      <c r="AN99" s="356"/>
      <c r="AO99" s="356"/>
      <c r="AP99" s="356"/>
      <c r="AQ99" s="356"/>
      <c r="AR99" s="356"/>
      <c r="AS99" s="356"/>
      <c r="AT99" s="356"/>
      <c r="AU99" s="356"/>
      <c r="AV99" s="356"/>
      <c r="AW99" s="356"/>
    </row>
    <row r="100" spans="1:50" ht="15" customHeight="1">
      <c r="A100" s="350"/>
      <c r="K100" s="362"/>
      <c r="U100" s="350"/>
      <c r="V100" s="350"/>
      <c r="X100" s="350"/>
      <c r="Y100" s="350"/>
      <c r="Z100" s="350"/>
    </row>
    <row r="101" spans="1:50" ht="15" customHeight="1">
      <c r="A101" s="350"/>
      <c r="K101" s="362"/>
      <c r="U101" s="350"/>
      <c r="V101" s="643" t="s">
        <v>559</v>
      </c>
      <c r="W101" s="350"/>
      <c r="X101" s="350"/>
      <c r="Y101" s="350"/>
      <c r="Z101" s="350"/>
    </row>
    <row r="102" spans="1:50" ht="15" customHeight="1">
      <c r="A102" s="350"/>
      <c r="K102" s="362"/>
      <c r="U102" s="350"/>
      <c r="V102" s="648" t="s">
        <v>561</v>
      </c>
      <c r="W102" s="359"/>
      <c r="X102" s="359"/>
      <c r="Y102" s="359"/>
      <c r="Z102" s="359"/>
      <c r="AB102" s="642">
        <v>31.998799999999999</v>
      </c>
    </row>
    <row r="103" spans="1:50" ht="15" customHeight="1">
      <c r="A103" s="350"/>
      <c r="K103" s="353"/>
      <c r="L103" s="354"/>
      <c r="M103" s="660"/>
      <c r="U103" s="350"/>
      <c r="V103" s="659" t="s">
        <v>562</v>
      </c>
      <c r="AB103" s="650">
        <v>28.964700000000001</v>
      </c>
    </row>
    <row r="104" spans="1:50" ht="15" customHeight="1">
      <c r="A104" s="350"/>
      <c r="K104" s="353"/>
      <c r="U104" s="350"/>
      <c r="V104" s="667" t="s">
        <v>558</v>
      </c>
      <c r="W104" s="640"/>
      <c r="X104" s="640"/>
      <c r="Y104" s="640"/>
      <c r="Z104" s="640"/>
      <c r="AA104" s="666"/>
      <c r="AB104" s="665">
        <v>1</v>
      </c>
    </row>
    <row r="105" spans="1:50" ht="15" customHeight="1">
      <c r="A105" s="350"/>
      <c r="C105" s="654"/>
      <c r="D105" s="362"/>
      <c r="E105" s="362"/>
      <c r="F105" s="362"/>
      <c r="G105" s="362"/>
      <c r="H105" s="362"/>
      <c r="I105" s="362"/>
      <c r="J105" s="362"/>
      <c r="K105" s="362"/>
      <c r="U105" s="350"/>
      <c r="V105" s="662" t="s">
        <v>557</v>
      </c>
      <c r="W105" s="663"/>
      <c r="X105" s="663"/>
      <c r="Y105" s="663"/>
      <c r="Z105" s="663"/>
      <c r="AA105" s="664"/>
      <c r="AB105" s="649">
        <v>2</v>
      </c>
    </row>
    <row r="106" spans="1:50" ht="15" customHeight="1">
      <c r="A106" s="350"/>
      <c r="C106" s="654"/>
      <c r="D106" s="362"/>
      <c r="E106" s="362"/>
      <c r="F106" s="362"/>
      <c r="G106" s="362"/>
      <c r="H106" s="362"/>
      <c r="I106" s="8"/>
      <c r="J106" s="362"/>
      <c r="K106" s="362"/>
      <c r="U106" s="350"/>
      <c r="V106" s="668" t="s">
        <v>563</v>
      </c>
      <c r="W106" s="651"/>
      <c r="X106" s="651"/>
      <c r="Y106" s="651"/>
      <c r="Z106" s="651"/>
      <c r="AA106" s="651"/>
      <c r="AB106" s="652">
        <f xml:space="preserve"> G69 / 100 * AB104 * AB105 / AB102</f>
        <v>1.3125492830981163E-2</v>
      </c>
      <c r="AC106" s="686" t="s">
        <v>571</v>
      </c>
      <c r="AD106" s="687" t="s">
        <v>569</v>
      </c>
    </row>
    <row r="107" spans="1:50" s="353" customFormat="1" ht="15" customHeight="1">
      <c r="C107" s="655"/>
      <c r="D107" s="656"/>
      <c r="E107" s="362"/>
      <c r="F107" s="657"/>
      <c r="G107" s="658"/>
      <c r="H107" s="362"/>
      <c r="I107" s="362"/>
      <c r="J107" s="362"/>
      <c r="K107" s="362"/>
      <c r="V107" s="648" t="s">
        <v>564</v>
      </c>
      <c r="W107" s="359"/>
      <c r="X107" s="359"/>
      <c r="Y107" s="359"/>
      <c r="Z107" s="359"/>
      <c r="AA107" s="359"/>
      <c r="AB107" s="653">
        <f xml:space="preserve"> AB106 * I234</f>
        <v>0.44731679567983801</v>
      </c>
      <c r="AC107" s="684">
        <f xml:space="preserve"> AB107 / G69 * 100</f>
        <v>2.1300798779954246</v>
      </c>
      <c r="AD107" s="685">
        <f xml:space="preserve"> AM133</f>
        <v>0.43382779942355598</v>
      </c>
    </row>
    <row r="108" spans="1:50" ht="15" customHeight="1">
      <c r="A108" s="350"/>
      <c r="C108" s="362"/>
      <c r="D108" s="362"/>
      <c r="E108" s="362"/>
      <c r="F108" s="362"/>
      <c r="G108" s="362"/>
      <c r="H108" s="362"/>
      <c r="I108" s="362"/>
      <c r="J108" s="362"/>
      <c r="K108" s="362"/>
      <c r="U108" s="350"/>
      <c r="V108" s="647" t="s">
        <v>565</v>
      </c>
      <c r="W108" s="640"/>
      <c r="X108" s="640"/>
      <c r="Y108" s="640"/>
      <c r="Z108" s="640"/>
      <c r="AA108" s="661"/>
      <c r="AB108" s="642">
        <v>22.7</v>
      </c>
      <c r="AC108" s="683" t="s">
        <v>570</v>
      </c>
    </row>
    <row r="109" spans="1:50" ht="15" customHeight="1">
      <c r="A109" s="350"/>
      <c r="C109" s="362"/>
      <c r="D109" s="362"/>
      <c r="E109" s="362"/>
      <c r="F109" s="362"/>
      <c r="G109" s="362"/>
      <c r="H109" s="362"/>
      <c r="I109" s="362"/>
      <c r="J109" s="362"/>
      <c r="K109" s="362"/>
      <c r="U109" s="350"/>
      <c r="V109" s="644" t="str">
        <f xml:space="preserve"> "Moles in " &amp; G68 &amp; " m³"</f>
        <v>Moles in 250.000001 m³</v>
      </c>
      <c r="W109" s="359"/>
      <c r="X109" s="359"/>
      <c r="Y109" s="359"/>
      <c r="Z109" s="359"/>
      <c r="AA109" s="359"/>
      <c r="AB109" s="645">
        <f xml:space="preserve"> G68 * 1000 / AB108</f>
        <v>11013.215903083701</v>
      </c>
    </row>
    <row r="110" spans="1:50" ht="15" customHeight="1">
      <c r="A110" s="350"/>
      <c r="U110" s="350"/>
      <c r="V110" s="638" t="str">
        <f xml:space="preserve"> "m(O₂) (" &amp; G68 &amp; " m³) [g]"</f>
        <v>m(O₂) (250.000001 m³) [g]</v>
      </c>
      <c r="W110" s="640"/>
      <c r="X110" s="640"/>
      <c r="Y110" s="640"/>
      <c r="Z110" s="640"/>
      <c r="AA110" s="640"/>
      <c r="AB110" s="646">
        <f xml:space="preserve"> AB109 * AB102</f>
        <v>352409.69303959474</v>
      </c>
    </row>
    <row r="111" spans="1:50" ht="15" customHeight="1">
      <c r="A111" s="350"/>
      <c r="U111" s="356"/>
      <c r="V111" s="356"/>
      <c r="W111" s="356"/>
      <c r="X111" s="356"/>
      <c r="Y111" s="356"/>
      <c r="Z111" s="356"/>
      <c r="AA111" s="356"/>
      <c r="AB111" s="356"/>
      <c r="AC111" s="356"/>
      <c r="AD111" s="356"/>
      <c r="AE111" s="356"/>
      <c r="AF111" s="356"/>
      <c r="AG111" s="356"/>
      <c r="AH111" s="356"/>
      <c r="AI111" s="356"/>
      <c r="AJ111" s="356"/>
      <c r="AK111" s="356"/>
      <c r="AL111" s="356"/>
      <c r="AM111" s="356"/>
      <c r="AN111" s="356"/>
      <c r="AO111" s="356"/>
      <c r="AP111" s="356"/>
      <c r="AQ111" s="356"/>
      <c r="AR111" s="356"/>
      <c r="AS111" s="356"/>
      <c r="AT111" s="356"/>
      <c r="AU111" s="356"/>
      <c r="AV111" s="356"/>
      <c r="AW111" s="356"/>
    </row>
    <row r="112" spans="1:50" ht="15" customHeight="1">
      <c r="A112" s="350"/>
      <c r="U112" s="353"/>
      <c r="V112" s="353"/>
      <c r="W112" s="353"/>
      <c r="X112" s="353"/>
      <c r="Y112" s="353"/>
      <c r="Z112" s="353"/>
      <c r="AA112" s="353"/>
      <c r="AB112" s="353"/>
      <c r="AC112" s="353"/>
      <c r="AD112" s="353"/>
      <c r="AE112" s="353"/>
      <c r="AF112" s="353"/>
      <c r="AG112" s="353"/>
      <c r="AH112" s="353"/>
      <c r="AI112" s="353"/>
      <c r="AJ112" s="353"/>
      <c r="AK112" s="353"/>
      <c r="AL112" s="353"/>
      <c r="AM112" s="353"/>
      <c r="AN112" s="353"/>
      <c r="AO112" s="353"/>
      <c r="AP112" s="353"/>
      <c r="AQ112" s="353"/>
      <c r="AR112" s="353"/>
      <c r="AS112" s="353"/>
      <c r="AT112" s="353"/>
      <c r="AU112" s="353"/>
      <c r="AV112" s="353"/>
      <c r="AX112" s="353"/>
    </row>
    <row r="113" spans="1:50" ht="15" customHeight="1">
      <c r="A113" s="350"/>
      <c r="AA113" s="405"/>
      <c r="AB113" s="405"/>
      <c r="AC113" s="405"/>
      <c r="AD113" s="353"/>
      <c r="AE113" s="353"/>
      <c r="AF113" s="353"/>
      <c r="AG113" s="31" t="s">
        <v>336</v>
      </c>
      <c r="AH113" s="362"/>
      <c r="AI113" s="362"/>
      <c r="AO113" s="778" t="s">
        <v>339</v>
      </c>
      <c r="AP113" s="778"/>
      <c r="AQ113" s="778"/>
      <c r="AR113" s="778"/>
      <c r="AS113" s="778"/>
      <c r="AT113" s="778"/>
      <c r="AU113" s="778"/>
      <c r="AV113" s="778"/>
      <c r="AX113" s="353"/>
    </row>
    <row r="114" spans="1:50" ht="15" customHeight="1">
      <c r="A114" s="350"/>
      <c r="AA114" s="405"/>
      <c r="AB114" s="405"/>
      <c r="AC114" s="353"/>
      <c r="AD114" s="353"/>
      <c r="AE114" s="353"/>
      <c r="AF114" s="353"/>
      <c r="AG114" s="350" t="s">
        <v>337</v>
      </c>
      <c r="AH114" s="362"/>
      <c r="AJ114" s="362" t="s">
        <v>414</v>
      </c>
      <c r="AO114" s="778"/>
      <c r="AP114" s="778"/>
      <c r="AQ114" s="778"/>
      <c r="AR114" s="778"/>
      <c r="AS114" s="778"/>
      <c r="AT114" s="778"/>
      <c r="AU114" s="778"/>
      <c r="AV114" s="778"/>
      <c r="AX114" s="353"/>
    </row>
    <row r="115" spans="1:50" ht="15" customHeight="1">
      <c r="A115" s="350"/>
      <c r="AA115" s="405"/>
      <c r="AB115" s="405"/>
      <c r="AC115" s="405"/>
      <c r="AD115" s="353"/>
      <c r="AE115" s="353"/>
      <c r="AF115" s="353"/>
      <c r="AG115" s="350" t="s">
        <v>490</v>
      </c>
      <c r="AH115" s="362"/>
      <c r="AO115" s="778"/>
      <c r="AP115" s="778"/>
      <c r="AQ115" s="778"/>
      <c r="AR115" s="778"/>
      <c r="AS115" s="778"/>
      <c r="AT115" s="778"/>
      <c r="AU115" s="778"/>
      <c r="AV115" s="778"/>
      <c r="AX115" s="353"/>
    </row>
    <row r="116" spans="1:50" ht="15" customHeight="1">
      <c r="A116" s="350"/>
      <c r="AA116" s="406"/>
      <c r="AB116" s="406"/>
      <c r="AC116" s="406"/>
      <c r="AG116" s="350" t="s">
        <v>338</v>
      </c>
      <c r="AJ116" s="362" t="s">
        <v>415</v>
      </c>
      <c r="AO116" s="778"/>
      <c r="AP116" s="778"/>
      <c r="AQ116" s="778"/>
      <c r="AR116" s="778"/>
      <c r="AS116" s="778"/>
      <c r="AT116" s="778"/>
      <c r="AU116" s="778"/>
      <c r="AV116" s="778"/>
      <c r="AX116" s="353"/>
    </row>
    <row r="117" spans="1:50" ht="15" customHeight="1">
      <c r="A117" s="350"/>
      <c r="AA117" s="407" t="s">
        <v>81</v>
      </c>
      <c r="AB117" s="408" t="s">
        <v>16</v>
      </c>
      <c r="AC117" s="409"/>
      <c r="AL117" s="362"/>
      <c r="AN117" s="362"/>
      <c r="AO117" s="778"/>
      <c r="AP117" s="778"/>
      <c r="AQ117" s="778"/>
      <c r="AR117" s="778"/>
      <c r="AS117" s="778"/>
      <c r="AT117" s="778"/>
      <c r="AU117" s="778"/>
      <c r="AV117" s="778"/>
      <c r="AX117" s="353"/>
    </row>
    <row r="118" spans="1:50" ht="15" customHeight="1">
      <c r="A118" s="355"/>
      <c r="B118" s="354"/>
      <c r="C118" s="264"/>
      <c r="D118" s="410"/>
      <c r="E118" s="410"/>
      <c r="F118" s="410"/>
      <c r="G118" s="410"/>
      <c r="H118" s="410"/>
      <c r="I118" s="410"/>
      <c r="J118" s="410"/>
      <c r="K118" s="410"/>
      <c r="L118" s="410"/>
      <c r="M118" s="410"/>
      <c r="N118" s="410"/>
      <c r="O118" s="410"/>
      <c r="P118" s="354"/>
      <c r="Q118" s="354"/>
      <c r="R118" s="354"/>
      <c r="S118" s="354"/>
      <c r="T118" s="354"/>
      <c r="AA118" s="411" t="s">
        <v>82</v>
      </c>
      <c r="AB118" s="412" t="str">
        <f xml:space="preserve"> AB117 &amp; " by SwissBiogas.com"</f>
        <v>SBGx by SwissBiogas.com</v>
      </c>
      <c r="AC118" s="413"/>
      <c r="AG118" s="350" t="s">
        <v>352</v>
      </c>
      <c r="AO118" s="778"/>
      <c r="AP118" s="778"/>
      <c r="AQ118" s="778"/>
      <c r="AR118" s="778"/>
      <c r="AS118" s="778"/>
      <c r="AT118" s="778"/>
      <c r="AU118" s="778"/>
      <c r="AV118" s="778"/>
      <c r="AX118" s="353"/>
    </row>
    <row r="119" spans="1:50" ht="15" customHeight="1">
      <c r="A119" s="354"/>
      <c r="B119" s="354"/>
      <c r="C119" s="354"/>
      <c r="D119" s="354"/>
      <c r="E119" s="354"/>
      <c r="F119" s="354"/>
      <c r="G119" s="354"/>
      <c r="H119" s="354"/>
      <c r="I119" s="354"/>
      <c r="J119" s="354"/>
      <c r="K119" s="354"/>
      <c r="L119" s="354"/>
      <c r="M119" s="354"/>
      <c r="N119" s="354"/>
      <c r="O119" s="354"/>
      <c r="P119" s="354"/>
      <c r="Q119" s="354"/>
      <c r="R119" s="354"/>
      <c r="S119" s="354"/>
      <c r="T119" s="354"/>
      <c r="AX119" s="353"/>
    </row>
    <row r="120" spans="1:50" ht="15" customHeight="1">
      <c r="A120" s="350"/>
      <c r="AA120" s="259"/>
      <c r="AB120" s="258"/>
      <c r="AC120" s="258"/>
      <c r="AG120" s="414" t="s">
        <v>348</v>
      </c>
      <c r="AH120" s="365"/>
      <c r="AI120" s="415">
        <v>1</v>
      </c>
      <c r="AM120" s="362"/>
      <c r="AN120" s="362"/>
      <c r="AO120" s="414" t="s">
        <v>366</v>
      </c>
      <c r="AP120" s="365"/>
      <c r="AQ120" s="416" t="s">
        <v>217</v>
      </c>
      <c r="AR120" s="417" t="s">
        <v>184</v>
      </c>
      <c r="AX120" s="353"/>
    </row>
    <row r="121" spans="1:50" ht="15" customHeight="1">
      <c r="A121" s="350"/>
      <c r="AA121" s="418" t="s">
        <v>45</v>
      </c>
      <c r="AB121" s="419" t="s">
        <v>58</v>
      </c>
      <c r="AC121" s="420">
        <f xml:space="preserve"> IF(NOT(ISERR(G25)), IF(AND(ISNUMBER(G25), G25 &gt; 0), G25, 0), 0)</f>
        <v>0</v>
      </c>
      <c r="AD121" s="419" t="s">
        <v>59</v>
      </c>
      <c r="AE121" s="420">
        <f xml:space="preserve"> IF(NOT(ISERR(G25)), IF(ISNUMBER(G25), basis!D22, 0), 0)</f>
        <v>0</v>
      </c>
      <c r="AG121" s="421" t="s">
        <v>349</v>
      </c>
      <c r="AH121" s="366"/>
      <c r="AI121" s="368">
        <v>1.5</v>
      </c>
      <c r="AJ121" s="422" t="s">
        <v>353</v>
      </c>
      <c r="AL121" s="362"/>
      <c r="AO121" s="421"/>
      <c r="AP121" s="423" t="s">
        <v>360</v>
      </c>
      <c r="AQ121" s="407">
        <f xml:space="preserve"> IFERROR(IF(AJ133 = 0, 0, AM133 / AJ133), 0)</f>
        <v>1.7233167302828303</v>
      </c>
      <c r="AR121" s="424" t="str">
        <f ca="1" xml:space="preserve"> IFERROR(IF(AQ121 &lt; 1, TEXT(1 / AQ121, fmt_dec_3) &amp; " : 1", "1 : " &amp; TEXT(AQ121, fmt_dec_3)), 0)</f>
        <v>1 : 1.723</v>
      </c>
    </row>
    <row r="122" spans="1:50" ht="15" customHeight="1">
      <c r="A122" s="350"/>
      <c r="U122" s="362"/>
      <c r="V122" s="362"/>
      <c r="W122" s="365" t="s">
        <v>62</v>
      </c>
      <c r="X122" s="365" t="s">
        <v>389</v>
      </c>
      <c r="Y122" s="425" t="s">
        <v>393</v>
      </c>
      <c r="Z122" s="425" t="s">
        <v>394</v>
      </c>
      <c r="AA122" s="426" t="s">
        <v>55</v>
      </c>
      <c r="AB122" s="427" t="s">
        <v>50</v>
      </c>
      <c r="AC122" s="428" t="s">
        <v>51</v>
      </c>
      <c r="AD122" s="427" t="s">
        <v>52</v>
      </c>
      <c r="AE122" s="428" t="s">
        <v>53</v>
      </c>
      <c r="AG122" s="421" t="s">
        <v>341</v>
      </c>
      <c r="AH122" s="366"/>
      <c r="AI122" s="429">
        <f xml:space="preserve"> I234 / I230</f>
        <v>0.61026054257319362</v>
      </c>
      <c r="AJ122" s="422" t="s">
        <v>472</v>
      </c>
      <c r="AM122" s="362"/>
      <c r="AN122" s="362"/>
      <c r="AO122" s="421" t="s">
        <v>364</v>
      </c>
      <c r="AP122" s="421"/>
      <c r="AX122" s="26"/>
    </row>
    <row r="123" spans="1:50" ht="15" customHeight="1">
      <c r="A123" s="350"/>
      <c r="V123" s="365" t="str">
        <f xml:space="preserve"> basis!B8</f>
        <v>FeO</v>
      </c>
      <c r="W123" s="430" t="s">
        <v>169</v>
      </c>
      <c r="X123" s="430" t="s">
        <v>390</v>
      </c>
      <c r="Y123" s="368">
        <f t="shared" ref="Y123:Y131" si="1" xml:space="preserve"> IF($F$23 = V123, $G$23, IF($F$24 = V123, $G$24, 0))</f>
        <v>0</v>
      </c>
      <c r="Z123" s="368">
        <f xml:space="preserve"> SUM(AB123:AC123)</f>
        <v>0</v>
      </c>
      <c r="AA123" s="431" t="s">
        <v>56</v>
      </c>
      <c r="AB123" s="432">
        <f xml:space="preserve"> IF(ISERR(Y123), 0, IF(AND(ISNUMBER(Y123), Y123 &gt; 0), Y123 * basis!G8 / 100, 0))</f>
        <v>0</v>
      </c>
      <c r="AC123" s="433">
        <v>0</v>
      </c>
      <c r="AD123" s="432">
        <f xml:space="preserve"> IF(basis!B22 &gt; 0, basis!B22 * basis!G8 / 100, 0) * IFERROR((1 - K28 / 100), 1)</f>
        <v>32.506888497920507</v>
      </c>
      <c r="AE123" s="433">
        <v>0</v>
      </c>
      <c r="AF123" s="362"/>
      <c r="AG123" s="421" t="s">
        <v>355</v>
      </c>
      <c r="AH123" s="366"/>
      <c r="AI123" s="368">
        <f xml:space="preserve"> IFERROR(IF(OR(K26 &lt; 0, K26 &gt; 100), 0.5, IF(NOT(ISNUMBER(K26)), 0.5, K26 / 100)), 0.5)</f>
        <v>0.5</v>
      </c>
      <c r="AJ123" s="350" t="s">
        <v>354</v>
      </c>
      <c r="AK123" s="362"/>
      <c r="AL123" s="362"/>
      <c r="AM123" s="362"/>
      <c r="AN123" s="362"/>
      <c r="AO123" s="421"/>
      <c r="AP123" s="423" t="s">
        <v>363</v>
      </c>
      <c r="AQ123" s="407">
        <f xml:space="preserve"> IFERROR(1 / AQ121, 0)</f>
        <v>0.58027638357336686</v>
      </c>
      <c r="AR123" s="424" t="str">
        <f ca="1" xml:space="preserve"> IFERROR(IF(AQ123 &lt; 1, TEXT(1 / AQ123, fmt_dec_3) &amp; " : 1", "1 : " &amp; TEXT(AQ123, fmt_dec_3)), "")</f>
        <v>1.723 : 1</v>
      </c>
    </row>
    <row r="124" spans="1:50" ht="15" customHeight="1">
      <c r="A124" s="350"/>
      <c r="V124" s="366" t="str">
        <f xml:space="preserve"> basis!B9</f>
        <v>Fe₂O₃</v>
      </c>
      <c r="W124" s="430" t="s">
        <v>170</v>
      </c>
      <c r="X124" s="430" t="s">
        <v>391</v>
      </c>
      <c r="Y124" s="368">
        <f t="shared" si="1"/>
        <v>0</v>
      </c>
      <c r="Z124" s="368">
        <f t="shared" ref="Z124:Z131" si="2" xml:space="preserve"> SUM(AB124:AC124)</f>
        <v>0</v>
      </c>
      <c r="AA124" s="431" t="s">
        <v>57</v>
      </c>
      <c r="AB124" s="432">
        <v>0</v>
      </c>
      <c r="AC124" s="433">
        <f xml:space="preserve"> IF(ISERR(Y124), 0, IF(AND(ISNUMBER(Y124), Y124 &gt; 0), Y124 * basis!G9 / 100, 0))</f>
        <v>0</v>
      </c>
      <c r="AD124" s="432">
        <v>0</v>
      </c>
      <c r="AE124" s="433">
        <f xml:space="preserve"> IF(basis!C22 &gt; 0, basis!C22 * basis!G9 / 100, 0) * IFERROR((1 - K28 / 100), 1)</f>
        <v>30.865647555674123</v>
      </c>
      <c r="AG124" s="421" t="s">
        <v>343</v>
      </c>
      <c r="AH124" s="366"/>
      <c r="AI124" s="424">
        <f xml:space="preserve"> IFERROR(IF(OR(NOT(ISNUMBER(K27)), ISBLANK(K27), K27 &lt;= 0), AK124, K27), AK124)</f>
        <v>1</v>
      </c>
      <c r="AJ124" s="434" t="s">
        <v>470</v>
      </c>
      <c r="AK124" s="435">
        <v>1</v>
      </c>
      <c r="AL124" s="362"/>
      <c r="AM124" s="362"/>
      <c r="AN124" s="362"/>
      <c r="AO124" s="421" t="s">
        <v>365</v>
      </c>
      <c r="AP124" s="436"/>
    </row>
    <row r="125" spans="1:50" ht="15" customHeight="1">
      <c r="A125" s="350"/>
      <c r="V125" s="366" t="str">
        <f xml:space="preserve"> basis!B10</f>
        <v>Fe₃O₄</v>
      </c>
      <c r="W125" s="430" t="s">
        <v>384</v>
      </c>
      <c r="X125" s="430" t="s">
        <v>392</v>
      </c>
      <c r="Y125" s="368">
        <f t="shared" si="1"/>
        <v>0</v>
      </c>
      <c r="Z125" s="368">
        <f t="shared" si="2"/>
        <v>0</v>
      </c>
      <c r="AA125" s="431" t="s">
        <v>54</v>
      </c>
      <c r="AB125" s="432">
        <f xml:space="preserve"> IF(ISERR(Y125), 0, IF(AND(ISNUMBER(Y125), Y125 &gt; 0), Y125 / 3 * basis!G10 / 100, 0))</f>
        <v>0</v>
      </c>
      <c r="AC125" s="433">
        <f xml:space="preserve"> IF(ISERR(Y125), 0, IF(AND(ISNUMBER(Y125), Y125 &gt; 0), Y125 * 2 / 3 * basis!G10 / 100, 0))</f>
        <v>0</v>
      </c>
      <c r="AD125" s="432">
        <v>0</v>
      </c>
      <c r="AE125" s="433">
        <v>0</v>
      </c>
      <c r="AG125" s="421" t="s">
        <v>342</v>
      </c>
      <c r="AH125" s="366"/>
      <c r="AI125" s="437">
        <f xml:space="preserve"> I231 / I234</f>
        <v>0.94087441314553988</v>
      </c>
      <c r="AJ125" s="438" t="s">
        <v>473</v>
      </c>
      <c r="AK125" s="362"/>
      <c r="AL125" s="362"/>
      <c r="AM125" s="362"/>
      <c r="AN125" s="362"/>
      <c r="AO125" s="436"/>
      <c r="AP125" s="423" t="s">
        <v>367</v>
      </c>
      <c r="AQ125" s="407">
        <f xml:space="preserve"> IFERROR(AJ161 / AJ160 * AQ123, 0)</f>
        <v>0.85367583300043492</v>
      </c>
      <c r="AR125" s="424" t="str">
        <f ca="1" xml:space="preserve"> IFERROR(IF(AQ125 &lt; 1, TEXT(1 / AQ125, fmt_dec_3) &amp; " : 1", "1 : " &amp; TEXT(AQ125, fmt_dec_3)), "")</f>
        <v>1.171 : 1</v>
      </c>
      <c r="AS125" s="362"/>
      <c r="AT125" s="362"/>
      <c r="AU125" s="362"/>
      <c r="AV125" s="362"/>
    </row>
    <row r="126" spans="1:50" ht="15" customHeight="1">
      <c r="A126" s="350"/>
      <c r="V126" s="366" t="str">
        <f xml:space="preserve"> basis!B11</f>
        <v>FeCl₂</v>
      </c>
      <c r="W126" s="430" t="s">
        <v>385</v>
      </c>
      <c r="X126" s="430" t="s">
        <v>390</v>
      </c>
      <c r="Y126" s="368">
        <f t="shared" si="1"/>
        <v>0</v>
      </c>
      <c r="Z126" s="368">
        <f t="shared" si="2"/>
        <v>0</v>
      </c>
      <c r="AA126" s="431" t="s">
        <v>56</v>
      </c>
      <c r="AB126" s="432">
        <f xml:space="preserve"> IF(ISERR(Y126), 0, IF(AND(ISNUMBER(Y126), Y126 &gt; 0), Y126 * basis!G11 / 100, 0))</f>
        <v>0</v>
      </c>
      <c r="AC126" s="433">
        <v>0</v>
      </c>
      <c r="AD126" s="432">
        <v>0</v>
      </c>
      <c r="AE126" s="433">
        <v>0</v>
      </c>
      <c r="AG126" s="362"/>
      <c r="AH126" s="362"/>
      <c r="AI126" s="362"/>
      <c r="AJ126" s="362"/>
      <c r="AK126" s="362"/>
      <c r="AL126" s="362"/>
      <c r="AM126" s="362"/>
      <c r="AN126" s="439"/>
      <c r="AO126" s="362"/>
      <c r="AP126" s="362"/>
      <c r="AQ126" s="362"/>
      <c r="AR126" s="362"/>
      <c r="AS126" s="362"/>
      <c r="AT126" s="362"/>
      <c r="AU126" s="362"/>
      <c r="AV126" s="362"/>
    </row>
    <row r="127" spans="1:50" ht="15" customHeight="1">
      <c r="A127" s="350"/>
      <c r="V127" s="366" t="str">
        <f xml:space="preserve"> basis!B12</f>
        <v>FeCl₃</v>
      </c>
      <c r="W127" s="430" t="s">
        <v>171</v>
      </c>
      <c r="X127" s="430" t="s">
        <v>391</v>
      </c>
      <c r="Y127" s="368">
        <f t="shared" si="1"/>
        <v>0</v>
      </c>
      <c r="Z127" s="368">
        <f t="shared" si="2"/>
        <v>0</v>
      </c>
      <c r="AA127" s="431" t="s">
        <v>57</v>
      </c>
      <c r="AB127" s="432">
        <v>0</v>
      </c>
      <c r="AC127" s="433">
        <f xml:space="preserve"> IF(ISERR(Y127), 0, IF(AND(ISNUMBER(Y127), Y127 &gt; 0), Y127 * basis!G12 / 100, 0))</f>
        <v>0</v>
      </c>
      <c r="AD127" s="432">
        <v>0</v>
      </c>
      <c r="AE127" s="433">
        <v>0</v>
      </c>
      <c r="AG127" s="362"/>
      <c r="AH127" s="779" t="str">
        <f xml:space="preserve"> G21</f>
        <v>Your_Additive</v>
      </c>
      <c r="AI127" s="779"/>
      <c r="AJ127" s="260" t="s">
        <v>344</v>
      </c>
      <c r="AK127" s="779" t="str">
        <f xml:space="preserve"> AB117</f>
        <v>SBGx</v>
      </c>
      <c r="AL127" s="779"/>
      <c r="AM127" s="260" t="s">
        <v>344</v>
      </c>
      <c r="AO127" s="362"/>
      <c r="AP127" s="362"/>
      <c r="AQ127" s="362"/>
      <c r="AR127" s="362"/>
      <c r="AS127" s="362"/>
      <c r="AT127" s="362"/>
      <c r="AU127" s="362"/>
      <c r="AV127" s="362"/>
    </row>
    <row r="128" spans="1:50" ht="15" customHeight="1">
      <c r="A128" s="350"/>
      <c r="V128" s="366" t="str">
        <f xml:space="preserve"> basis!B13</f>
        <v>FeO(OH)</v>
      </c>
      <c r="W128" s="430" t="s">
        <v>172</v>
      </c>
      <c r="X128" s="430" t="s">
        <v>391</v>
      </c>
      <c r="Y128" s="368">
        <f t="shared" si="1"/>
        <v>52.505960999999999</v>
      </c>
      <c r="Z128" s="368">
        <f t="shared" si="2"/>
        <v>33.000990099293496</v>
      </c>
      <c r="AA128" s="431" t="s">
        <v>57</v>
      </c>
      <c r="AB128" s="432">
        <v>0</v>
      </c>
      <c r="AC128" s="433">
        <f xml:space="preserve"> IF(ISERR(Y128), 0, IF(AND(ISNUMBER(Y128), Y128 &gt; 0), Y128 * basis!G13 / 100, 0))</f>
        <v>33.000990099293496</v>
      </c>
      <c r="AD128" s="432">
        <v>0</v>
      </c>
      <c r="AE128" s="433">
        <v>0</v>
      </c>
      <c r="AG128" s="365" t="s">
        <v>351</v>
      </c>
      <c r="AH128" s="368">
        <f xml:space="preserve"> AB132 / 100</f>
        <v>0</v>
      </c>
      <c r="AI128" s="368">
        <f xml:space="preserve"> AC132 / 100</f>
        <v>0.33000990099293498</v>
      </c>
      <c r="AJ128" s="440">
        <f t="shared" ref="AJ128:AJ134" si="3">SUM(AH128:AI128)</f>
        <v>0.33000990099293498</v>
      </c>
      <c r="AK128" s="368">
        <f xml:space="preserve"> AD132 / 100</f>
        <v>0.32506888497920505</v>
      </c>
      <c r="AL128" s="368">
        <f xml:space="preserve"> AE132 / 100</f>
        <v>0.30865647555674125</v>
      </c>
      <c r="AM128" s="440">
        <f t="shared" ref="AM128:AM134" si="4">SUM(AK128:AL128)</f>
        <v>0.6337253605359463</v>
      </c>
      <c r="AO128" s="362"/>
      <c r="AP128" s="362"/>
      <c r="AQ128" s="362"/>
      <c r="AR128" s="362"/>
      <c r="AS128" s="362"/>
      <c r="AT128" s="362"/>
      <c r="AU128" s="362"/>
      <c r="AV128" s="362"/>
    </row>
    <row r="129" spans="1:50" ht="15" customHeight="1">
      <c r="A129" s="350"/>
      <c r="V129" s="366" t="str">
        <f xml:space="preserve"> basis!B14</f>
        <v>Fe(OH)₂</v>
      </c>
      <c r="W129" s="430" t="s">
        <v>386</v>
      </c>
      <c r="X129" s="430" t="s">
        <v>390</v>
      </c>
      <c r="Y129" s="368">
        <f t="shared" si="1"/>
        <v>0</v>
      </c>
      <c r="Z129" s="368">
        <f t="shared" si="2"/>
        <v>0</v>
      </c>
      <c r="AA129" s="431" t="s">
        <v>56</v>
      </c>
      <c r="AB129" s="432">
        <f xml:space="preserve"> IF(ISERR(Y129), 0, IF(AND(ISNUMBER(Y129), Y129 &gt; 0), Y129 * basis!G14 / 100, 0))</f>
        <v>0</v>
      </c>
      <c r="AC129" s="433">
        <v>0</v>
      </c>
      <c r="AD129" s="432">
        <v>0</v>
      </c>
      <c r="AE129" s="433">
        <v>0</v>
      </c>
      <c r="AG129" s="441" t="s">
        <v>340</v>
      </c>
      <c r="AH129" s="368">
        <f xml:space="preserve"> AH128 * (100 - $AC$121) / 100</f>
        <v>0</v>
      </c>
      <c r="AI129" s="368">
        <f xml:space="preserve"> AI128 * (100 - $AC$121) / 100</f>
        <v>0.33000990099293498</v>
      </c>
      <c r="AJ129" s="440">
        <f t="shared" si="3"/>
        <v>0.33000990099293498</v>
      </c>
      <c r="AK129" s="368">
        <f xml:space="preserve"> AK128 * (100 - $AE$121) / 100</f>
        <v>0.32506888497920505</v>
      </c>
      <c r="AL129" s="368">
        <f xml:space="preserve"> AL128 * (100 - $AE$121) / 100</f>
        <v>0.30865647555674125</v>
      </c>
      <c r="AM129" s="440">
        <f t="shared" si="4"/>
        <v>0.6337253605359463</v>
      </c>
      <c r="AO129" s="439"/>
      <c r="AP129" s="439"/>
      <c r="AQ129" s="439"/>
      <c r="AR129" s="439"/>
      <c r="AS129" s="439"/>
      <c r="AT129" s="439"/>
      <c r="AU129" s="439"/>
      <c r="AV129" s="439"/>
    </row>
    <row r="130" spans="1:50" ht="15" customHeight="1">
      <c r="A130" s="350"/>
      <c r="V130" s="366" t="str">
        <f xml:space="preserve"> basis!B15</f>
        <v>Fe(OH)₃</v>
      </c>
      <c r="W130" s="430" t="s">
        <v>387</v>
      </c>
      <c r="X130" s="430" t="s">
        <v>391</v>
      </c>
      <c r="Y130" s="368">
        <f t="shared" si="1"/>
        <v>0</v>
      </c>
      <c r="Z130" s="368">
        <f t="shared" si="2"/>
        <v>0</v>
      </c>
      <c r="AA130" s="431" t="s">
        <v>57</v>
      </c>
      <c r="AB130" s="432">
        <v>0</v>
      </c>
      <c r="AC130" s="433">
        <f xml:space="preserve"> IF(ISERR(Y130), 0, IF(AND(ISNUMBER(Y130), Y130 &gt; 0), Y130 * basis!G15 / 100, 0))</f>
        <v>0</v>
      </c>
      <c r="AD130" s="432">
        <v>0</v>
      </c>
      <c r="AE130" s="433">
        <v>0</v>
      </c>
      <c r="AG130" s="366" t="s">
        <v>350</v>
      </c>
      <c r="AH130" s="368">
        <f xml:space="preserve"> AH129 * $AI$120</f>
        <v>0</v>
      </c>
      <c r="AI130" s="368">
        <f xml:space="preserve"> AI129 * $AI$121</f>
        <v>0.4950148514894025</v>
      </c>
      <c r="AJ130" s="440">
        <f t="shared" si="3"/>
        <v>0.4950148514894025</v>
      </c>
      <c r="AK130" s="368">
        <f xml:space="preserve"> AK129 * $AI$120</f>
        <v>0.32506888497920505</v>
      </c>
      <c r="AL130" s="368">
        <f xml:space="preserve"> AL129 * $AI$121</f>
        <v>0.46298471333511187</v>
      </c>
      <c r="AM130" s="440">
        <f t="shared" si="4"/>
        <v>0.78805359831431687</v>
      </c>
      <c r="AN130" s="362" t="s">
        <v>347</v>
      </c>
      <c r="AO130" s="362"/>
      <c r="AP130" s="362"/>
      <c r="AQ130" s="362"/>
      <c r="AR130" s="362"/>
      <c r="AS130" s="362"/>
      <c r="AT130" s="362"/>
      <c r="AU130" s="362"/>
      <c r="AV130" s="362"/>
    </row>
    <row r="131" spans="1:50" ht="15" customHeight="1">
      <c r="A131" s="350"/>
      <c r="V131" s="366" t="str">
        <f xml:space="preserve"> basis!B16</f>
        <v>Fe₂O₃·3H₂O</v>
      </c>
      <c r="W131" s="430" t="s">
        <v>388</v>
      </c>
      <c r="X131" s="430" t="s">
        <v>391</v>
      </c>
      <c r="Y131" s="368">
        <f t="shared" si="1"/>
        <v>0</v>
      </c>
      <c r="Z131" s="368">
        <f t="shared" si="2"/>
        <v>0</v>
      </c>
      <c r="AA131" s="431" t="s">
        <v>57</v>
      </c>
      <c r="AB131" s="432">
        <v>0</v>
      </c>
      <c r="AC131" s="433">
        <f xml:space="preserve"> IF(ISERR(Y131), 0, IF(AND(ISNUMBER(Y131), Y131 &gt; 0), Y131 * basis!G16 / 100, 0))</f>
        <v>0</v>
      </c>
      <c r="AD131" s="432">
        <v>0</v>
      </c>
      <c r="AE131" s="433">
        <v>0</v>
      </c>
      <c r="AG131" s="365" t="s">
        <v>345</v>
      </c>
      <c r="AH131" s="424">
        <f xml:space="preserve"> AH130</f>
        <v>0</v>
      </c>
      <c r="AI131" s="424">
        <f xml:space="preserve"> AI130 - AI130 / 3 * $AI$123</f>
        <v>0.41251237624116877</v>
      </c>
      <c r="AJ131" s="424">
        <f t="shared" si="3"/>
        <v>0.41251237624116877</v>
      </c>
      <c r="AK131" s="424">
        <f xml:space="preserve"> AK130</f>
        <v>0.32506888497920505</v>
      </c>
      <c r="AL131" s="442">
        <f xml:space="preserve"> AL130 - AL130 / 3 * $AI$123</f>
        <v>0.38582059444592653</v>
      </c>
      <c r="AM131" s="442">
        <f t="shared" si="4"/>
        <v>0.71088947942513159</v>
      </c>
      <c r="AN131" s="438" t="s">
        <v>356</v>
      </c>
      <c r="AO131" s="362"/>
      <c r="AP131" s="362"/>
      <c r="AQ131" s="362"/>
      <c r="AR131" s="362"/>
      <c r="AS131" s="362"/>
      <c r="AT131" s="362"/>
      <c r="AU131" s="362"/>
      <c r="AV131" s="362"/>
    </row>
    <row r="132" spans="1:50" ht="15" customHeight="1">
      <c r="A132" s="350"/>
      <c r="AA132" s="443" t="s">
        <v>60</v>
      </c>
      <c r="AB132" s="444">
        <f xml:space="preserve"> SUM(AB123:AB131)</f>
        <v>0</v>
      </c>
      <c r="AC132" s="443">
        <f xml:space="preserve"> SUM(AC123:AC131)</f>
        <v>33.000990099293496</v>
      </c>
      <c r="AD132" s="444">
        <f xml:space="preserve"> SUM(AD123:AD131)</f>
        <v>32.506888497920507</v>
      </c>
      <c r="AE132" s="443">
        <f xml:space="preserve"> SUM(AE123:AE131)</f>
        <v>30.865647555674123</v>
      </c>
      <c r="AF132" s="362"/>
      <c r="AG132" s="261" t="s">
        <v>346</v>
      </c>
      <c r="AH132" s="437">
        <f xml:space="preserve"> AH131</f>
        <v>0</v>
      </c>
      <c r="AI132" s="437">
        <f xml:space="preserve"> AI131</f>
        <v>0.41251237624116877</v>
      </c>
      <c r="AJ132" s="262">
        <f t="shared" si="3"/>
        <v>0.41251237624116877</v>
      </c>
      <c r="AK132" s="437">
        <f xml:space="preserve"> AK131 / $AI$124</f>
        <v>0.32506888497920505</v>
      </c>
      <c r="AL132" s="437">
        <f xml:space="preserve"> AL131 / $AI$124</f>
        <v>0.38582059444592653</v>
      </c>
      <c r="AM132" s="263">
        <f t="shared" si="4"/>
        <v>0.71088947942513159</v>
      </c>
      <c r="AN132" s="438" t="s">
        <v>357</v>
      </c>
      <c r="AO132" s="362"/>
      <c r="AP132" s="362"/>
      <c r="AQ132" s="362"/>
      <c r="AR132" s="362"/>
      <c r="AS132" s="362"/>
      <c r="AT132" s="362"/>
      <c r="AU132" s="362"/>
      <c r="AV132" s="439"/>
    </row>
    <row r="133" spans="1:50" ht="15" customHeight="1">
      <c r="A133" s="350"/>
      <c r="AA133" s="445" t="s">
        <v>309</v>
      </c>
      <c r="AB133" s="446"/>
      <c r="AC133" s="447">
        <f xml:space="preserve"> (AB132 + AC132) * (100 - AC121) / 100</f>
        <v>33.000990099293496</v>
      </c>
      <c r="AD133" s="446"/>
      <c r="AE133" s="448">
        <f xml:space="preserve"> (AD132 + AE132) * (100 - AE121) / 100</f>
        <v>63.372536053594629</v>
      </c>
      <c r="AF133" s="362"/>
      <c r="AG133" s="261" t="s">
        <v>554</v>
      </c>
      <c r="AH133" s="437">
        <f xml:space="preserve"> AH132 * $AI$122</f>
        <v>0</v>
      </c>
      <c r="AI133" s="437">
        <f xml:space="preserve"> AI132 * $AI$122</f>
        <v>0.25174002654309302</v>
      </c>
      <c r="AJ133" s="262">
        <f t="shared" si="3"/>
        <v>0.25174002654309302</v>
      </c>
      <c r="AK133" s="437">
        <f xml:space="preserve"> AK132 * $AI$122</f>
        <v>0.19837671412107274</v>
      </c>
      <c r="AL133" s="437">
        <f xml:space="preserve"> AL132 * $AI$122</f>
        <v>0.23545108530248321</v>
      </c>
      <c r="AM133" s="263">
        <f t="shared" si="4"/>
        <v>0.43382779942355598</v>
      </c>
      <c r="AN133" s="438" t="s">
        <v>358</v>
      </c>
      <c r="AO133" s="362"/>
      <c r="AP133" s="362"/>
      <c r="AQ133" s="362"/>
      <c r="AR133" s="362"/>
      <c r="AS133" s="362"/>
      <c r="AT133" s="362"/>
      <c r="AU133" s="362"/>
      <c r="AV133" s="362"/>
    </row>
    <row r="134" spans="1:50" ht="15" customHeight="1">
      <c r="A134" s="350"/>
      <c r="AA134" s="443" t="s">
        <v>107</v>
      </c>
      <c r="AB134" s="444">
        <f xml:space="preserve"> AB132 / (AB132 + AC132) * 100</f>
        <v>0</v>
      </c>
      <c r="AC134" s="444">
        <f xml:space="preserve"> AC132 / (AB132 + AC132) * 100</f>
        <v>100</v>
      </c>
      <c r="AD134" s="444">
        <f xml:space="preserve"> AD132 / (AD132 + AE132) * 100</f>
        <v>51.29491499350631</v>
      </c>
      <c r="AE134" s="444">
        <f xml:space="preserve"> AE132 / (AD132 + AE132) * 100</f>
        <v>48.70508500649369</v>
      </c>
      <c r="AF134" s="8"/>
      <c r="AG134" s="261" t="s">
        <v>555</v>
      </c>
      <c r="AH134" s="437">
        <f xml:space="preserve"> AH133 * $AI$125</f>
        <v>0</v>
      </c>
      <c r="AI134" s="437">
        <f xml:space="preserve"> AI133 * $AI$125</f>
        <v>0.23685574973897527</v>
      </c>
      <c r="AJ134" s="262">
        <f t="shared" si="3"/>
        <v>0.23685574973897527</v>
      </c>
      <c r="AK134" s="437">
        <f xml:space="preserve"> AK133 * $AI$125</f>
        <v>0.18664757448040487</v>
      </c>
      <c r="AL134" s="437">
        <f xml:space="preserve"> AL133 * $AI$125</f>
        <v>0.22152990170845435</v>
      </c>
      <c r="AM134" s="263">
        <f t="shared" si="4"/>
        <v>0.40817747618885925</v>
      </c>
      <c r="AN134" s="438" t="s">
        <v>359</v>
      </c>
      <c r="AO134" s="362"/>
      <c r="AP134" s="362"/>
      <c r="AQ134" s="362"/>
      <c r="AR134" s="362"/>
      <c r="AS134" s="362"/>
      <c r="AT134" s="362"/>
      <c r="AU134" s="362"/>
      <c r="AV134" s="362"/>
    </row>
    <row r="135" spans="1:50" ht="15" customHeight="1">
      <c r="A135" s="350"/>
      <c r="AA135" s="449" t="s">
        <v>61</v>
      </c>
      <c r="AB135" s="450"/>
      <c r="AC135" s="449" t="str">
        <f xml:space="preserve">
IF(AB132 = 0,
    IF(AC132 = 0, "0 : 0", "0 : 100"),
    IF(AC132 = 0,
        "100 : 0",
        ROUND(AB134, 0) &amp; " : " &amp; 100 - ROUND(AB134, 0)
    )
)</f>
        <v>0 : 100</v>
      </c>
      <c r="AD135" s="450"/>
      <c r="AE135" s="449" t="str">
        <f xml:space="preserve">
IF(AD132 = 0,
    IF(AE132 = 0, "0 : 0", "0 : 100"),
    IF(AE132 = 0,
        "100 : 0",
        ROUND(AD134, 0) &amp; " : " &amp; 100 - ROUND(AD134, 0)
    )
)</f>
        <v>51 : 49</v>
      </c>
      <c r="AF135" s="362"/>
      <c r="AG135" s="362" t="s">
        <v>361</v>
      </c>
      <c r="AH135" s="362">
        <f xml:space="preserve"> AM133 / AJ133 - 1</f>
        <v>0.72331673028283028</v>
      </c>
      <c r="AI135" s="362"/>
      <c r="AJ135" s="362"/>
      <c r="AK135" s="362"/>
      <c r="AL135" s="383" t="s">
        <v>362</v>
      </c>
      <c r="AM135" s="362">
        <f xml:space="preserve"> AJ133 / AM133 - 1</f>
        <v>-0.41972361642663314</v>
      </c>
      <c r="AN135" s="362"/>
      <c r="AO135" s="362"/>
      <c r="AP135" s="362"/>
      <c r="AQ135" s="362"/>
      <c r="AR135" s="362"/>
      <c r="AS135" s="362"/>
      <c r="AT135" s="362"/>
      <c r="AU135" s="362"/>
      <c r="AV135" s="362"/>
    </row>
    <row r="136" spans="1:50" ht="15" customHeight="1">
      <c r="A136" s="350"/>
      <c r="AA136" s="451"/>
      <c r="AB136" s="451"/>
      <c r="AC136" s="451"/>
      <c r="AD136" s="451"/>
      <c r="AE136" s="451"/>
      <c r="AF136" s="362"/>
      <c r="AG136" s="354"/>
      <c r="AH136" s="354"/>
      <c r="AI136" s="354"/>
      <c r="AJ136" s="354"/>
      <c r="AK136" s="354"/>
      <c r="AL136" s="354"/>
      <c r="AM136" s="354"/>
      <c r="AN136" s="354"/>
      <c r="AO136" s="354"/>
      <c r="AP136" s="354"/>
      <c r="AQ136" s="354"/>
      <c r="AR136" s="354"/>
      <c r="AS136" s="354"/>
      <c r="AT136" s="354"/>
      <c r="AU136" s="354"/>
      <c r="AV136" s="354"/>
      <c r="AW136" s="354"/>
      <c r="AX136" s="354"/>
    </row>
    <row r="137" spans="1:50" ht="15" customHeight="1">
      <c r="A137" s="350"/>
      <c r="U137" s="356"/>
      <c r="V137" s="356"/>
      <c r="W137" s="356"/>
      <c r="X137" s="356"/>
      <c r="Y137" s="356"/>
      <c r="Z137" s="356"/>
      <c r="AA137" s="357"/>
      <c r="AB137" s="357"/>
      <c r="AC137" s="357"/>
      <c r="AD137" s="357"/>
      <c r="AE137" s="357"/>
      <c r="AF137" s="357"/>
      <c r="AG137" s="356"/>
      <c r="AH137" s="356"/>
      <c r="AI137" s="356"/>
      <c r="AJ137" s="356"/>
      <c r="AK137" s="356"/>
      <c r="AL137" s="356"/>
      <c r="AM137" s="356"/>
      <c r="AN137" s="356"/>
      <c r="AO137" s="356"/>
      <c r="AP137" s="356"/>
      <c r="AQ137" s="356"/>
      <c r="AR137" s="356"/>
      <c r="AS137" s="356"/>
      <c r="AT137" s="356"/>
      <c r="AU137" s="356"/>
      <c r="AV137" s="356"/>
      <c r="AW137" s="284"/>
      <c r="AX137" s="354"/>
    </row>
    <row r="138" spans="1:50" ht="15" customHeight="1">
      <c r="A138" s="350"/>
      <c r="AA138" s="362"/>
      <c r="AB138" s="362"/>
      <c r="AC138" s="362"/>
      <c r="AD138" s="362"/>
      <c r="AE138" s="362"/>
      <c r="AF138" s="362"/>
    </row>
    <row r="139" spans="1:50" ht="15" customHeight="1">
      <c r="A139" s="350"/>
      <c r="AA139" s="406"/>
      <c r="AB139" s="406"/>
      <c r="AC139" s="406"/>
    </row>
    <row r="140" spans="1:50" ht="15" customHeight="1">
      <c r="A140" s="350"/>
      <c r="AA140" s="406"/>
      <c r="AB140" s="406"/>
      <c r="AC140" s="406"/>
      <c r="AD140" s="22" t="s">
        <v>73</v>
      </c>
      <c r="AE140" s="452"/>
      <c r="AG140" s="365" t="s">
        <v>381</v>
      </c>
      <c r="AH140" s="442" t="str">
        <f xml:space="preserve"> F43</f>
        <v>Kilogram [kg/day]</v>
      </c>
      <c r="AI140" s="453"/>
      <c r="AJ140" s="533" t="s">
        <v>513</v>
      </c>
      <c r="AK140" s="442" t="b">
        <f xml:space="preserve"> IF(AND(AH140 = 0, AH141 = 0), TRUE, IF(OR(AH140 = AG149, AH140 = AG151, AH140 = AG154, AH141 = AH149, AH141 = AH151, AH141 = AH154), TRUE, FALSE))</f>
        <v>1</v>
      </c>
      <c r="AO140" s="273" t="s">
        <v>380</v>
      </c>
      <c r="AP140" s="417" t="s">
        <v>80</v>
      </c>
      <c r="AQ140" s="425" t="s">
        <v>368</v>
      </c>
    </row>
    <row r="141" spans="1:50" ht="15" customHeight="1">
      <c r="A141" s="350"/>
      <c r="AA141" s="406"/>
      <c r="AB141" s="406"/>
      <c r="AC141" s="406"/>
      <c r="AD141" s="454" t="s">
        <v>74</v>
      </c>
      <c r="AE141" s="455" t="s">
        <v>75</v>
      </c>
      <c r="AG141" s="366" t="s">
        <v>382</v>
      </c>
      <c r="AH141" s="368" t="str">
        <f xml:space="preserve"> F39</f>
        <v>Metric ton (Tonne) [/t]</v>
      </c>
      <c r="AI141" s="453"/>
      <c r="AO141" s="366" t="s">
        <v>87</v>
      </c>
      <c r="AP141" s="437" t="s">
        <v>76</v>
      </c>
      <c r="AQ141" s="368">
        <v>1</v>
      </c>
    </row>
    <row r="142" spans="1:50" ht="15" customHeight="1">
      <c r="A142" s="350"/>
      <c r="AA142" s="406"/>
      <c r="AB142" s="406"/>
      <c r="AC142" s="406"/>
      <c r="AD142" s="23" t="s">
        <v>65</v>
      </c>
      <c r="AE142" s="24" t="s">
        <v>66</v>
      </c>
      <c r="AO142" s="366" t="s">
        <v>88</v>
      </c>
      <c r="AP142" s="437" t="s">
        <v>77</v>
      </c>
      <c r="AQ142" s="368">
        <v>7</v>
      </c>
    </row>
    <row r="143" spans="1:50" ht="15" customHeight="1">
      <c r="A143" s="350"/>
      <c r="AA143" s="406"/>
      <c r="AB143" s="406"/>
      <c r="AC143" s="406"/>
      <c r="AD143" s="454" t="s">
        <v>67</v>
      </c>
      <c r="AE143" s="455">
        <v>0.45359237000000002</v>
      </c>
      <c r="AH143" s="416" t="s">
        <v>370</v>
      </c>
      <c r="AI143" s="425" t="s">
        <v>371</v>
      </c>
      <c r="AJ143" s="425" t="s">
        <v>375</v>
      </c>
      <c r="AK143" s="425" t="s">
        <v>376</v>
      </c>
      <c r="AO143" s="366" t="s">
        <v>89</v>
      </c>
      <c r="AP143" s="437" t="s">
        <v>78</v>
      </c>
      <c r="AQ143" s="368">
        <v>30</v>
      </c>
    </row>
    <row r="144" spans="1:50" ht="15" customHeight="1">
      <c r="A144" s="350"/>
      <c r="AA144" s="406"/>
      <c r="AB144" s="406"/>
      <c r="AC144" s="406"/>
      <c r="AD144" s="454" t="s">
        <v>68</v>
      </c>
      <c r="AE144" s="455">
        <v>1016.0469000000001</v>
      </c>
      <c r="AG144" s="456" t="str">
        <f xml:space="preserve"> "Input values for " &amp; G21</f>
        <v>Input values for Your_Additive</v>
      </c>
      <c r="AH144" s="457">
        <f xml:space="preserve"> IFERROR(IF(G43 &gt; 0, G43, 0), 0)</f>
        <v>920.000001</v>
      </c>
      <c r="AI144" s="458">
        <f xml:space="preserve"> IFERROR(IF(G40 &gt; 0, G40, 0), 0)</f>
        <v>0</v>
      </c>
      <c r="AJ144" s="458">
        <f xml:space="preserve"> G39</f>
        <v>520.000001</v>
      </c>
      <c r="AK144" s="459"/>
      <c r="AO144" s="366" t="s">
        <v>90</v>
      </c>
      <c r="AP144" s="437" t="s">
        <v>79</v>
      </c>
      <c r="AQ144" s="368">
        <v>365</v>
      </c>
    </row>
    <row r="145" spans="1:50" ht="15" customHeight="1">
      <c r="A145" s="350"/>
      <c r="AD145" s="454" t="s">
        <v>69</v>
      </c>
      <c r="AE145" s="455">
        <v>907.18474000000003</v>
      </c>
      <c r="AG145" s="421" t="str">
        <f xml:space="preserve"> "Input value for " &amp; AB117</f>
        <v>Input value for SBGx</v>
      </c>
      <c r="AH145" s="460"/>
      <c r="AI145" s="460"/>
      <c r="AJ145" s="460"/>
      <c r="AK145" s="461">
        <f xml:space="preserve"> IF(ISERR(K41), 0, IF(AND(ISNUMBER(K41), K41 &gt; 0), K41, 0))</f>
        <v>765.000001</v>
      </c>
      <c r="AO145" s="270" t="s">
        <v>378</v>
      </c>
      <c r="AP145" s="269" t="str">
        <f xml:space="preserve"> IFERROR(VLOOKUP(M46, AO141:AQ144, 2, FALSE), AP144)</f>
        <v>yearly</v>
      </c>
      <c r="AQ145" s="270">
        <f xml:space="preserve"> IFERROR(VLOOKUP(M46, AO141:AQ144, 3, FALSE), 365)</f>
        <v>365</v>
      </c>
    </row>
    <row r="146" spans="1:50" ht="15" customHeight="1">
      <c r="A146" s="350"/>
      <c r="AD146" s="454" t="s">
        <v>116</v>
      </c>
      <c r="AE146" s="455" t="s">
        <v>116</v>
      </c>
      <c r="AG146" s="421" t="s">
        <v>373</v>
      </c>
      <c r="AH146" s="462"/>
      <c r="AI146" s="430" t="b">
        <f xml:space="preserve">
IF(F39 = AH154,
    IF(OR(F43 = AG155, F43 = AG156), TRUE, FALSE),
    IF(F39 = AH155,
        IF(OR(F43 = AG154, F43 = AG156), TRUE, FALSE),
        IF(F39 = AH156,
            IF(OR(F43 = AG154, F43 = AG155), TRUE, FALSE),
            FALSE
        )
    )
)</f>
        <v>0</v>
      </c>
    </row>
    <row r="147" spans="1:50" ht="15" customHeight="1">
      <c r="A147" s="350"/>
      <c r="AA147" s="8"/>
      <c r="AB147" s="362"/>
      <c r="AC147" s="362"/>
      <c r="AD147" s="23" t="s">
        <v>70</v>
      </c>
      <c r="AE147" s="24" t="s">
        <v>71</v>
      </c>
    </row>
    <row r="148" spans="1:50" ht="15" customHeight="1">
      <c r="A148" s="350"/>
      <c r="AA148" s="362"/>
      <c r="AB148" s="362"/>
      <c r="AC148" s="362"/>
      <c r="AD148" s="454" t="s">
        <v>72</v>
      </c>
      <c r="AE148" s="455">
        <v>4.5460900000000004</v>
      </c>
      <c r="AG148" s="270" t="s">
        <v>372</v>
      </c>
      <c r="AH148" s="269" t="s">
        <v>379</v>
      </c>
      <c r="AI148" s="282" t="s">
        <v>374</v>
      </c>
      <c r="AJ148" s="282" t="s">
        <v>377</v>
      </c>
      <c r="AK148" s="269" t="s">
        <v>395</v>
      </c>
      <c r="AL148" s="269" t="s">
        <v>396</v>
      </c>
      <c r="AM148" s="624" t="s">
        <v>549</v>
      </c>
    </row>
    <row r="149" spans="1:50" ht="15" customHeight="1">
      <c r="A149" s="350"/>
      <c r="AA149" s="362"/>
      <c r="AB149" s="362"/>
      <c r="AC149" s="362"/>
      <c r="AD149" s="463" t="s">
        <v>102</v>
      </c>
      <c r="AE149" s="464">
        <v>3.7854117839999999</v>
      </c>
      <c r="AF149" s="26"/>
      <c r="AG149" s="465" t="s">
        <v>83</v>
      </c>
      <c r="AH149" s="366" t="s">
        <v>91</v>
      </c>
      <c r="AI149" s="368">
        <f xml:space="preserve"> AH144</f>
        <v>920.000001</v>
      </c>
      <c r="AJ149" s="368">
        <f xml:space="preserve"> AJ144 * 1000</f>
        <v>520000.00099999999</v>
      </c>
      <c r="AK149" s="368"/>
      <c r="AL149" s="283"/>
      <c r="AM149" s="622">
        <f xml:space="preserve"> AM151 * 1000</f>
        <v>1000</v>
      </c>
      <c r="AN149" s="26"/>
      <c r="AO149" s="26"/>
      <c r="AP149" s="26"/>
      <c r="AQ149" s="26"/>
      <c r="AR149" s="26"/>
      <c r="AS149" s="26"/>
    </row>
    <row r="150" spans="1:50" ht="15" customHeight="1">
      <c r="A150" s="350"/>
      <c r="AA150" s="383"/>
      <c r="AB150" s="362"/>
      <c r="AC150" s="362"/>
      <c r="AD150" s="26"/>
      <c r="AE150" s="26"/>
      <c r="AF150" s="26"/>
      <c r="AG150" s="465" t="s">
        <v>86</v>
      </c>
      <c r="AH150" s="366" t="s">
        <v>94</v>
      </c>
      <c r="AI150" s="368">
        <f xml:space="preserve"> AH144 * AE143</f>
        <v>417.30498085359238</v>
      </c>
      <c r="AJ150" s="368">
        <f xml:space="preserve"> AJ144 / AE143 * 1000</f>
        <v>1146403.765565986</v>
      </c>
      <c r="AK150" s="368"/>
      <c r="AL150" s="283"/>
      <c r="AM150" s="622">
        <f xml:space="preserve"> AM151 / AE143 * 1000</f>
        <v>2204.6226218487755</v>
      </c>
      <c r="AN150" s="26"/>
      <c r="AO150" s="26"/>
      <c r="AP150" s="26"/>
      <c r="AQ150" s="26"/>
      <c r="AR150" s="26"/>
      <c r="AS150" s="26"/>
      <c r="AT150" s="26"/>
      <c r="AU150" s="26"/>
      <c r="AV150" s="26"/>
      <c r="AW150" s="26"/>
      <c r="AX150" s="26"/>
    </row>
    <row r="151" spans="1:50" ht="15" customHeight="1">
      <c r="A151" s="350"/>
      <c r="AA151" s="362"/>
      <c r="AB151" s="362"/>
      <c r="AC151" s="362"/>
      <c r="AG151" s="465" t="s">
        <v>84</v>
      </c>
      <c r="AH151" s="366" t="s">
        <v>92</v>
      </c>
      <c r="AI151" s="368">
        <f xml:space="preserve"> AH144 * 1000</f>
        <v>920000.00100000005</v>
      </c>
      <c r="AJ151" s="368">
        <f xml:space="preserve"> AJ144</f>
        <v>520.000001</v>
      </c>
      <c r="AK151" s="368"/>
      <c r="AL151" s="368"/>
      <c r="AM151" s="622">
        <v>1</v>
      </c>
      <c r="AT151" s="26"/>
      <c r="AU151" s="26"/>
      <c r="AV151" s="26"/>
      <c r="AW151" s="26"/>
      <c r="AX151" s="26"/>
    </row>
    <row r="152" spans="1:50" ht="15" customHeight="1">
      <c r="A152" s="350"/>
      <c r="AA152" s="362"/>
      <c r="AB152" s="362"/>
      <c r="AC152" s="362"/>
      <c r="AD152" s="26"/>
      <c r="AE152" s="26"/>
      <c r="AF152" s="26"/>
      <c r="AG152" s="465" t="s">
        <v>99</v>
      </c>
      <c r="AH152" s="366" t="s">
        <v>97</v>
      </c>
      <c r="AI152" s="368">
        <f xml:space="preserve"> AH144 * AE144</f>
        <v>934763.1490160469</v>
      </c>
      <c r="AJ152" s="368">
        <f xml:space="preserve"> AJ144 / AE144 * 1000</f>
        <v>511.78739977455768</v>
      </c>
      <c r="AK152" s="368"/>
      <c r="AL152" s="283"/>
      <c r="AM152" s="622">
        <f xml:space="preserve"> AM151 / AE144 * 1000</f>
        <v>0.98420653613529052</v>
      </c>
      <c r="AN152" s="26"/>
      <c r="AO152" s="26"/>
      <c r="AP152" s="26"/>
      <c r="AQ152" s="26"/>
      <c r="AR152" s="26"/>
      <c r="AS152" s="26"/>
    </row>
    <row r="153" spans="1:50" ht="15" customHeight="1">
      <c r="A153" s="350"/>
      <c r="AA153" s="362"/>
      <c r="AB153" s="362"/>
      <c r="AC153" s="362"/>
      <c r="AD153" s="26"/>
      <c r="AE153" s="26"/>
      <c r="AF153" s="26"/>
      <c r="AG153" s="465" t="s">
        <v>95</v>
      </c>
      <c r="AH153" s="366" t="s">
        <v>96</v>
      </c>
      <c r="AI153" s="368">
        <f xml:space="preserve"> AH144 * AE145</f>
        <v>834609.96170718479</v>
      </c>
      <c r="AJ153" s="368">
        <f xml:space="preserve"> AJ144 / AE145 * 1000</f>
        <v>573.20188278299304</v>
      </c>
      <c r="AK153" s="368"/>
      <c r="AL153" s="283"/>
      <c r="AM153" s="622">
        <f xml:space="preserve"> AM151 / AE145 * 1000</f>
        <v>1.1023113109243878</v>
      </c>
      <c r="AN153" s="26"/>
      <c r="AO153" s="26"/>
      <c r="AP153" s="26"/>
      <c r="AQ153" s="26"/>
      <c r="AR153" s="26"/>
      <c r="AS153" s="26"/>
      <c r="AT153" s="26"/>
      <c r="AU153" s="26"/>
      <c r="AV153" s="26"/>
      <c r="AW153" s="26"/>
      <c r="AX153" s="26"/>
    </row>
    <row r="154" spans="1:50" ht="15" customHeight="1">
      <c r="A154" s="350"/>
      <c r="AA154" s="362"/>
      <c r="AB154" s="362"/>
      <c r="AC154" s="362"/>
      <c r="AG154" s="465" t="s">
        <v>85</v>
      </c>
      <c r="AH154" s="366" t="s">
        <v>93</v>
      </c>
      <c r="AI154" s="368">
        <f xml:space="preserve"> AH144 * AI144</f>
        <v>0</v>
      </c>
      <c r="AJ154" s="368" t="e">
        <f xml:space="preserve"> IF(AI146, 0, (AJ144 / AI144) * 1000)</f>
        <v>#DIV/0!</v>
      </c>
      <c r="AK154" s="368" t="s">
        <v>117</v>
      </c>
      <c r="AL154" s="368" t="s">
        <v>117</v>
      </c>
      <c r="AM154" s="622" t="e">
        <f xml:space="preserve"> IF(AI146, 0, (AM151 / AI144) * 1000)</f>
        <v>#DIV/0!</v>
      </c>
      <c r="AT154" s="26"/>
      <c r="AU154" s="26"/>
      <c r="AV154" s="26"/>
      <c r="AW154" s="26"/>
      <c r="AX154" s="26"/>
    </row>
    <row r="155" spans="1:50" ht="15" customHeight="1">
      <c r="A155" s="350"/>
      <c r="AC155" s="362"/>
      <c r="AD155" s="589"/>
      <c r="AG155" s="465" t="s">
        <v>100</v>
      </c>
      <c r="AH155" s="366" t="s">
        <v>98</v>
      </c>
      <c r="AI155" s="368">
        <f xml:space="preserve"> (AH144 * AI144) * AE143</f>
        <v>0</v>
      </c>
      <c r="AJ155" s="368" t="e">
        <f xml:space="preserve"> IF(AI146, 0, (AJ144 / AI144) / AE143 * 1000)</f>
        <v>#DIV/0!</v>
      </c>
      <c r="AK155" s="368" t="s">
        <v>408</v>
      </c>
      <c r="AL155" s="368" t="s">
        <v>408</v>
      </c>
      <c r="AM155" s="622" t="e">
        <f xml:space="preserve"> IF(AI146, 0, (AM151 / AI144) / AE143 * 1000)</f>
        <v>#DIV/0!</v>
      </c>
    </row>
    <row r="156" spans="1:50" ht="15" customHeight="1">
      <c r="A156" s="350"/>
      <c r="AA156" s="362"/>
      <c r="AB156" s="362"/>
      <c r="AC156" s="362"/>
      <c r="AD156" s="353"/>
      <c r="AG156" s="465" t="s">
        <v>103</v>
      </c>
      <c r="AH156" s="366" t="s">
        <v>104</v>
      </c>
      <c r="AI156" s="368">
        <f xml:space="preserve"> ( AH144 * AI144) * AE143</f>
        <v>0</v>
      </c>
      <c r="AJ156" s="368" t="e">
        <f xml:space="preserve"> IF(AI146, 0, (AJ144 / AI144) / AE143 * 1000)</f>
        <v>#DIV/0!</v>
      </c>
      <c r="AK156" s="368" t="s">
        <v>409</v>
      </c>
      <c r="AL156" s="368" t="s">
        <v>409</v>
      </c>
      <c r="AM156" s="622" t="e">
        <f xml:space="preserve"> IF(AI146, 0, (AM151 / AI144) / AE143 * 1000)</f>
        <v>#DIV/0!</v>
      </c>
    </row>
    <row r="157" spans="1:50" ht="15" customHeight="1">
      <c r="A157" s="350"/>
      <c r="AG157" s="456" t="str">
        <f xml:space="preserve"> "Dosage " &amp; G21 &amp; " [kg/day]"</f>
        <v>Dosage Your_Additive [kg/day]</v>
      </c>
      <c r="AH157" s="267"/>
      <c r="AI157" s="276">
        <f xml:space="preserve"> IFERROR(VLOOKUP(F43, AG149:AI156,3, FALSE), 0)</f>
        <v>920.000001</v>
      </c>
      <c r="AJ157" s="281" t="s">
        <v>383</v>
      </c>
      <c r="AK157" s="261">
        <f xml:space="preserve"> IFERROR(VLOOKUP(AH140, AG149:AK156, 5, FALSE), 0)</f>
        <v>0</v>
      </c>
      <c r="AL157" s="291">
        <f xml:space="preserve"> IFERROR(VLOOKUP(AH141, AH149:AL156, 5, FALSE), 0)</f>
        <v>0</v>
      </c>
      <c r="AM157" s="623">
        <f xml:space="preserve"> IFERROR(VLOOKUP(AH141, AH149:AM156, 6, FALSE), 0)</f>
        <v>1</v>
      </c>
    </row>
    <row r="158" spans="1:50" ht="15" customHeight="1">
      <c r="A158" s="350"/>
      <c r="AG158" s="466" t="str">
        <f xml:space="preserve"> "Dosage " &amp; AB117 &amp; " [kg/day]"</f>
        <v>Dosage SBGx [kg/day]</v>
      </c>
      <c r="AH158" s="268"/>
      <c r="AI158" s="276">
        <f xml:space="preserve"> AI157 * AQ123</f>
        <v>533.85427346777385</v>
      </c>
      <c r="AK158" s="577" t="s">
        <v>540</v>
      </c>
      <c r="AL158" s="368" t="b">
        <f xml:space="preserve"> IF(AND($AK$157 = 0, $AL$157 = 0), FALSE, TRUE)</f>
        <v>0</v>
      </c>
      <c r="AM158" s="621"/>
      <c r="AN158" s="353"/>
    </row>
    <row r="159" spans="1:50" ht="15" customHeight="1">
      <c r="A159" s="350"/>
    </row>
    <row r="160" spans="1:50" ht="15" customHeight="1">
      <c r="A160" s="350"/>
      <c r="AG160" s="414" t="str">
        <f xml:space="preserve"> "Price of " &amp; G21 &amp; " [/mt]"</f>
        <v>Price of Your_Additive [/mt]</v>
      </c>
      <c r="AH160" s="356"/>
      <c r="AI160" s="592">
        <f xml:space="preserve"> IFERROR(VLOOKUP(AH141, AH149:AJ156, 3, FALSE), 0)</f>
        <v>520.000001</v>
      </c>
      <c r="AJ160" s="277">
        <f xml:space="preserve"> AI160</f>
        <v>520.000001</v>
      </c>
      <c r="AK160" s="588" t="s">
        <v>543</v>
      </c>
      <c r="AL160" s="442">
        <f xml:space="preserve"> IF(AQ121 = 0, 0, AI161 / AQ121) + 0.0000001</f>
        <v>443.91143411390203</v>
      </c>
      <c r="AM160" s="442">
        <f xml:space="preserve"> IFERROR(AL160 / AM157, 0)</f>
        <v>443.91143411390203</v>
      </c>
    </row>
    <row r="161" spans="1:39" ht="15" customHeight="1" thickBot="1">
      <c r="A161" s="350"/>
      <c r="AG161" s="380" t="str">
        <f xml:space="preserve"> "Price of " &amp; AB117 &amp; " [/mT]"</f>
        <v>Price of SBGx [/mT]</v>
      </c>
      <c r="AH161" s="467"/>
      <c r="AI161" s="593">
        <f xml:space="preserve"> IF(AK145 &gt; 0, AK145, 0)</f>
        <v>765.000001</v>
      </c>
      <c r="AJ161" s="278">
        <f xml:space="preserve"> AI161</f>
        <v>765.000001</v>
      </c>
      <c r="AK161" s="588" t="s">
        <v>542</v>
      </c>
      <c r="AL161" s="368">
        <f xml:space="preserve"> AI160 * AQ121 - 0.0000001</f>
        <v>896.12470137038849</v>
      </c>
      <c r="AM161" s="621"/>
    </row>
    <row r="162" spans="1:39" ht="15" customHeight="1" thickTop="1">
      <c r="A162" s="350"/>
      <c r="AG162" s="274" t="str">
        <f xml:space="preserve"> "Cost " &amp; G21 &amp; " [/day]"</f>
        <v>Cost Your_Additive [/day]</v>
      </c>
      <c r="AH162" s="275"/>
      <c r="AI162" s="590"/>
      <c r="AJ162" s="279">
        <f xml:space="preserve"> AI157 * AJ160 / 1000</f>
        <v>478.40000144000004</v>
      </c>
      <c r="AM162" s="621"/>
    </row>
    <row r="163" spans="1:39" ht="15" customHeight="1">
      <c r="A163" s="350"/>
      <c r="U163" s="350"/>
      <c r="V163" s="350"/>
      <c r="W163" s="350"/>
      <c r="X163" s="350"/>
      <c r="Y163" s="350"/>
      <c r="Z163" s="350"/>
      <c r="AG163" s="271" t="str">
        <f xml:space="preserve"> "Cost " &amp; AB117 &amp; " [/day]"</f>
        <v>Cost SBGx [/day]</v>
      </c>
      <c r="AH163" s="272"/>
      <c r="AI163" s="591"/>
      <c r="AJ163" s="280">
        <f xml:space="preserve"> AI158 * AJ161 / 1000</f>
        <v>408.39851973670125</v>
      </c>
      <c r="AM163" s="621"/>
    </row>
    <row r="164" spans="1:39" ht="15" customHeight="1">
      <c r="A164" s="350"/>
      <c r="U164" s="350"/>
      <c r="V164" s="350"/>
      <c r="W164" s="350"/>
      <c r="X164" s="350"/>
      <c r="Y164" s="350"/>
      <c r="Z164" s="350"/>
    </row>
    <row r="165" spans="1:39" ht="15" customHeight="1">
      <c r="A165" s="350"/>
      <c r="U165" s="350"/>
      <c r="V165" s="350"/>
      <c r="W165" s="350"/>
      <c r="X165" s="350"/>
      <c r="Y165" s="350"/>
      <c r="Z165" s="350"/>
    </row>
    <row r="166" spans="1:39" ht="15" customHeight="1">
      <c r="A166" s="350"/>
    </row>
    <row r="167" spans="1:39" ht="15" customHeight="1">
      <c r="A167" s="350"/>
    </row>
    <row r="168" spans="1:39" ht="15" customHeight="1">
      <c r="A168" s="350"/>
    </row>
    <row r="169" spans="1:39" ht="15" customHeight="1">
      <c r="A169" s="350"/>
    </row>
    <row r="170" spans="1:39" ht="15" customHeight="1">
      <c r="A170" s="350"/>
    </row>
    <row r="171" spans="1:39" ht="15" customHeight="1">
      <c r="A171" s="350"/>
    </row>
    <row r="172" spans="1:39" ht="15" customHeight="1">
      <c r="A172" s="350"/>
    </row>
    <row r="173" spans="1:39" ht="15" customHeight="1">
      <c r="A173" s="350"/>
    </row>
    <row r="174" spans="1:39" ht="15" customHeight="1">
      <c r="A174" s="350"/>
    </row>
    <row r="175" spans="1:39" ht="15" customHeight="1">
      <c r="A175" s="350"/>
    </row>
    <row r="176" spans="1:39" ht="15" customHeight="1">
      <c r="A176" s="350"/>
    </row>
    <row r="177" spans="1:55" ht="15" customHeight="1">
      <c r="A177" s="350"/>
    </row>
    <row r="178" spans="1:55" ht="15" customHeight="1">
      <c r="A178" s="350"/>
    </row>
    <row r="179" spans="1:55" ht="15" customHeight="1">
      <c r="A179" s="350"/>
    </row>
    <row r="180" spans="1:55" ht="15" customHeight="1">
      <c r="A180" s="350"/>
    </row>
    <row r="181" spans="1:55" ht="15" customHeight="1">
      <c r="A181" s="350"/>
    </row>
    <row r="182" spans="1:55" ht="15" customHeight="1">
      <c r="A182" s="350"/>
    </row>
    <row r="183" spans="1:55" ht="15" customHeight="1">
      <c r="A183" s="350"/>
    </row>
    <row r="184" spans="1:55" ht="15" customHeight="1">
      <c r="A184" s="350"/>
    </row>
    <row r="185" spans="1:55" ht="15" customHeight="1">
      <c r="A185" s="350"/>
      <c r="BC185" s="362"/>
    </row>
    <row r="186" spans="1:55" ht="15" customHeight="1">
      <c r="A186" s="350"/>
      <c r="BC186" s="362"/>
    </row>
    <row r="187" spans="1:55" ht="15" customHeight="1">
      <c r="A187" s="350"/>
      <c r="BC187" s="362"/>
    </row>
    <row r="188" spans="1:55" ht="15" customHeight="1">
      <c r="A188" s="350"/>
      <c r="BC188" s="362"/>
    </row>
    <row r="189" spans="1:55" ht="15" customHeight="1">
      <c r="A189" s="350"/>
      <c r="BC189" s="362"/>
    </row>
    <row r="190" spans="1:55" ht="15" customHeight="1">
      <c r="A190" s="350"/>
      <c r="BC190" s="362"/>
    </row>
    <row r="191" spans="1:55" ht="15" customHeight="1">
      <c r="A191" s="350"/>
      <c r="BC191" s="362"/>
    </row>
    <row r="192" spans="1:55" ht="15" customHeight="1">
      <c r="A192" s="350"/>
      <c r="BC192" s="362"/>
    </row>
    <row r="193" spans="1:55" ht="15" customHeight="1">
      <c r="A193" s="350"/>
      <c r="BC193" s="362"/>
    </row>
    <row r="194" spans="1:55" ht="15" customHeight="1">
      <c r="A194" s="350"/>
      <c r="BC194" s="362"/>
    </row>
    <row r="195" spans="1:55" ht="15" customHeight="1">
      <c r="A195" s="350"/>
      <c r="BC195" s="362"/>
    </row>
    <row r="196" spans="1:55" ht="15" customHeight="1">
      <c r="A196" s="350"/>
      <c r="BC196" s="362"/>
    </row>
    <row r="197" spans="1:55" ht="15" customHeight="1">
      <c r="A197" s="350"/>
      <c r="BC197" s="362"/>
    </row>
    <row r="198" spans="1:55" ht="15" customHeight="1">
      <c r="A198" s="350"/>
      <c r="BC198" s="362"/>
    </row>
    <row r="199" spans="1:55" ht="15" customHeight="1">
      <c r="A199" s="350"/>
      <c r="BC199" s="362"/>
    </row>
    <row r="200" spans="1:55" ht="15" customHeight="1">
      <c r="A200" s="350"/>
      <c r="BC200" s="362"/>
    </row>
    <row r="201" spans="1:55" ht="15" customHeight="1">
      <c r="A201" s="350"/>
      <c r="BC201" s="362"/>
    </row>
    <row r="202" spans="1:55" ht="15" customHeight="1">
      <c r="A202" s="350"/>
      <c r="BC202" s="362"/>
    </row>
    <row r="203" spans="1:55" ht="15" customHeight="1">
      <c r="A203" s="350"/>
      <c r="BC203" s="362"/>
    </row>
    <row r="204" spans="1:55" ht="15" customHeight="1">
      <c r="A204" s="350"/>
      <c r="BC204" s="362"/>
    </row>
    <row r="205" spans="1:55" ht="15" customHeight="1">
      <c r="A205" s="350"/>
      <c r="BC205" s="362"/>
    </row>
    <row r="206" spans="1:55" ht="15" customHeight="1">
      <c r="A206" s="350"/>
      <c r="BC206" s="362"/>
    </row>
    <row r="207" spans="1:55" ht="15" customHeight="1">
      <c r="A207" s="350"/>
      <c r="BC207" s="362"/>
    </row>
    <row r="208" spans="1:55" ht="15" customHeight="1">
      <c r="A208" s="350"/>
      <c r="BC208" s="362"/>
    </row>
    <row r="209" spans="1:55" ht="15" customHeight="1">
      <c r="A209" s="350"/>
      <c r="U209" s="252" t="s">
        <v>310</v>
      </c>
      <c r="V209" s="252"/>
      <c r="W209" s="252"/>
      <c r="X209" s="252"/>
      <c r="Y209" s="252"/>
      <c r="Z209" s="252"/>
      <c r="BC209" s="362"/>
    </row>
    <row r="210" spans="1:55" ht="15" hidden="1" customHeight="1">
      <c r="A210" s="468"/>
      <c r="B210" s="469"/>
      <c r="C210" s="403" t="s">
        <v>163</v>
      </c>
      <c r="D210" s="403"/>
      <c r="E210" s="403"/>
      <c r="F210" s="470" t="s">
        <v>319</v>
      </c>
      <c r="I210" s="471" t="s">
        <v>164</v>
      </c>
      <c r="J210" s="403"/>
      <c r="K210" s="403"/>
      <c r="L210" s="403"/>
      <c r="M210" s="257" t="s">
        <v>320</v>
      </c>
      <c r="N210" s="472"/>
      <c r="O210" s="353"/>
      <c r="P210" s="257"/>
      <c r="Q210" s="258"/>
      <c r="R210" s="258"/>
      <c r="S210" s="254"/>
      <c r="T210" s="352"/>
      <c r="U210" s="351"/>
      <c r="V210" s="351"/>
      <c r="W210" s="351"/>
      <c r="X210" s="351"/>
      <c r="Y210" s="351"/>
      <c r="Z210" s="351"/>
      <c r="AA210" s="352"/>
      <c r="AB210" s="352"/>
      <c r="AC210" s="352"/>
      <c r="AD210" s="352"/>
      <c r="AE210" s="352"/>
      <c r="AF210" s="352"/>
      <c r="AG210" s="352"/>
      <c r="AH210" s="352"/>
      <c r="AI210" s="352"/>
      <c r="AJ210" s="352"/>
      <c r="AK210" s="352"/>
      <c r="AL210" s="352"/>
      <c r="AM210" s="352"/>
      <c r="AN210" s="352"/>
      <c r="AO210" s="352"/>
      <c r="BC210" s="362"/>
    </row>
    <row r="211" spans="1:55" ht="15" hidden="1" customHeight="1">
      <c r="A211" s="468"/>
      <c r="B211" s="469"/>
      <c r="C211" s="349"/>
      <c r="D211" s="403"/>
      <c r="E211" s="403"/>
      <c r="F211" s="473">
        <f xml:space="preserve"> IF(OR(ISBLANK(I55), I55 = I210), K55, IF(I55 = I211, K55 * AE148 / 1000, K55 * AE149 / 1000))</f>
        <v>53000.000001</v>
      </c>
      <c r="I211" s="474" t="s">
        <v>165</v>
      </c>
      <c r="J211" s="403"/>
      <c r="K211" s="475" t="s">
        <v>322</v>
      </c>
      <c r="L211" s="403"/>
      <c r="M211" s="473">
        <f xml:space="preserve"> 1 / (1000 / AE148)</f>
        <v>4.54609E-3</v>
      </c>
      <c r="N211" s="403"/>
      <c r="O211" s="403"/>
      <c r="P211" s="403"/>
      <c r="BC211" s="362"/>
    </row>
    <row r="212" spans="1:55" ht="15" hidden="1" customHeight="1">
      <c r="A212" s="468"/>
      <c r="B212" s="468"/>
      <c r="C212" s="402"/>
      <c r="D212" s="402"/>
      <c r="E212" s="402"/>
      <c r="F212" s="470" t="s">
        <v>317</v>
      </c>
      <c r="I212" s="474" t="s">
        <v>166</v>
      </c>
      <c r="J212" s="402"/>
      <c r="K212" s="475" t="s">
        <v>323</v>
      </c>
      <c r="L212" s="402"/>
      <c r="M212" s="473">
        <f xml:space="preserve"> 1 / (1000 / AE149)</f>
        <v>3.7854117839999997E-3</v>
      </c>
      <c r="N212" s="402"/>
      <c r="O212" s="402"/>
      <c r="P212" s="402"/>
      <c r="Q212" s="354"/>
      <c r="R212" s="354"/>
      <c r="S212" s="354"/>
      <c r="T212" s="354"/>
      <c r="BC212" s="362"/>
    </row>
    <row r="213" spans="1:55" ht="15" hidden="1" customHeight="1">
      <c r="A213" s="468"/>
      <c r="B213" s="469"/>
      <c r="C213" s="403"/>
      <c r="D213" s="403"/>
      <c r="E213" s="403"/>
      <c r="F213" s="476">
        <f xml:space="preserve"> IF(OR(ISBLANK(I58), I58 = I210), K58, IF(I58 = I211, K58 * AE148 / 1000, K58 * AE149 / 1000))</f>
        <v>80.000000999999997</v>
      </c>
      <c r="I213" s="403"/>
      <c r="J213" s="403"/>
      <c r="K213" s="403"/>
      <c r="L213" s="403"/>
      <c r="N213" s="403"/>
      <c r="O213" s="403"/>
      <c r="P213" s="403"/>
      <c r="BC213" s="362"/>
    </row>
    <row r="214" spans="1:55" ht="15" hidden="1" customHeight="1">
      <c r="A214" s="468"/>
      <c r="B214" s="469"/>
      <c r="C214" s="403"/>
      <c r="D214" s="403"/>
      <c r="E214" s="403"/>
      <c r="F214" s="403"/>
      <c r="I214" s="403"/>
      <c r="J214" s="403"/>
      <c r="K214" s="403"/>
      <c r="L214" s="403"/>
      <c r="N214" s="403"/>
      <c r="O214" s="403"/>
      <c r="P214" s="403"/>
      <c r="BC214" s="362"/>
    </row>
    <row r="215" spans="1:55" ht="15" hidden="1" customHeight="1">
      <c r="A215" s="468"/>
      <c r="B215" s="469"/>
      <c r="C215" s="403" t="s">
        <v>330</v>
      </c>
      <c r="D215" s="403"/>
      <c r="E215" s="403"/>
      <c r="F215" s="477" t="s">
        <v>316</v>
      </c>
      <c r="I215" s="474" t="s">
        <v>115</v>
      </c>
      <c r="J215" s="403"/>
      <c r="K215" s="403"/>
      <c r="L215" s="403"/>
      <c r="N215" s="403"/>
      <c r="P215" s="403"/>
      <c r="BC215" s="362"/>
    </row>
    <row r="216" spans="1:55" ht="15" hidden="1" customHeight="1">
      <c r="A216" s="468"/>
      <c r="B216" s="469"/>
      <c r="F216" s="473">
        <f xml:space="preserve"> IF(OR(ISBLANK(I56), I56 = I215), K56, I235 * K56 / I234)</f>
        <v>1800.0000010000001</v>
      </c>
      <c r="I216" s="474" t="s">
        <v>114</v>
      </c>
      <c r="J216" s="403"/>
      <c r="K216" s="478" t="s">
        <v>321</v>
      </c>
      <c r="L216" s="403"/>
      <c r="M216" s="435">
        <v>64.798910000000006</v>
      </c>
      <c r="N216" s="403"/>
      <c r="P216" s="403"/>
      <c r="BC216" s="362"/>
    </row>
    <row r="217" spans="1:55" ht="15" hidden="1" customHeight="1">
      <c r="A217" s="468"/>
      <c r="B217" s="469"/>
      <c r="C217" s="354"/>
      <c r="D217" s="354"/>
      <c r="E217" s="354"/>
      <c r="F217" s="403"/>
      <c r="I217" s="403"/>
      <c r="J217" s="403"/>
      <c r="K217" s="403"/>
      <c r="L217" s="403"/>
      <c r="N217" s="403"/>
      <c r="O217" s="403"/>
      <c r="P217" s="403"/>
      <c r="BC217" s="362"/>
    </row>
    <row r="218" spans="1:55" ht="15" hidden="1" customHeight="1">
      <c r="A218" s="468"/>
      <c r="B218" s="469"/>
      <c r="C218" s="354" t="s">
        <v>312</v>
      </c>
      <c r="D218" s="354"/>
      <c r="E218" s="354"/>
      <c r="F218" s="477" t="s">
        <v>315</v>
      </c>
      <c r="I218" s="474" t="s">
        <v>313</v>
      </c>
      <c r="J218" s="403"/>
      <c r="L218" s="403"/>
      <c r="N218" s="403"/>
      <c r="O218" s="403"/>
      <c r="P218" s="403"/>
      <c r="BC218" s="362"/>
    </row>
    <row r="219" spans="1:55" ht="15" hidden="1" customHeight="1">
      <c r="A219" s="468"/>
      <c r="B219" s="469"/>
      <c r="C219" s="354"/>
      <c r="D219" s="354"/>
      <c r="E219" s="354"/>
      <c r="F219" s="473">
        <f xml:space="preserve"> IF(OR(ISBLANK(I61), I61 = I218), K61, (K61 - 32) * 5 / 9)</f>
        <v>39.500000999999997</v>
      </c>
      <c r="I219" s="474" t="s">
        <v>314</v>
      </c>
      <c r="J219" s="403"/>
      <c r="K219" s="354" t="s">
        <v>318</v>
      </c>
      <c r="L219" s="403"/>
      <c r="N219" s="403"/>
      <c r="O219" s="403"/>
      <c r="P219" s="403"/>
      <c r="BC219" s="362"/>
    </row>
    <row r="220" spans="1:55" ht="15" hidden="1" customHeight="1">
      <c r="A220" s="468"/>
      <c r="B220" s="469"/>
      <c r="C220" s="354"/>
      <c r="D220" s="354"/>
      <c r="E220" s="354"/>
      <c r="F220" s="402"/>
      <c r="G220" s="402"/>
      <c r="H220" s="402"/>
      <c r="I220" s="403"/>
      <c r="J220" s="403"/>
      <c r="K220" s="403"/>
      <c r="L220" s="403"/>
      <c r="M220" s="403"/>
      <c r="N220" s="403"/>
      <c r="O220" s="403"/>
      <c r="P220" s="403"/>
      <c r="BC220" s="362"/>
    </row>
    <row r="221" spans="1:55" ht="15" hidden="1" customHeight="1">
      <c r="A221" s="468"/>
      <c r="B221" s="469"/>
      <c r="C221" s="354" t="s">
        <v>324</v>
      </c>
      <c r="D221" s="354"/>
      <c r="E221" s="354"/>
      <c r="F221" s="402" t="str">
        <f xml:space="preserve"> "Masses in selectd unit " &amp; IF(SI_unit, I221, I222)</f>
        <v>Masses in selectd unit [kg/day]</v>
      </c>
      <c r="G221" s="402"/>
      <c r="H221" s="402"/>
      <c r="I221" s="474" t="s">
        <v>326</v>
      </c>
      <c r="J221" s="403"/>
      <c r="K221" s="477" t="s">
        <v>325</v>
      </c>
      <c r="L221" s="403"/>
      <c r="M221" s="476">
        <f xml:space="preserve"> 1 / AE143</f>
        <v>2.2046226218487757</v>
      </c>
      <c r="N221" s="403"/>
      <c r="O221" s="403"/>
      <c r="P221" s="403"/>
      <c r="BC221" s="362"/>
    </row>
    <row r="222" spans="1:55" ht="15" hidden="1" customHeight="1">
      <c r="A222" s="468"/>
      <c r="B222" s="469"/>
      <c r="C222" s="354"/>
      <c r="D222" s="356" t="str">
        <f xml:space="preserve"> G21</f>
        <v>Your_Additive</v>
      </c>
      <c r="E222" s="354"/>
      <c r="F222" s="476">
        <f xml:space="preserve"> IF(SI_unit, I255, I255 * fact_kg2lb)</f>
        <v>922.10591409984204</v>
      </c>
      <c r="G222" s="402"/>
      <c r="H222" s="402"/>
      <c r="I222" s="474" t="s">
        <v>327</v>
      </c>
      <c r="J222" s="403"/>
      <c r="K222" s="403"/>
      <c r="L222" s="403"/>
      <c r="M222" s="403"/>
      <c r="N222" s="403"/>
      <c r="O222" s="403"/>
      <c r="P222" s="403"/>
    </row>
    <row r="223" spans="1:55" ht="15" hidden="1" customHeight="1">
      <c r="A223" s="468"/>
      <c r="B223" s="469"/>
      <c r="C223" s="354"/>
      <c r="D223" s="462" t="str">
        <f xml:space="preserve"> AB117</f>
        <v>SBGx</v>
      </c>
      <c r="E223" s="354"/>
      <c r="F223" s="476">
        <f xml:space="preserve"> IF(SI_unit, I256, I256 * fact_kg2lb)</f>
        <v>535.07628510547011</v>
      </c>
      <c r="G223" s="402"/>
      <c r="H223" s="402"/>
      <c r="I223" s="403"/>
      <c r="J223" s="403"/>
      <c r="K223" s="403"/>
      <c r="L223" s="403"/>
      <c r="M223" s="403"/>
      <c r="N223" s="403"/>
      <c r="O223" s="403"/>
      <c r="P223" s="403"/>
    </row>
    <row r="224" spans="1:55" ht="15" hidden="1" customHeight="1">
      <c r="A224" s="468"/>
      <c r="B224" s="469"/>
    </row>
    <row r="225" spans="1:55" ht="15" hidden="1" customHeight="1">
      <c r="A225" s="468"/>
      <c r="B225" s="469"/>
      <c r="C225" s="350" t="s">
        <v>332</v>
      </c>
      <c r="D225" s="354"/>
      <c r="E225" s="354"/>
      <c r="F225" s="383" t="s">
        <v>331</v>
      </c>
      <c r="I225" s="474" t="s">
        <v>333</v>
      </c>
      <c r="M225" s="352" t="s">
        <v>334</v>
      </c>
      <c r="N225" s="352"/>
      <c r="O225" s="352"/>
      <c r="P225" s="352"/>
      <c r="Q225" s="352"/>
      <c r="R225" s="352"/>
    </row>
    <row r="226" spans="1:55" ht="15" hidden="1" customHeight="1">
      <c r="A226" s="468"/>
      <c r="B226" s="469"/>
      <c r="F226" s="473">
        <f xml:space="preserve"> IFERROR(IF(AND(ISNUMBER(K59), K59 &gt; 0), IF(OR(ISBLANK(I59), I59 = I225), K59, K59 * M226), 0), 0)</f>
        <v>0</v>
      </c>
      <c r="I226" s="474" t="s">
        <v>115</v>
      </c>
      <c r="M226" s="435">
        <v>0.99885900000000005</v>
      </c>
      <c r="O226" s="350" t="s">
        <v>335</v>
      </c>
    </row>
    <row r="227" spans="1:55" ht="15" hidden="1" customHeight="1">
      <c r="A227" s="468"/>
      <c r="B227" s="469"/>
    </row>
    <row r="228" spans="1:55" ht="15" hidden="1" customHeight="1">
      <c r="A228" s="468"/>
      <c r="B228" s="469"/>
    </row>
    <row r="229" spans="1:55" ht="15" hidden="1" customHeight="1">
      <c r="A229" s="468"/>
      <c r="B229" s="469"/>
      <c r="C229" s="354"/>
      <c r="D229" s="354"/>
      <c r="E229" s="354"/>
      <c r="F229" s="402"/>
      <c r="G229" s="402"/>
      <c r="H229" s="402"/>
      <c r="I229" s="403"/>
      <c r="J229" s="403"/>
      <c r="K229" s="403"/>
      <c r="L229" s="403"/>
      <c r="M229" s="403"/>
      <c r="N229" s="403"/>
      <c r="O229" s="403"/>
      <c r="P229" s="403"/>
    </row>
    <row r="230" spans="1:55" ht="15" hidden="1" customHeight="1">
      <c r="A230" s="468"/>
      <c r="B230" s="469"/>
      <c r="C230" s="402" t="s">
        <v>27</v>
      </c>
      <c r="D230" s="354"/>
      <c r="E230" s="354"/>
      <c r="F230" s="354"/>
      <c r="G230" s="354"/>
      <c r="H230" s="354"/>
      <c r="I230" s="479">
        <v>55.844999999999999</v>
      </c>
      <c r="K230" s="480"/>
      <c r="L230" s="480"/>
      <c r="M230" s="403"/>
      <c r="N230" s="403"/>
      <c r="O230" s="403"/>
      <c r="P230" s="403"/>
    </row>
    <row r="231" spans="1:55" ht="15" hidden="1" customHeight="1">
      <c r="A231" s="468"/>
      <c r="B231" s="469"/>
      <c r="C231" s="402" t="s">
        <v>329</v>
      </c>
      <c r="D231" s="354"/>
      <c r="E231" s="354"/>
      <c r="F231" s="354"/>
      <c r="G231" s="354"/>
      <c r="H231" s="354"/>
      <c r="I231" s="479">
        <v>32.064999999999998</v>
      </c>
      <c r="K231" s="480"/>
      <c r="L231" s="480"/>
      <c r="M231" s="403"/>
      <c r="N231" s="403"/>
      <c r="O231" s="403"/>
      <c r="P231" s="403"/>
    </row>
    <row r="232" spans="1:55" ht="15" hidden="1" customHeight="1">
      <c r="A232" s="468"/>
      <c r="B232" s="469"/>
      <c r="C232" s="402" t="s">
        <v>424</v>
      </c>
      <c r="D232" s="354"/>
      <c r="E232" s="354"/>
      <c r="F232" s="354"/>
      <c r="G232" s="354"/>
      <c r="H232" s="354"/>
      <c r="I232" s="479">
        <v>33.07</v>
      </c>
      <c r="K232" s="480" t="s">
        <v>423</v>
      </c>
      <c r="L232" s="480"/>
      <c r="M232" s="403"/>
      <c r="N232" s="403"/>
      <c r="O232" s="403"/>
      <c r="P232" s="403"/>
    </row>
    <row r="233" spans="1:55" ht="15" hidden="1" customHeight="1">
      <c r="A233" s="468"/>
      <c r="B233" s="469"/>
      <c r="C233" s="402" t="s">
        <v>425</v>
      </c>
      <c r="D233" s="354"/>
      <c r="E233" s="354"/>
      <c r="F233" s="354"/>
      <c r="G233" s="354"/>
      <c r="H233" s="354"/>
      <c r="I233" s="479">
        <v>34.08</v>
      </c>
      <c r="K233" s="480" t="s">
        <v>109</v>
      </c>
      <c r="L233" s="480"/>
      <c r="M233" s="403"/>
      <c r="N233" s="403"/>
      <c r="O233" s="403"/>
      <c r="P233" s="403"/>
      <c r="BC233" s="26"/>
    </row>
    <row r="234" spans="1:55" ht="15" hidden="1" customHeight="1">
      <c r="A234" s="468"/>
      <c r="B234" s="469"/>
      <c r="C234" s="39" t="s">
        <v>426</v>
      </c>
      <c r="D234" s="354"/>
      <c r="E234" s="354"/>
      <c r="F234" s="354"/>
      <c r="G234" s="354"/>
      <c r="H234" s="354"/>
      <c r="I234" s="310">
        <f xml:space="preserve"> I233</f>
        <v>34.08</v>
      </c>
      <c r="K234" s="480"/>
      <c r="L234" s="480"/>
      <c r="M234" s="403"/>
      <c r="N234" s="403"/>
      <c r="O234" s="403"/>
      <c r="P234" s="403"/>
      <c r="BC234" s="26"/>
    </row>
    <row r="235" spans="1:55" ht="15" hidden="1" customHeight="1">
      <c r="A235" s="468"/>
      <c r="B235" s="469"/>
      <c r="C235" s="402" t="s">
        <v>181</v>
      </c>
      <c r="D235" s="354"/>
      <c r="E235" s="354"/>
      <c r="F235" s="354"/>
      <c r="G235" s="354"/>
      <c r="H235" s="354"/>
      <c r="I235" s="479">
        <v>24.45</v>
      </c>
      <c r="K235" s="480" t="s">
        <v>110</v>
      </c>
      <c r="L235" s="480"/>
      <c r="M235" s="403"/>
      <c r="N235" s="403"/>
      <c r="O235" s="403"/>
      <c r="P235" s="403"/>
      <c r="BC235" s="26"/>
    </row>
    <row r="236" spans="1:55" ht="15" hidden="1" customHeight="1">
      <c r="A236" s="468"/>
      <c r="B236" s="352"/>
      <c r="C236" s="64" t="s">
        <v>182</v>
      </c>
      <c r="D236" s="481"/>
      <c r="E236" s="481"/>
      <c r="F236" s="481"/>
      <c r="G236" s="482"/>
      <c r="H236" s="482"/>
      <c r="I236" s="62">
        <f xml:space="preserve"> F216 / 1000 / I235 * I234 * F211</f>
        <v>132974.72400276418</v>
      </c>
      <c r="M236" s="350" t="s">
        <v>113</v>
      </c>
      <c r="BC236" s="26"/>
    </row>
    <row r="237" spans="1:55" ht="15" hidden="1" customHeight="1">
      <c r="A237" s="468"/>
      <c r="B237" s="352"/>
    </row>
    <row r="238" spans="1:55" ht="15" hidden="1" customHeight="1">
      <c r="A238" s="468"/>
      <c r="B238" s="469"/>
      <c r="C238" s="402" t="s">
        <v>28</v>
      </c>
      <c r="D238" s="354"/>
      <c r="E238" s="354"/>
      <c r="F238" s="354"/>
      <c r="G238" s="354"/>
      <c r="H238" s="354"/>
      <c r="I238" s="483">
        <f xml:space="preserve"> IF(K60 &gt; 0, 10 ^ -K60, 0)</f>
        <v>1.2302659380171094E-8</v>
      </c>
      <c r="K238" s="484"/>
      <c r="L238" s="403"/>
      <c r="M238" s="403"/>
      <c r="N238" s="403"/>
      <c r="O238" s="403"/>
      <c r="P238" s="403"/>
      <c r="BC238" s="26"/>
    </row>
    <row r="239" spans="1:55" ht="15" hidden="1" customHeight="1">
      <c r="A239" s="468"/>
      <c r="B239" s="469"/>
      <c r="C239" s="402" t="s">
        <v>29</v>
      </c>
      <c r="D239" s="354"/>
      <c r="E239" s="354"/>
      <c r="F239" s="354"/>
      <c r="G239" s="354"/>
      <c r="H239" s="354"/>
      <c r="I239" s="483">
        <f xml:space="preserve"> IF(F219 &gt; 0, 10 ^ -(1351.9 / (F219 + 273.15) + 0.0992 + 0.00792 * (F219 + 273.15)), 0)</f>
        <v>1.2606877360933468E-7</v>
      </c>
      <c r="K239" s="403"/>
      <c r="L239" s="403"/>
      <c r="M239" s="403"/>
      <c r="N239" s="403"/>
      <c r="O239" s="403"/>
      <c r="P239" s="403"/>
      <c r="BC239" s="26"/>
    </row>
    <row r="240" spans="1:55" ht="15" hidden="1" customHeight="1">
      <c r="A240" s="468"/>
      <c r="B240" s="469"/>
      <c r="C240" s="402" t="s">
        <v>30</v>
      </c>
      <c r="D240" s="354"/>
      <c r="E240" s="354"/>
      <c r="F240" s="354"/>
      <c r="G240" s="354"/>
      <c r="H240" s="354"/>
      <c r="I240" s="485">
        <f xml:space="preserve"> 10 ^ -11.96</f>
        <v>1.0964781961431817E-12</v>
      </c>
      <c r="K240" s="439"/>
      <c r="L240" s="439"/>
      <c r="M240" s="403"/>
      <c r="N240" s="403"/>
      <c r="O240" s="403"/>
      <c r="P240" s="403"/>
    </row>
    <row r="241" spans="1:20" ht="15" hidden="1" customHeight="1">
      <c r="A241" s="468"/>
      <c r="B241" s="469"/>
      <c r="C241" s="402" t="s">
        <v>108</v>
      </c>
      <c r="D241" s="354"/>
      <c r="E241" s="354"/>
      <c r="F241" s="354"/>
      <c r="G241" s="354"/>
      <c r="H241" s="354"/>
      <c r="I241" s="483">
        <f xml:space="preserve"> IF(I239 * I238 &gt; 0, (1 + I239 / I238 + I239 * I240 / I238 ^ 2) ^ -1, 0)</f>
        <v>8.8903180415388625E-2</v>
      </c>
      <c r="K241" s="439"/>
      <c r="L241" s="439"/>
      <c r="M241" s="403"/>
      <c r="N241" s="403"/>
      <c r="O241" s="403"/>
      <c r="P241" s="403"/>
    </row>
    <row r="242" spans="1:20" ht="15" hidden="1" customHeight="1">
      <c r="A242" s="468"/>
      <c r="B242" s="469"/>
      <c r="C242" s="402" t="s">
        <v>491</v>
      </c>
      <c r="D242" s="354"/>
      <c r="E242" s="354"/>
      <c r="F242" s="354"/>
      <c r="G242" s="354"/>
      <c r="H242" s="354"/>
      <c r="I242" s="483">
        <f xml:space="preserve"> IF(I241 &gt; 0, I239 / I238 * I241, 0)</f>
        <v>0.91101562504460687</v>
      </c>
      <c r="K242" s="486" t="s">
        <v>111</v>
      </c>
      <c r="L242" s="486"/>
      <c r="M242" s="469"/>
      <c r="N242" s="469"/>
      <c r="O242" s="469"/>
      <c r="P242" s="469"/>
      <c r="Q242" s="352"/>
      <c r="R242" s="352"/>
      <c r="S242" s="352"/>
    </row>
    <row r="243" spans="1:20" ht="15" hidden="1" customHeight="1">
      <c r="A243" s="468"/>
      <c r="B243" s="469"/>
      <c r="C243" s="402" t="s">
        <v>187</v>
      </c>
      <c r="D243" s="354"/>
      <c r="E243" s="354"/>
      <c r="F243" s="354"/>
      <c r="G243" s="487"/>
      <c r="H243" s="487"/>
      <c r="I243" s="483">
        <f xml:space="preserve"> I239 * I240 / I238 ^ 2 * I241</f>
        <v>8.1194540004672714E-5</v>
      </c>
      <c r="K243" s="33" t="s">
        <v>106</v>
      </c>
      <c r="L243" s="486"/>
      <c r="M243" s="469"/>
      <c r="N243" s="469"/>
      <c r="O243" s="469"/>
      <c r="P243" s="469"/>
      <c r="Q243" s="352"/>
      <c r="R243" s="352"/>
      <c r="S243" s="352"/>
    </row>
    <row r="244" spans="1:20" ht="15" hidden="1" customHeight="1">
      <c r="A244" s="468"/>
      <c r="B244" s="469"/>
      <c r="C244" s="39" t="s">
        <v>101</v>
      </c>
      <c r="D244" s="40"/>
      <c r="E244" s="40"/>
      <c r="F244" s="40"/>
      <c r="G244" s="40"/>
      <c r="H244" s="40"/>
      <c r="I244" s="36"/>
      <c r="K244" s="439"/>
      <c r="L244" s="439"/>
      <c r="M244" s="403"/>
      <c r="N244" s="403"/>
      <c r="O244" s="403"/>
      <c r="P244" s="403"/>
    </row>
    <row r="245" spans="1:20" ht="15" hidden="1" customHeight="1">
      <c r="A245" s="468"/>
      <c r="B245" s="469"/>
      <c r="C245" s="402" t="s">
        <v>185</v>
      </c>
      <c r="G245" s="403"/>
      <c r="H245" s="403"/>
      <c r="I245" s="402"/>
      <c r="J245" s="403"/>
    </row>
    <row r="246" spans="1:20" ht="15" hidden="1" customHeight="1">
      <c r="A246" s="468"/>
      <c r="B246" s="469"/>
      <c r="C246" s="488" t="s">
        <v>186</v>
      </c>
      <c r="G246" s="403"/>
      <c r="H246" s="403"/>
      <c r="I246" s="403"/>
      <c r="J246" s="403"/>
    </row>
    <row r="247" spans="1:20" ht="15" hidden="1" customHeight="1">
      <c r="A247" s="468"/>
      <c r="B247" s="469"/>
      <c r="C247" s="488" t="s">
        <v>173</v>
      </c>
      <c r="D247" s="354"/>
      <c r="E247" s="354"/>
      <c r="F247" s="354"/>
      <c r="G247" s="487"/>
      <c r="H247" s="487"/>
      <c r="I247" s="483">
        <f xml:space="preserve"> IF(K56 * I241 &gt; 0, EXP((LN(K56) - 6.42) / 0.78) / I241, 0)</f>
        <v>44.661297135397184</v>
      </c>
      <c r="K247" s="472"/>
      <c r="L247" s="472"/>
      <c r="P247" s="403"/>
    </row>
    <row r="248" spans="1:20" ht="15" hidden="1" customHeight="1">
      <c r="A248" s="468"/>
      <c r="B248" s="469"/>
      <c r="C248" s="65" t="s">
        <v>183</v>
      </c>
      <c r="D248" s="481"/>
      <c r="E248" s="481"/>
      <c r="F248" s="481"/>
      <c r="G248" s="482"/>
      <c r="H248" s="482"/>
      <c r="I248" s="255">
        <f xml:space="preserve"> IF(F226 &gt; 0, F226, I247) * F213</f>
        <v>3572.9038154930718</v>
      </c>
      <c r="N248" s="472"/>
      <c r="O248" s="489"/>
      <c r="P248" s="403"/>
    </row>
    <row r="249" spans="1:20" ht="15" hidden="1" customHeight="1">
      <c r="A249" s="468"/>
      <c r="B249" s="469"/>
      <c r="C249" s="403"/>
    </row>
    <row r="250" spans="1:20" ht="15" hidden="1" customHeight="1">
      <c r="A250" s="468"/>
      <c r="B250" s="469"/>
      <c r="C250" s="403"/>
    </row>
    <row r="251" spans="1:20" ht="15" hidden="1" customHeight="1">
      <c r="A251" s="468"/>
      <c r="B251" s="469"/>
      <c r="C251" s="66" t="s">
        <v>122</v>
      </c>
      <c r="D251" s="481"/>
      <c r="E251" s="481"/>
      <c r="F251" s="481"/>
      <c r="G251" s="482"/>
      <c r="H251" s="482"/>
      <c r="I251" s="490">
        <f xml:space="preserve"> IF(OR(I236 &gt; 0, I248 &gt; 0), I230 / I234 * (I236 + I248), 0)</f>
        <v>223753.00104197703</v>
      </c>
      <c r="K251" s="491" t="s">
        <v>468</v>
      </c>
      <c r="M251" s="479">
        <v>1.7</v>
      </c>
      <c r="N251" s="362"/>
      <c r="O251" s="362"/>
    </row>
    <row r="252" spans="1:20" ht="15" hidden="1" customHeight="1">
      <c r="A252" s="468"/>
      <c r="B252" s="469"/>
      <c r="C252" s="37" t="s">
        <v>121</v>
      </c>
      <c r="D252" s="492"/>
      <c r="E252" s="492"/>
      <c r="F252" s="492"/>
      <c r="G252" s="492"/>
      <c r="H252" s="492"/>
      <c r="I252" s="490">
        <f xml:space="preserve"> IF(AND(M252 &gt; 0, OR(I236 &gt; 0, I248 &gt; 0)), M252 * I230 / I234 * (I236 + I248), 0)</f>
        <v>380380.1017713609</v>
      </c>
      <c r="K252" s="491" t="s">
        <v>151</v>
      </c>
      <c r="L252" s="403"/>
      <c r="M252" s="493">
        <f xml:space="preserve"> IF(ISBLANK(K57), M251, IF(ISNUMBER(K57), IF(K57 &gt; 0, K57, 0), 0))</f>
        <v>1.7</v>
      </c>
      <c r="N252" s="439"/>
      <c r="O252" s="494"/>
      <c r="P252" s="403"/>
    </row>
    <row r="253" spans="1:20" ht="15" hidden="1" customHeight="1">
      <c r="A253" s="468"/>
      <c r="B253" s="469"/>
      <c r="C253" s="38" t="s">
        <v>112</v>
      </c>
      <c r="D253" s="353"/>
      <c r="E253" s="353"/>
      <c r="F253" s="353"/>
      <c r="G253" s="353"/>
      <c r="H253" s="353"/>
      <c r="I253" s="495"/>
      <c r="K253" s="403"/>
      <c r="L253" s="403"/>
      <c r="M253" s="494"/>
      <c r="N253" s="439"/>
      <c r="O253" s="439"/>
      <c r="P253" s="403"/>
    </row>
    <row r="254" spans="1:20" ht="15" hidden="1" customHeight="1">
      <c r="A254" s="496"/>
      <c r="B254" s="497"/>
      <c r="C254" s="498"/>
      <c r="D254" s="379"/>
      <c r="E254" s="379"/>
      <c r="F254" s="379"/>
      <c r="G254" s="390"/>
      <c r="H254" s="390"/>
      <c r="I254" s="498"/>
      <c r="J254" s="346"/>
      <c r="K254" s="498"/>
      <c r="L254" s="484"/>
      <c r="M254" s="346"/>
      <c r="N254" s="346"/>
      <c r="O254" s="346"/>
      <c r="P254" s="484"/>
      <c r="Q254" s="346"/>
      <c r="R254" s="346"/>
      <c r="S254" s="346"/>
      <c r="T254" s="346"/>
    </row>
    <row r="255" spans="1:20" ht="15" hidden="1" customHeight="1">
      <c r="A255" s="496"/>
      <c r="B255" s="497"/>
      <c r="C255" s="498"/>
      <c r="D255" s="379"/>
      <c r="E255" s="379"/>
      <c r="F255" s="379"/>
      <c r="G255" s="390" t="str">
        <f xml:space="preserve"> G21 &amp; " [kg]"</f>
        <v>Your_Additive [kg]</v>
      </c>
      <c r="H255" s="390"/>
      <c r="I255" s="499">
        <f xml:space="preserve"> IF(AJ132 &gt; 0, I252 / AJ132 / 1000, 0)</f>
        <v>922.10591409984204</v>
      </c>
      <c r="J255" s="346"/>
      <c r="K255" s="498"/>
      <c r="L255" s="484"/>
      <c r="M255" s="346"/>
      <c r="N255" s="346"/>
      <c r="O255" s="346"/>
      <c r="P255" s="484"/>
      <c r="Q255" s="346"/>
      <c r="R255" s="346"/>
      <c r="S255" s="346"/>
      <c r="T255" s="346"/>
    </row>
    <row r="256" spans="1:20" ht="15" hidden="1" customHeight="1">
      <c r="A256" s="496"/>
      <c r="B256" s="497"/>
      <c r="C256" s="498"/>
      <c r="D256" s="379"/>
      <c r="E256" s="379"/>
      <c r="F256" s="379"/>
      <c r="G256" s="390" t="str">
        <f xml:space="preserve"> AB118 &amp; " [kg]"</f>
        <v>SBGx by SwissBiogas.com [kg]</v>
      </c>
      <c r="H256" s="390"/>
      <c r="I256" s="499">
        <f xml:space="preserve"> I252 / AM132 / 1000</f>
        <v>535.07628510547011</v>
      </c>
      <c r="J256" s="346"/>
      <c r="K256" s="498" t="s">
        <v>328</v>
      </c>
      <c r="L256" s="484"/>
      <c r="M256" s="346"/>
      <c r="N256" s="346"/>
      <c r="O256" s="346"/>
      <c r="P256" s="484"/>
      <c r="Q256" s="346"/>
      <c r="R256" s="346"/>
      <c r="S256" s="346"/>
      <c r="T256" s="346"/>
    </row>
    <row r="257" spans="1:20" ht="15" hidden="1" customHeight="1">
      <c r="A257" s="496"/>
      <c r="B257" s="497"/>
      <c r="C257" s="498"/>
      <c r="D257" s="379"/>
      <c r="E257" s="379"/>
      <c r="F257" s="379"/>
      <c r="G257" s="390" t="s">
        <v>184</v>
      </c>
      <c r="H257" s="390"/>
      <c r="I257" s="498">
        <f xml:space="preserve"> I255 / I256</f>
        <v>1.7233167302828298</v>
      </c>
      <c r="J257" s="346"/>
      <c r="K257" s="498"/>
      <c r="L257" s="484"/>
      <c r="M257" s="346"/>
      <c r="N257" s="346"/>
      <c r="O257" s="346"/>
      <c r="P257" s="484"/>
      <c r="Q257" s="346"/>
      <c r="R257" s="346"/>
      <c r="S257" s="346"/>
      <c r="T257" s="346"/>
    </row>
    <row r="258" spans="1:20" ht="15" hidden="1" customHeight="1">
      <c r="A258" s="496"/>
      <c r="B258" s="497"/>
      <c r="C258" s="498"/>
      <c r="D258" s="379"/>
      <c r="E258" s="379"/>
      <c r="F258" s="379"/>
      <c r="G258" s="379"/>
      <c r="H258" s="379"/>
      <c r="I258" s="498"/>
      <c r="J258" s="346"/>
      <c r="K258" s="484"/>
      <c r="L258" s="484"/>
      <c r="M258" s="346"/>
      <c r="N258" s="346"/>
      <c r="O258" s="346"/>
      <c r="P258" s="484"/>
      <c r="Q258" s="346"/>
      <c r="R258" s="346"/>
      <c r="S258" s="346"/>
      <c r="T258" s="346"/>
    </row>
    <row r="259" spans="1:20" ht="15" hidden="1" customHeight="1">
      <c r="A259" s="496"/>
      <c r="B259" s="497"/>
      <c r="C259" s="500"/>
      <c r="D259" s="344"/>
      <c r="E259" s="344"/>
      <c r="F259" s="344"/>
      <c r="G259" s="344"/>
      <c r="H259" s="344"/>
      <c r="I259" s="500"/>
      <c r="J259" s="346"/>
      <c r="K259" s="484"/>
      <c r="L259" s="484"/>
      <c r="M259" s="346"/>
      <c r="N259" s="346"/>
      <c r="O259" s="346"/>
      <c r="P259" s="484"/>
      <c r="Q259" s="346"/>
      <c r="R259" s="346"/>
      <c r="S259" s="346"/>
      <c r="T259" s="346"/>
    </row>
    <row r="260" spans="1:20" ht="15" hidden="1" customHeight="1">
      <c r="A260" s="496"/>
      <c r="B260" s="497"/>
      <c r="C260" s="484"/>
      <c r="D260" s="346"/>
      <c r="E260" s="346"/>
      <c r="F260" s="346"/>
      <c r="G260" s="346"/>
      <c r="H260" s="346"/>
      <c r="I260" s="484"/>
      <c r="J260" s="346"/>
      <c r="K260" s="484"/>
      <c r="L260" s="484"/>
      <c r="M260" s="484"/>
      <c r="N260" s="484"/>
      <c r="O260" s="484"/>
      <c r="P260" s="484"/>
      <c r="Q260" s="346"/>
      <c r="R260" s="346"/>
      <c r="S260" s="346"/>
      <c r="T260" s="346"/>
    </row>
    <row r="261" spans="1:20" ht="15" hidden="1" customHeight="1">
      <c r="A261" s="468"/>
      <c r="B261" s="469"/>
      <c r="C261" s="403" t="s">
        <v>31</v>
      </c>
      <c r="D261" s="403"/>
      <c r="E261" s="403"/>
      <c r="F261" s="403"/>
      <c r="G261" s="403"/>
      <c r="H261" s="403"/>
      <c r="I261" s="403"/>
      <c r="J261" s="403"/>
      <c r="K261" s="403"/>
      <c r="L261" s="403"/>
      <c r="M261" s="403"/>
      <c r="N261" s="403"/>
      <c r="O261" s="403"/>
      <c r="P261" s="403"/>
    </row>
    <row r="262" spans="1:20" ht="15" hidden="1" customHeight="1">
      <c r="A262" s="468"/>
      <c r="B262" s="469"/>
      <c r="C262" s="403" t="s">
        <v>32</v>
      </c>
      <c r="D262" s="501"/>
      <c r="E262" s="501"/>
      <c r="F262" s="403"/>
      <c r="G262" s="403"/>
      <c r="H262" s="403"/>
      <c r="I262" s="403"/>
      <c r="J262" s="403"/>
      <c r="K262" s="403"/>
      <c r="L262" s="403"/>
      <c r="M262" s="403"/>
      <c r="N262" s="403"/>
      <c r="O262" s="403"/>
      <c r="P262" s="403"/>
    </row>
    <row r="263" spans="1:20" ht="15" hidden="1" customHeight="1">
      <c r="A263" s="468"/>
      <c r="B263" s="469"/>
      <c r="C263" s="403" t="s">
        <v>33</v>
      </c>
      <c r="D263" s="502"/>
      <c r="E263" s="502"/>
      <c r="F263" s="403"/>
      <c r="G263" s="403"/>
      <c r="H263" s="403"/>
      <c r="I263" s="403"/>
      <c r="J263" s="403"/>
      <c r="K263" s="403"/>
      <c r="L263" s="403"/>
      <c r="M263" s="403"/>
      <c r="N263" s="403"/>
      <c r="O263" s="403"/>
      <c r="P263" s="403"/>
    </row>
    <row r="264" spans="1:20" ht="15" hidden="1" customHeight="1">
      <c r="A264" s="468"/>
      <c r="B264" s="469"/>
      <c r="C264" s="403"/>
      <c r="D264" s="495"/>
      <c r="E264" s="495"/>
      <c r="F264" s="403"/>
      <c r="G264" s="403"/>
      <c r="H264" s="403"/>
      <c r="I264" s="403"/>
      <c r="J264" s="403"/>
      <c r="K264" s="403"/>
      <c r="L264" s="403"/>
      <c r="M264" s="403"/>
      <c r="N264" s="403"/>
      <c r="O264" s="403"/>
      <c r="P264" s="403"/>
    </row>
    <row r="265" spans="1:20" ht="15" hidden="1" customHeight="1">
      <c r="A265" s="468"/>
      <c r="B265" s="503"/>
      <c r="C265" s="495" t="s">
        <v>34</v>
      </c>
      <c r="D265" s="495"/>
      <c r="E265" s="495"/>
      <c r="F265" s="403"/>
      <c r="G265" s="403"/>
      <c r="H265" s="403"/>
      <c r="I265" s="403"/>
      <c r="J265" s="403"/>
      <c r="K265" s="403"/>
      <c r="L265" s="403"/>
      <c r="M265" s="504"/>
      <c r="N265" s="504"/>
      <c r="O265" s="504"/>
      <c r="P265" s="504"/>
    </row>
    <row r="266" spans="1:20" ht="15" hidden="1" customHeight="1">
      <c r="A266" s="468"/>
      <c r="B266" s="503"/>
      <c r="C266" s="28" t="s">
        <v>35</v>
      </c>
      <c r="D266" s="403"/>
      <c r="E266" s="403"/>
      <c r="F266" s="403"/>
      <c r="G266" s="403"/>
      <c r="H266" s="403"/>
      <c r="I266" s="403"/>
      <c r="J266" s="403"/>
      <c r="K266" s="504"/>
      <c r="L266" s="504"/>
      <c r="M266" s="504"/>
      <c r="N266" s="504"/>
      <c r="O266" s="504"/>
      <c r="P266" s="504"/>
    </row>
    <row r="267" spans="1:20" ht="15" hidden="1" customHeight="1">
      <c r="A267" s="468"/>
      <c r="B267" s="503"/>
      <c r="C267" s="403" t="s">
        <v>36</v>
      </c>
      <c r="D267" s="495"/>
      <c r="E267" s="495"/>
      <c r="F267" s="403"/>
      <c r="G267" s="504"/>
      <c r="H267" s="504"/>
      <c r="I267" s="403"/>
      <c r="J267" s="403"/>
      <c r="K267" s="504"/>
      <c r="L267" s="504"/>
      <c r="M267" s="504"/>
      <c r="N267" s="504"/>
      <c r="O267" s="504"/>
      <c r="P267" s="504"/>
    </row>
    <row r="268" spans="1:20" ht="15" hidden="1" customHeight="1">
      <c r="A268" s="468"/>
      <c r="B268" s="503"/>
      <c r="C268" s="28" t="s">
        <v>37</v>
      </c>
      <c r="D268" s="505"/>
      <c r="E268" s="505"/>
      <c r="F268" s="504"/>
      <c r="G268" s="504"/>
      <c r="H268" s="504"/>
      <c r="I268" s="504"/>
      <c r="J268" s="504"/>
      <c r="K268" s="504"/>
      <c r="L268" s="504"/>
      <c r="M268" s="504"/>
      <c r="N268" s="504"/>
      <c r="O268" s="504"/>
      <c r="P268" s="504"/>
    </row>
    <row r="269" spans="1:20" ht="15" hidden="1" customHeight="1">
      <c r="A269" s="468"/>
      <c r="B269" s="503"/>
      <c r="C269" s="403" t="s">
        <v>38</v>
      </c>
      <c r="D269" s="505"/>
      <c r="E269" s="505"/>
      <c r="F269" s="504"/>
      <c r="G269" s="504"/>
      <c r="H269" s="504"/>
      <c r="I269" s="504"/>
      <c r="J269" s="504"/>
      <c r="K269" s="504"/>
      <c r="L269" s="504"/>
      <c r="M269" s="504"/>
      <c r="N269" s="504"/>
      <c r="O269" s="504"/>
      <c r="P269" s="504"/>
    </row>
    <row r="270" spans="1:20" ht="15" hidden="1" customHeight="1">
      <c r="A270" s="468"/>
      <c r="B270" s="503"/>
      <c r="C270" s="7" t="s">
        <v>39</v>
      </c>
      <c r="D270" s="505"/>
      <c r="E270" s="505"/>
      <c r="F270" s="504"/>
      <c r="G270" s="504"/>
      <c r="H270" s="504"/>
      <c r="I270" s="504"/>
      <c r="J270" s="504"/>
      <c r="K270" s="504"/>
      <c r="L270" s="504"/>
      <c r="M270" s="504"/>
      <c r="N270" s="504"/>
      <c r="O270" s="504"/>
      <c r="P270" s="504"/>
    </row>
    <row r="271" spans="1:20" ht="15" hidden="1" customHeight="1">
      <c r="A271" s="468"/>
      <c r="B271" s="503"/>
      <c r="C271" s="403" t="s">
        <v>40</v>
      </c>
      <c r="D271" s="505"/>
      <c r="E271" s="505"/>
      <c r="F271" s="504"/>
      <c r="G271" s="504"/>
      <c r="H271" s="504"/>
      <c r="I271" s="504"/>
      <c r="J271" s="504"/>
      <c r="K271" s="504"/>
      <c r="L271" s="504"/>
      <c r="M271" s="504"/>
      <c r="N271" s="504"/>
      <c r="O271" s="504"/>
      <c r="P271" s="504"/>
    </row>
    <row r="272" spans="1:20" ht="15" customHeight="1">
      <c r="A272" s="377"/>
    </row>
    <row r="273" spans="1:1" ht="15" customHeight="1">
      <c r="A273" s="350"/>
    </row>
    <row r="274" spans="1:1" ht="15" customHeight="1">
      <c r="A274" s="350"/>
    </row>
    <row r="275" spans="1:1" ht="15" customHeight="1">
      <c r="A275" s="350"/>
    </row>
    <row r="276" spans="1:1" ht="15" customHeight="1">
      <c r="A276" s="350"/>
    </row>
    <row r="277" spans="1:1" ht="15" customHeight="1">
      <c r="A277" s="350"/>
    </row>
    <row r="278" spans="1:1">
      <c r="A278" s="350"/>
    </row>
    <row r="279" spans="1:1">
      <c r="A279" s="350"/>
    </row>
    <row r="280" spans="1:1">
      <c r="A280" s="350"/>
    </row>
    <row r="281" spans="1:1">
      <c r="A281" s="350"/>
    </row>
    <row r="282" spans="1:1">
      <c r="A282" s="350"/>
    </row>
    <row r="283" spans="1:1" ht="15" customHeight="1">
      <c r="A283" s="350"/>
    </row>
    <row r="284" spans="1:1" ht="15" customHeight="1">
      <c r="A284" s="350"/>
    </row>
    <row r="285" spans="1:1" ht="15" customHeight="1">
      <c r="A285" s="350"/>
    </row>
    <row r="286" spans="1:1" ht="15" customHeight="1">
      <c r="A286" s="350"/>
    </row>
    <row r="287" spans="1:1" ht="15" customHeight="1">
      <c r="A287" s="350"/>
    </row>
    <row r="288" spans="1:1" ht="15" customHeight="1">
      <c r="A288" s="350"/>
    </row>
    <row r="289" spans="1:1" ht="15" customHeight="1">
      <c r="A289" s="350"/>
    </row>
    <row r="290" spans="1:1" ht="15" customHeight="1">
      <c r="A290" s="350"/>
    </row>
    <row r="291" spans="1:1" ht="15" customHeight="1">
      <c r="A291" s="350"/>
    </row>
    <row r="292" spans="1:1" ht="15" customHeight="1">
      <c r="A292" s="350"/>
    </row>
    <row r="293" spans="1:1" ht="15" customHeight="1">
      <c r="A293" s="350"/>
    </row>
    <row r="294" spans="1:1" ht="15" customHeight="1">
      <c r="A294" s="350"/>
    </row>
    <row r="295" spans="1:1" ht="15" customHeight="1">
      <c r="A295" s="350"/>
    </row>
    <row r="296" spans="1:1" ht="15" customHeight="1">
      <c r="A296" s="350"/>
    </row>
    <row r="297" spans="1:1" ht="15" customHeight="1">
      <c r="A297" s="350"/>
    </row>
    <row r="298" spans="1:1" ht="15" customHeight="1">
      <c r="A298" s="350"/>
    </row>
    <row r="299" spans="1:1" ht="15" customHeight="1">
      <c r="A299" s="350"/>
    </row>
    <row r="300" spans="1:1" ht="15" customHeight="1">
      <c r="A300" s="350"/>
    </row>
    <row r="301" spans="1:1" ht="15" customHeight="1">
      <c r="A301" s="350"/>
    </row>
    <row r="302" spans="1:1" ht="15" customHeight="1">
      <c r="A302" s="350"/>
    </row>
    <row r="303" spans="1:1" ht="15" customHeight="1">
      <c r="A303" s="350"/>
    </row>
    <row r="304" spans="1:1" ht="15" customHeight="1">
      <c r="A304" s="350"/>
    </row>
    <row r="305" spans="1:26" s="346" customFormat="1" ht="15" customHeight="1">
      <c r="U305" s="354"/>
      <c r="V305" s="354"/>
      <c r="W305" s="354"/>
      <c r="X305" s="354"/>
      <c r="Y305" s="354"/>
      <c r="Z305" s="354"/>
    </row>
    <row r="306" spans="1:26" s="346" customFormat="1" ht="15" customHeight="1">
      <c r="U306" s="506"/>
      <c r="V306" s="506"/>
      <c r="W306" s="506"/>
      <c r="X306" s="506"/>
      <c r="Y306" s="506"/>
      <c r="Z306" s="506"/>
    </row>
    <row r="307" spans="1:26" s="346" customFormat="1" ht="15" customHeight="1">
      <c r="U307" s="506"/>
      <c r="V307" s="506"/>
      <c r="W307" s="506"/>
      <c r="X307" s="506"/>
      <c r="Y307" s="506"/>
      <c r="Z307" s="506"/>
    </row>
    <row r="308" spans="1:26" s="346" customFormat="1" ht="15" customHeight="1">
      <c r="U308" s="506"/>
      <c r="V308" s="506"/>
      <c r="W308" s="506"/>
      <c r="X308" s="506"/>
      <c r="Y308" s="506"/>
      <c r="Z308" s="506"/>
    </row>
    <row r="309" spans="1:26" s="346" customFormat="1" ht="15" customHeight="1">
      <c r="U309" s="506"/>
      <c r="V309" s="506"/>
      <c r="W309" s="506"/>
      <c r="X309" s="506"/>
      <c r="Y309" s="506"/>
      <c r="Z309" s="506"/>
    </row>
    <row r="310" spans="1:26" s="346" customFormat="1" ht="15" customHeight="1">
      <c r="U310" s="506"/>
      <c r="V310" s="506"/>
      <c r="W310" s="506"/>
      <c r="X310" s="506"/>
      <c r="Y310" s="506"/>
      <c r="Z310" s="506"/>
    </row>
    <row r="311" spans="1:26" s="346" customFormat="1" ht="15" customHeight="1">
      <c r="U311" s="506"/>
      <c r="V311" s="506"/>
      <c r="W311" s="506"/>
      <c r="X311" s="506"/>
      <c r="Y311" s="506"/>
      <c r="Z311" s="506"/>
    </row>
    <row r="312" spans="1:26" ht="18" customHeight="1">
      <c r="A312" s="350"/>
      <c r="U312" s="506"/>
      <c r="V312" s="506"/>
      <c r="W312" s="506"/>
      <c r="X312" s="506"/>
      <c r="Y312" s="506"/>
      <c r="Z312" s="506"/>
    </row>
    <row r="313" spans="1:26" ht="18" customHeight="1">
      <c r="A313" s="350"/>
    </row>
    <row r="314" spans="1:26" ht="15" customHeight="1">
      <c r="A314" s="350"/>
    </row>
    <row r="315" spans="1:26" ht="15" customHeight="1">
      <c r="A315" s="350"/>
    </row>
    <row r="316" spans="1:26" ht="15" customHeight="1">
      <c r="A316" s="350"/>
    </row>
    <row r="317" spans="1:26" ht="15" customHeight="1">
      <c r="A317" s="350"/>
    </row>
    <row r="318" spans="1:26" ht="18" customHeight="1">
      <c r="A318" s="350"/>
    </row>
    <row r="319" spans="1:26" ht="15" customHeight="1">
      <c r="A319" s="350"/>
    </row>
    <row r="320" spans="1:26" ht="15" customHeight="1">
      <c r="A320" s="350"/>
    </row>
    <row r="321" spans="1:1" ht="15" customHeight="1">
      <c r="A321" s="350"/>
    </row>
    <row r="322" spans="1:1" ht="15" customHeight="1">
      <c r="A322" s="350"/>
    </row>
    <row r="323" spans="1:1" ht="15" customHeight="1">
      <c r="A323" s="350"/>
    </row>
    <row r="324" spans="1:1" ht="15" customHeight="1">
      <c r="A324" s="350"/>
    </row>
    <row r="325" spans="1:1" ht="15" customHeight="1"/>
    <row r="326" spans="1:1" ht="15" customHeight="1"/>
    <row r="327" spans="1:1" ht="15" customHeight="1"/>
    <row r="328" spans="1:1" ht="15" customHeight="1"/>
    <row r="329" spans="1:1" ht="15" customHeight="1"/>
    <row r="330" spans="1:1" ht="15" customHeight="1"/>
    <row r="331" spans="1:1" ht="15" customHeight="1"/>
    <row r="332" spans="1:1" ht="15" customHeight="1"/>
    <row r="333" spans="1:1" ht="15" customHeight="1"/>
  </sheetData>
  <sheetProtection sheet="1" objects="1" scenarios="1" selectLockedCells="1"/>
  <mergeCells count="29">
    <mergeCell ref="I12:K12"/>
    <mergeCell ref="B57:B58"/>
    <mergeCell ref="AH127:AI127"/>
    <mergeCell ref="AK127:AL127"/>
    <mergeCell ref="C72:G72"/>
    <mergeCell ref="I56:J56"/>
    <mergeCell ref="I55:J55"/>
    <mergeCell ref="C60:C61"/>
    <mergeCell ref="I61:J61"/>
    <mergeCell ref="I58:J58"/>
    <mergeCell ref="I59:J59"/>
    <mergeCell ref="M63:M64"/>
    <mergeCell ref="D17:O20"/>
    <mergeCell ref="I14:K14"/>
    <mergeCell ref="M40:M42"/>
    <mergeCell ref="AO113:AV118"/>
    <mergeCell ref="M43:M45"/>
    <mergeCell ref="C23:D23"/>
    <mergeCell ref="D59:G59"/>
    <mergeCell ref="C43:D43"/>
    <mergeCell ref="C39:D39"/>
    <mergeCell ref="C26:I26"/>
    <mergeCell ref="C27:I27"/>
    <mergeCell ref="D57:J57"/>
    <mergeCell ref="C28:I28"/>
    <mergeCell ref="L29:M31"/>
    <mergeCell ref="D50:O53"/>
    <mergeCell ref="D34:O37"/>
    <mergeCell ref="M69:M70"/>
  </mergeCells>
  <conditionalFormatting sqref="F43 F23">
    <cfRule type="expression" dxfId="32" priority="69">
      <formula xml:space="preserve"> MOD(ROUND(G23 * 1000000, 0), 10) = 1</formula>
    </cfRule>
  </conditionalFormatting>
  <conditionalFormatting sqref="G23:H25 K56:K61">
    <cfRule type="expression" dxfId="31" priority="60">
      <formula xml:space="preserve"> MOD(ROUND(G23 * 1000000, 0), 10) = 1</formula>
    </cfRule>
  </conditionalFormatting>
  <conditionalFormatting sqref="G43">
    <cfRule type="expression" dxfId="30" priority="58">
      <formula xml:space="preserve"> MOD(ROUND(G43 * 1000000, 0), 10) = 1</formula>
    </cfRule>
  </conditionalFormatting>
  <conditionalFormatting sqref="G39">
    <cfRule type="expression" dxfId="29" priority="52">
      <formula xml:space="preserve"> MOD(ROUND(G39 * 1000000, 0), 10) = 1</formula>
    </cfRule>
  </conditionalFormatting>
  <conditionalFormatting sqref="K41">
    <cfRule type="expression" dxfId="28" priority="51">
      <formula xml:space="preserve"> MOD(ROUND(K41 * 1000000, 0), 10) = 1</formula>
    </cfRule>
  </conditionalFormatting>
  <conditionalFormatting sqref="K55">
    <cfRule type="expression" dxfId="27" priority="50">
      <formula xml:space="preserve"> MOD(ROUND(K55 * 1000000, 0), 10) = 1</formula>
    </cfRule>
  </conditionalFormatting>
  <conditionalFormatting sqref="I55:J55">
    <cfRule type="expression" dxfId="26" priority="48">
      <formula xml:space="preserve"> MOD(ROUND(K55 * 1000000, 0), 10) = 1</formula>
    </cfRule>
  </conditionalFormatting>
  <conditionalFormatting sqref="I56:J56">
    <cfRule type="expression" dxfId="25" priority="47">
      <formula xml:space="preserve"> MOD(ROUND(K56 * 1000000, 0), 10) = 1</formula>
    </cfRule>
  </conditionalFormatting>
  <conditionalFormatting sqref="I58:J58">
    <cfRule type="expression" dxfId="24" priority="46">
      <formula xml:space="preserve"> MOD(ROUND(K58 * 1000000, 0), 10) = 1</formula>
    </cfRule>
  </conditionalFormatting>
  <conditionalFormatting sqref="I59:J59">
    <cfRule type="expression" dxfId="23" priority="45">
      <formula xml:space="preserve"> MOD(ROUND(K59 * 1000000, 0), 10) = 1</formula>
    </cfRule>
  </conditionalFormatting>
  <conditionalFormatting sqref="I61:J61">
    <cfRule type="expression" dxfId="22" priority="44">
      <formula xml:space="preserve"> MOD(ROUND(K61 * 1000000, 0), 10) = 1</formula>
    </cfRule>
  </conditionalFormatting>
  <conditionalFormatting sqref="AG149:AG156">
    <cfRule type="expression" dxfId="21" priority="199">
      <formula xml:space="preserve"> $AH$140 = AG149</formula>
    </cfRule>
  </conditionalFormatting>
  <conditionalFormatting sqref="AH149:AH156">
    <cfRule type="expression" dxfId="20" priority="200">
      <formula xml:space="preserve"> $AH$141 = AH149</formula>
    </cfRule>
  </conditionalFormatting>
  <conditionalFormatting sqref="F24">
    <cfRule type="expression" dxfId="19" priority="22">
      <formula xml:space="preserve"> MOD(ROUND(G24 * 1000000, 0), 10) = 1</formula>
    </cfRule>
  </conditionalFormatting>
  <conditionalFormatting sqref="F39">
    <cfRule type="expression" dxfId="18" priority="230">
      <formula>$AI$146</formula>
    </cfRule>
    <cfRule type="expression" dxfId="17" priority="231">
      <formula xml:space="preserve"> MOD(ROUND(G39 * 1000000, 0), 10) = 1</formula>
    </cfRule>
  </conditionalFormatting>
  <conditionalFormatting sqref="G40">
    <cfRule type="expression" dxfId="16" priority="234">
      <formula xml:space="preserve"> MOD(ROUND(G40 * 1000000, 0), 10) = 1</formula>
    </cfRule>
  </conditionalFormatting>
  <conditionalFormatting sqref="C40:G40">
    <cfRule type="expression" dxfId="15" priority="233">
      <formula xml:space="preserve"> NOT(is_liquid)</formula>
    </cfRule>
  </conditionalFormatting>
  <conditionalFormatting sqref="AI149:AI156">
    <cfRule type="expression" dxfId="14" priority="235">
      <formula xml:space="preserve"> $AH$140 = AG149</formula>
    </cfRule>
  </conditionalFormatting>
  <conditionalFormatting sqref="AJ149:AJ156">
    <cfRule type="expression" dxfId="13" priority="236">
      <formula xml:space="preserve"> $AH$141 = AH149</formula>
    </cfRule>
  </conditionalFormatting>
  <conditionalFormatting sqref="D60:D61 K60:K61">
    <cfRule type="expression" dxfId="12" priority="17">
      <formula xml:space="preserve"> $F$226 &gt; 0</formula>
    </cfRule>
  </conditionalFormatting>
  <conditionalFormatting sqref="F12">
    <cfRule type="expression" dxfId="11" priority="15">
      <formula xml:space="preserve"> ISNUMBER(SEARCH("example", F12))</formula>
    </cfRule>
  </conditionalFormatting>
  <conditionalFormatting sqref="G41">
    <cfRule type="expression" dxfId="10" priority="12">
      <formula xml:space="preserve"> NOT(ISNUMBER(G41))</formula>
    </cfRule>
  </conditionalFormatting>
  <conditionalFormatting sqref="I23:I24">
    <cfRule type="expression" dxfId="9" priority="260">
      <formula xml:space="preserve"> NOT($U$12)</formula>
    </cfRule>
  </conditionalFormatting>
  <conditionalFormatting sqref="M23:M24 L29 M43 M40 M63 M69">
    <cfRule type="expression" dxfId="8" priority="261">
      <formula xml:space="preserve"> NOT($U$12)</formula>
    </cfRule>
  </conditionalFormatting>
  <conditionalFormatting sqref="K46:M46">
    <cfRule type="expression" dxfId="7" priority="263">
      <formula xml:space="preserve"> NOT(IFERROR(FIND($AP$145, $D$46, 1), 0))</formula>
    </cfRule>
  </conditionalFormatting>
  <conditionalFormatting sqref="D69">
    <cfRule type="expression" dxfId="6" priority="11">
      <formula xml:space="preserve"> NOT(is_liquid)</formula>
    </cfRule>
  </conditionalFormatting>
  <conditionalFormatting sqref="G68">
    <cfRule type="expression" dxfId="5" priority="10">
      <formula xml:space="preserve"> MOD(ROUND($G$68 * 1000000, 0), 10) = 1</formula>
    </cfRule>
  </conditionalFormatting>
  <conditionalFormatting sqref="G69">
    <cfRule type="expression" dxfId="4" priority="9">
      <formula xml:space="preserve"> MOD(ROUND($G$69 * 1000000, 0), 10) = 1</formula>
    </cfRule>
  </conditionalFormatting>
  <conditionalFormatting sqref="O41">
    <cfRule type="expression" dxfId="3" priority="8">
      <formula xml:space="preserve"> NOT($U$12)</formula>
    </cfRule>
  </conditionalFormatting>
  <conditionalFormatting sqref="F25">
    <cfRule type="expression" dxfId="2" priority="3">
      <formula xml:space="preserve"> $F$25 &lt;&gt; ""</formula>
    </cfRule>
  </conditionalFormatting>
  <conditionalFormatting sqref="I41:I42">
    <cfRule type="expression" dxfId="1" priority="2">
      <formula xml:space="preserve"> AND($G$42, $K$42)</formula>
    </cfRule>
  </conditionalFormatting>
  <conditionalFormatting sqref="I62 I64">
    <cfRule type="expression" dxfId="0" priority="1">
      <formula xml:space="preserve"> AND($G$64 &gt; 0, $K$64 &gt; 0)</formula>
    </cfRule>
  </conditionalFormatting>
  <dataValidations count="12">
    <dataValidation allowBlank="1" showInputMessage="1" showErrorMessage="1" errorTitle="Invalid measuring unit" error="Please select one of the measuring units offered in the list box." sqref="F40"/>
    <dataValidation type="custom" allowBlank="1" showInputMessage="1" showErrorMessage="1" sqref="C72:H72">
      <formula1>"&lt; 0 &gt; 0"</formula1>
    </dataValidation>
    <dataValidation type="list" allowBlank="1" showInputMessage="1" showErrorMessage="1" sqref="I56:J56">
      <formula1>$I$215:$I$216</formula1>
    </dataValidation>
    <dataValidation type="list" allowBlank="1" showInputMessage="1" showErrorMessage="1" sqref="I55:J55 I58:J58">
      <formula1>$I$210:$I$212</formula1>
    </dataValidation>
    <dataValidation type="list" allowBlank="1" showInputMessage="1" showErrorMessage="1" sqref="I61:J61">
      <formula1>$I$218:$I$219</formula1>
    </dataValidation>
    <dataValidation type="list" allowBlank="1" showInputMessage="1" showErrorMessage="1" sqref="I59:J59">
      <formula1>$I$225:$I$226</formula1>
    </dataValidation>
    <dataValidation type="list" allowBlank="1" showInputMessage="1" showErrorMessage="1" errorTitle="Invalit timeframe" error="Please select one of the timeframes offered in the list box." sqref="M46">
      <formula1>$AO$141:$AO$144</formula1>
    </dataValidation>
    <dataValidation type="list" allowBlank="1" showErrorMessage="1" errorTitle="Invalid measuring unit" error="Please select one of the measuring units offered in the list box." promptTitle="Select the measuring unit" prompt="by clicking on the down arrow on the right side border of the cell" sqref="F43">
      <formula1>$AG$149:$AG$156</formula1>
    </dataValidation>
    <dataValidation type="list" allowBlank="1" showInputMessage="1" showErrorMessage="1" errorTitle="Invalid measuring unit" error="Please select one of the measuring units offered in the list box." sqref="F39">
      <formula1>$AH$149:$AH$156</formula1>
    </dataValidation>
    <dataValidation type="list" allowBlank="1" showErrorMessage="1" errorTitle="Invalid measuring unit" error="Please select one of the measuring units offered in the list box." promptTitle="Select the measuring unit" prompt="by clicking on the down arrow on the right side border of the cell" sqref="F23:F24">
      <formula1>$V$123:$V$131</formula1>
    </dataValidation>
    <dataValidation allowBlank="1" showInputMessage="1" showErrorMessage="1" errorTitle="Invalit timeframe" error="Please select one of the timeframes offered in the list box." sqref="M48"/>
    <dataValidation type="list" allowBlank="1" showInputMessage="1" showErrorMessage="1" sqref="M12">
      <formula1>$U$9:$U$10</formula1>
    </dataValidation>
  </dataValidations>
  <hyperlinks>
    <hyperlink ref="C266" r:id="rId1"/>
    <hyperlink ref="C268" r:id="rId2"/>
    <hyperlink ref="C270" r:id="rId3"/>
    <hyperlink ref="K243" r:id="rId4"/>
    <hyperlink ref="C72:F72" r:id="rId5" display="Source:  https://swissbiogas.com/ Resources - Download Area"/>
  </hyperlinks>
  <pageMargins left="0.39370078740157483" right="0.39370078740157483" top="0.39370078740157483" bottom="0.39370078740157483" header="0.31496062992125984" footer="0.31496062992125984"/>
  <pageSetup paperSize="9" scale="83" orientation="portrait" r:id="rId6"/>
  <drawing r:id="rId7"/>
  <legacyDrawing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text_translations!$C$8:$C$12</xm:f>
          </x14:formula1>
          <xm:sqref>M14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L145"/>
  <sheetViews>
    <sheetView showGridLines="0" zoomScaleNormal="100" workbookViewId="0">
      <selection activeCell="C5" sqref="C5"/>
    </sheetView>
  </sheetViews>
  <sheetFormatPr defaultRowHeight="15"/>
  <cols>
    <col min="1" max="1" width="2.75" style="89" customWidth="1"/>
    <col min="2" max="2" width="31.5" style="89" customWidth="1"/>
    <col min="3" max="3" width="14.375" style="89" customWidth="1"/>
    <col min="4" max="4" width="3.625" style="89" customWidth="1"/>
    <col min="5" max="5" width="14.375" style="89" customWidth="1"/>
    <col min="6" max="6" width="3.625" style="89" customWidth="1"/>
    <col min="7" max="7" width="14.375" style="89" customWidth="1"/>
    <col min="8" max="8" width="3.625" style="89" customWidth="1"/>
    <col min="9" max="9" width="14.375" style="89" customWidth="1"/>
    <col min="10" max="10" width="3.625" style="89" customWidth="1"/>
    <col min="11" max="11" width="14.375" style="89" customWidth="1"/>
    <col min="12" max="12" width="9" style="89"/>
    <col min="13" max="13" width="16" style="89" customWidth="1"/>
    <col min="14" max="14" width="12.125" style="89" customWidth="1"/>
    <col min="15" max="15" width="13.75" style="89" customWidth="1"/>
    <col min="16" max="16" width="0.875" style="89" customWidth="1"/>
    <col min="17" max="17" width="9" style="89" customWidth="1"/>
    <col min="18" max="18" width="9" style="89"/>
    <col min="19" max="19" width="17.625" style="89" customWidth="1"/>
    <col min="20" max="28" width="7.625" style="89" customWidth="1"/>
    <col min="29" max="60" width="9" style="89"/>
    <col min="61" max="61" width="9.625" style="89" bestFit="1" customWidth="1"/>
    <col min="62" max="63" width="9" style="89"/>
    <col min="64" max="64" width="11.625" style="89" customWidth="1"/>
    <col min="65" max="65" width="15" style="89" customWidth="1"/>
    <col min="66" max="66" width="17.375" style="89" customWidth="1"/>
    <col min="67" max="68" width="9" style="89"/>
    <col min="69" max="69" width="5.625" style="89" customWidth="1"/>
    <col min="70" max="70" width="11.625" style="89" customWidth="1"/>
    <col min="71" max="71" width="15" style="89" customWidth="1"/>
    <col min="72" max="72" width="17.75" style="89" customWidth="1"/>
    <col min="73" max="73" width="9.25" style="89" bestFit="1" customWidth="1"/>
    <col min="74" max="75" width="9" style="89"/>
    <col min="76" max="77" width="14.5" style="89" customWidth="1"/>
    <col min="78" max="79" width="9" style="89"/>
    <col min="80" max="81" width="13.875" style="89" customWidth="1"/>
    <col min="82" max="82" width="18.625" style="155" customWidth="1"/>
    <col min="83" max="83" width="18.625" style="156" customWidth="1"/>
    <col min="84" max="85" width="18.625" style="155" customWidth="1"/>
    <col min="86" max="87" width="14.75" style="89" customWidth="1"/>
    <col min="88" max="88" width="20.25" style="89" customWidth="1"/>
    <col min="89" max="89" width="28.25" style="89" customWidth="1"/>
    <col min="90" max="90" width="9.375" style="89" bestFit="1" customWidth="1"/>
    <col min="91" max="16384" width="9" style="89"/>
  </cols>
  <sheetData>
    <row r="1" spans="2:90" s="136" customFormat="1" ht="15" customHeight="1">
      <c r="B1" s="339"/>
      <c r="C1" s="339"/>
      <c r="BF1" s="330"/>
      <c r="BG1" s="330"/>
      <c r="BH1" s="330"/>
      <c r="BI1" s="330"/>
      <c r="BJ1" s="330"/>
      <c r="BK1" s="330"/>
      <c r="BL1" s="330"/>
      <c r="BM1" s="330"/>
      <c r="BN1" s="330"/>
      <c r="BO1" s="330"/>
      <c r="BP1" s="330"/>
      <c r="BQ1" s="330"/>
      <c r="BR1" s="330"/>
      <c r="BS1" s="330"/>
      <c r="BT1" s="330"/>
      <c r="BU1" s="330"/>
      <c r="BV1" s="330"/>
      <c r="BW1" s="330"/>
      <c r="BX1" s="330"/>
      <c r="BY1" s="330"/>
      <c r="BZ1" s="330"/>
      <c r="CA1" s="330"/>
      <c r="CB1" s="330"/>
      <c r="CC1" s="330"/>
      <c r="CD1" s="331"/>
      <c r="CE1" s="331"/>
      <c r="CF1" s="331"/>
      <c r="CG1" s="331"/>
      <c r="CH1" s="330"/>
      <c r="CI1" s="330"/>
      <c r="CJ1" s="330"/>
      <c r="CK1" s="330"/>
      <c r="CL1" s="330"/>
    </row>
    <row r="2" spans="2:90" s="136" customFormat="1" ht="15" customHeight="1">
      <c r="B2" s="43" t="s">
        <v>162</v>
      </c>
      <c r="M2" s="43" t="s">
        <v>130</v>
      </c>
      <c r="BF2" s="330"/>
      <c r="BG2" s="330"/>
      <c r="BH2" s="330"/>
      <c r="BI2" s="330"/>
      <c r="BJ2" s="330"/>
      <c r="BK2" s="330"/>
      <c r="BL2" s="330"/>
      <c r="BM2" s="330"/>
      <c r="BN2" s="330"/>
      <c r="BO2" s="330"/>
      <c r="BP2" s="330"/>
      <c r="BQ2" s="330"/>
      <c r="BR2" s="330"/>
      <c r="BS2" s="330"/>
      <c r="BT2" s="330"/>
      <c r="BU2" s="330"/>
      <c r="BV2" s="330"/>
      <c r="BW2" s="330"/>
      <c r="BX2" s="330"/>
      <c r="BY2" s="330"/>
      <c r="BZ2" s="330"/>
      <c r="CA2" s="330"/>
      <c r="CB2" s="330"/>
      <c r="CC2" s="330"/>
      <c r="CD2" s="331"/>
      <c r="CE2" s="331"/>
      <c r="CF2" s="331"/>
      <c r="CG2" s="331"/>
      <c r="CH2" s="330"/>
      <c r="CI2" s="330"/>
      <c r="CJ2" s="330"/>
      <c r="CK2" s="330"/>
      <c r="CL2" s="330"/>
    </row>
    <row r="3" spans="2:90" s="136" customFormat="1" ht="15" customHeight="1">
      <c r="M3" s="136" t="s">
        <v>209</v>
      </c>
      <c r="Q3" s="136" t="s">
        <v>129</v>
      </c>
      <c r="CD3" s="155"/>
      <c r="CE3" s="155"/>
      <c r="CF3" s="155"/>
      <c r="CG3" s="155"/>
    </row>
    <row r="4" spans="2:90" s="136" customFormat="1" ht="15" customHeight="1">
      <c r="B4" s="137" t="s">
        <v>124</v>
      </c>
      <c r="C4" s="518" t="s">
        <v>114</v>
      </c>
      <c r="D4" s="519" t="s">
        <v>120</v>
      </c>
      <c r="E4" s="520" t="s">
        <v>115</v>
      </c>
      <c r="M4" s="138" t="s">
        <v>193</v>
      </c>
      <c r="N4" s="138"/>
      <c r="O4" s="139"/>
      <c r="Q4" s="138" t="s">
        <v>194</v>
      </c>
      <c r="R4" s="138"/>
      <c r="S4" s="139"/>
      <c r="CD4" s="155"/>
      <c r="CE4" s="155"/>
      <c r="CF4" s="155"/>
      <c r="CG4" s="155"/>
    </row>
    <row r="5" spans="2:90" s="136" customFormat="1" ht="15" customHeight="1">
      <c r="B5" s="140"/>
      <c r="C5" s="141">
        <v>1000</v>
      </c>
      <c r="D5" s="142" t="s">
        <v>118</v>
      </c>
      <c r="E5" s="143">
        <f xml:space="preserve"> C5 *'RIIC Calculator Standard'!I235 / 'RIIC Calculator Standard'!I234</f>
        <v>717.42957746478874</v>
      </c>
      <c r="G5" s="144"/>
      <c r="M5" s="136" t="s">
        <v>128</v>
      </c>
      <c r="Q5" s="136" t="s">
        <v>147</v>
      </c>
      <c r="CD5" s="155"/>
      <c r="CE5" s="155"/>
      <c r="CF5" s="155"/>
      <c r="CG5" s="155"/>
    </row>
    <row r="6" spans="2:90" s="136" customFormat="1" ht="15" customHeight="1">
      <c r="C6" s="145">
        <f xml:space="preserve"> E6 / 'RIIC Calculator Standard'!I235 * 'RIIC Calculator Standard'!I234</f>
        <v>1393.8650306748466</v>
      </c>
      <c r="D6" s="146" t="s">
        <v>119</v>
      </c>
      <c r="E6" s="42">
        <v>1000</v>
      </c>
      <c r="M6" s="136" t="s">
        <v>34</v>
      </c>
      <c r="N6" s="791" t="s">
        <v>138</v>
      </c>
      <c r="O6" s="791"/>
      <c r="P6" s="791"/>
      <c r="Q6" s="791"/>
      <c r="R6" s="791"/>
      <c r="S6" s="791"/>
      <c r="CD6" s="155"/>
      <c r="CE6" s="155"/>
      <c r="CF6" s="155"/>
      <c r="CG6" s="155"/>
    </row>
    <row r="7" spans="2:90" s="136" customFormat="1" ht="15" customHeight="1">
      <c r="E7" s="147" t="s">
        <v>192</v>
      </c>
      <c r="N7" s="791" t="s">
        <v>142</v>
      </c>
      <c r="O7" s="791"/>
      <c r="P7" s="791"/>
      <c r="Q7" s="791"/>
      <c r="R7" s="791"/>
      <c r="S7" s="791"/>
      <c r="T7" s="135"/>
      <c r="CD7" s="155"/>
      <c r="CE7" s="155"/>
      <c r="CF7" s="155"/>
      <c r="CG7" s="155"/>
    </row>
    <row r="8" spans="2:90" s="136" customFormat="1" ht="15" customHeight="1">
      <c r="B8" s="148"/>
      <c r="C8" s="148"/>
      <c r="D8" s="148"/>
      <c r="E8" s="148"/>
      <c r="F8" s="148"/>
      <c r="G8" s="148"/>
      <c r="H8" s="148"/>
      <c r="I8" s="148"/>
      <c r="J8" s="148"/>
      <c r="K8" s="148"/>
      <c r="L8" s="148"/>
      <c r="R8" s="148"/>
      <c r="CD8" s="155"/>
      <c r="CE8" s="155"/>
      <c r="CF8" s="155"/>
      <c r="CG8" s="155"/>
    </row>
    <row r="9" spans="2:90">
      <c r="B9" s="94" t="s">
        <v>125</v>
      </c>
      <c r="C9" s="521" t="s">
        <v>117</v>
      </c>
      <c r="D9" s="519" t="s">
        <v>120</v>
      </c>
      <c r="E9" s="521" t="s">
        <v>167</v>
      </c>
      <c r="F9" s="519" t="s">
        <v>120</v>
      </c>
      <c r="G9" s="121" t="s">
        <v>168</v>
      </c>
    </row>
    <row r="10" spans="2:90">
      <c r="C10" s="95">
        <v>1000</v>
      </c>
      <c r="D10" s="90" t="s">
        <v>118</v>
      </c>
      <c r="E10" s="96">
        <f xml:space="preserve"> C10 / 'RIIC Calculator Standard'!AE143 * 'RIIC Calculator Standard'!AE148</f>
        <v>10022.412854960503</v>
      </c>
      <c r="F10" s="513" t="s">
        <v>118</v>
      </c>
      <c r="G10" s="97">
        <f xml:space="preserve"> C10 / 'RIIC Calculator Standard'!AE143 * 'RIIC Calculator Standard'!AE149</f>
        <v>8345.4044520193311</v>
      </c>
    </row>
    <row r="11" spans="2:90">
      <c r="C11" s="96">
        <f xml:space="preserve"> E11 * 'RIIC Calculator Standard'!AE143 / 'RIIC Calculator Standard'!AE148</f>
        <v>99.776372663101697</v>
      </c>
      <c r="D11" s="91" t="s">
        <v>119</v>
      </c>
      <c r="E11" s="95">
        <v>1000</v>
      </c>
      <c r="F11" s="90" t="s">
        <v>118</v>
      </c>
      <c r="G11" s="97">
        <f xml:space="preserve"> C11 / 'RIIC Calculator Standard'!AE143 * 'RIIC Calculator Standard'!AE149</f>
        <v>832.67418462898877</v>
      </c>
    </row>
    <row r="12" spans="2:90">
      <c r="C12" s="96">
        <f xml:space="preserve"> G12 * 'RIIC Calculator Standard'!AE143 / 'RIIC Calculator Standard'!AE149</f>
        <v>119.82642731689664</v>
      </c>
      <c r="D12" s="91" t="s">
        <v>119</v>
      </c>
      <c r="E12" s="96">
        <f xml:space="preserve"> C12 / 'RIIC Calculator Standard'!AE143 * 'RIIC Calculator Standard'!AE148</f>
        <v>1200.9499255048552</v>
      </c>
      <c r="F12" s="91" t="s">
        <v>119</v>
      </c>
      <c r="G12" s="98">
        <v>1000</v>
      </c>
      <c r="M12" s="43" t="s">
        <v>130</v>
      </c>
    </row>
    <row r="13" spans="2:90">
      <c r="M13" s="523" t="s">
        <v>65</v>
      </c>
      <c r="N13" s="524" t="s">
        <v>204</v>
      </c>
    </row>
    <row r="14" spans="2:90">
      <c r="M14" s="99" t="s">
        <v>205</v>
      </c>
      <c r="N14" s="100">
        <v>0.45359237000000002</v>
      </c>
    </row>
    <row r="15" spans="2:90">
      <c r="B15" s="94" t="s">
        <v>126</v>
      </c>
      <c r="C15" s="521" t="s">
        <v>195</v>
      </c>
      <c r="D15" s="519" t="s">
        <v>120</v>
      </c>
      <c r="E15" s="521" t="s">
        <v>199</v>
      </c>
      <c r="F15" s="519" t="s">
        <v>120</v>
      </c>
      <c r="G15" s="121" t="s">
        <v>196</v>
      </c>
      <c r="H15" s="519" t="s">
        <v>120</v>
      </c>
      <c r="I15" s="521" t="s">
        <v>197</v>
      </c>
      <c r="J15" s="519" t="s">
        <v>120</v>
      </c>
      <c r="K15" s="121" t="s">
        <v>198</v>
      </c>
      <c r="M15" s="99" t="s">
        <v>210</v>
      </c>
      <c r="N15" s="101">
        <v>1016.0469000000001</v>
      </c>
    </row>
    <row r="16" spans="2:90">
      <c r="C16" s="95">
        <v>1000</v>
      </c>
      <c r="D16" s="90" t="s">
        <v>118</v>
      </c>
      <c r="E16" s="96">
        <f xml:space="preserve"> C16 / 1000</f>
        <v>1</v>
      </c>
      <c r="F16" s="90" t="s">
        <v>118</v>
      </c>
      <c r="G16" s="97">
        <f xml:space="preserve"> C16 / 'RIIC Calculator Standard'!$AE$143</f>
        <v>2204.6226218487759</v>
      </c>
      <c r="H16" s="90" t="s">
        <v>118</v>
      </c>
      <c r="I16" s="97">
        <f xml:space="preserve"> G16 / 2240</f>
        <v>0.98420652761106064</v>
      </c>
      <c r="J16" s="90" t="s">
        <v>118</v>
      </c>
      <c r="K16" s="97">
        <f xml:space="preserve"> G16 / 2000</f>
        <v>1.1023113109243881</v>
      </c>
      <c r="M16" s="99" t="s">
        <v>206</v>
      </c>
      <c r="N16" s="100">
        <v>907.18474000000003</v>
      </c>
    </row>
    <row r="17" spans="1:58">
      <c r="C17" s="96">
        <f xml:space="preserve"> E17 * 1000</f>
        <v>1000</v>
      </c>
      <c r="D17" s="91" t="s">
        <v>119</v>
      </c>
      <c r="E17" s="95">
        <v>1</v>
      </c>
      <c r="F17" s="90" t="s">
        <v>118</v>
      </c>
      <c r="G17" s="97">
        <f xml:space="preserve"> C17 / 'RIIC Calculator Standard'!$AE$143</f>
        <v>2204.6226218487759</v>
      </c>
      <c r="H17" s="90" t="s">
        <v>118</v>
      </c>
      <c r="I17" s="97">
        <f xml:space="preserve"> G17 / 2240</f>
        <v>0.98420652761106064</v>
      </c>
      <c r="J17" s="90" t="s">
        <v>118</v>
      </c>
      <c r="K17" s="97">
        <f xml:space="preserve"> G17 / 2000</f>
        <v>1.1023113109243881</v>
      </c>
      <c r="M17" s="99" t="s">
        <v>116</v>
      </c>
      <c r="N17" s="100" t="s">
        <v>116</v>
      </c>
    </row>
    <row r="18" spans="1:58">
      <c r="C18" s="96">
        <f xml:space="preserve"> G18 * 'RIIC Calculator Standard'!$AE$143</f>
        <v>453.59237000000002</v>
      </c>
      <c r="D18" s="91" t="s">
        <v>119</v>
      </c>
      <c r="E18" s="96">
        <f xml:space="preserve"> C18 / 1000</f>
        <v>0.45359237000000002</v>
      </c>
      <c r="F18" s="91" t="s">
        <v>119</v>
      </c>
      <c r="G18" s="98">
        <v>1000</v>
      </c>
      <c r="H18" s="90" t="s">
        <v>118</v>
      </c>
      <c r="I18" s="97">
        <f xml:space="preserve"> G18 / 2240</f>
        <v>0.44642857142857145</v>
      </c>
      <c r="J18" s="90" t="s">
        <v>118</v>
      </c>
      <c r="K18" s="97">
        <f xml:space="preserve"> G18 / 2000</f>
        <v>0.5</v>
      </c>
      <c r="M18" s="523" t="s">
        <v>70</v>
      </c>
      <c r="N18" s="524" t="s">
        <v>200</v>
      </c>
    </row>
    <row r="19" spans="1:58">
      <c r="C19" s="96">
        <f xml:space="preserve"> G19 * 'RIIC Calculator Standard'!$AE$143</f>
        <v>1016.0469088000001</v>
      </c>
      <c r="D19" s="91" t="s">
        <v>119</v>
      </c>
      <c r="E19" s="96">
        <f xml:space="preserve"> C19 / 1000</f>
        <v>1.0160469088000001</v>
      </c>
      <c r="F19" s="91" t="s">
        <v>119</v>
      </c>
      <c r="G19" s="96">
        <f xml:space="preserve"> I19 * 2240</f>
        <v>2240</v>
      </c>
      <c r="H19" s="91" t="s">
        <v>119</v>
      </c>
      <c r="I19" s="95">
        <v>1</v>
      </c>
      <c r="J19" s="90" t="s">
        <v>118</v>
      </c>
      <c r="K19" s="97">
        <f xml:space="preserve"> G19 / 2000</f>
        <v>1.1200000000000001</v>
      </c>
      <c r="M19" s="99" t="s">
        <v>207</v>
      </c>
      <c r="N19" s="100">
        <v>4.5460900000000004</v>
      </c>
    </row>
    <row r="20" spans="1:58">
      <c r="C20" s="96">
        <f xml:space="preserve"> G20 * 'RIIC Calculator Standard'!$AE$143</f>
        <v>907.18474000000003</v>
      </c>
      <c r="D20" s="91" t="s">
        <v>119</v>
      </c>
      <c r="E20" s="96">
        <f xml:space="preserve"> C20 / 1000</f>
        <v>0.90718474000000004</v>
      </c>
      <c r="F20" s="91" t="s">
        <v>119</v>
      </c>
      <c r="G20" s="96">
        <f xml:space="preserve"> K20 * 2000</f>
        <v>2000</v>
      </c>
      <c r="H20" s="91" t="s">
        <v>119</v>
      </c>
      <c r="I20" s="97">
        <f xml:space="preserve"> G20 / 2240</f>
        <v>0.8928571428571429</v>
      </c>
      <c r="J20" s="91" t="s">
        <v>119</v>
      </c>
      <c r="K20" s="98">
        <v>1</v>
      </c>
      <c r="M20" s="102" t="s">
        <v>208</v>
      </c>
      <c r="N20" s="103">
        <v>3.7854117839999999</v>
      </c>
    </row>
    <row r="21" spans="1:58">
      <c r="K21" s="92" t="s">
        <v>34</v>
      </c>
      <c r="M21" s="793" t="s">
        <v>141</v>
      </c>
      <c r="N21" s="793"/>
      <c r="O21" s="73"/>
      <c r="P21" s="88"/>
      <c r="Q21" s="88"/>
      <c r="R21" s="104"/>
      <c r="S21" s="104"/>
    </row>
    <row r="22" spans="1:58">
      <c r="M22" s="791" t="s">
        <v>140</v>
      </c>
      <c r="N22" s="791"/>
      <c r="O22" s="74"/>
      <c r="P22" s="88"/>
      <c r="Q22" s="88"/>
      <c r="R22" s="104"/>
      <c r="S22" s="104"/>
    </row>
    <row r="23" spans="1:58">
      <c r="B23" s="94" t="s">
        <v>127</v>
      </c>
      <c r="C23" s="521" t="s">
        <v>200</v>
      </c>
      <c r="D23" s="519" t="s">
        <v>120</v>
      </c>
      <c r="E23" s="521" t="s">
        <v>201</v>
      </c>
      <c r="F23" s="519" t="s">
        <v>120</v>
      </c>
      <c r="G23" s="121" t="s">
        <v>202</v>
      </c>
      <c r="H23" s="519" t="s">
        <v>120</v>
      </c>
      <c r="I23" s="121" t="s">
        <v>203</v>
      </c>
    </row>
    <row r="24" spans="1:58">
      <c r="C24" s="95">
        <v>1000</v>
      </c>
      <c r="D24" s="90" t="s">
        <v>118</v>
      </c>
      <c r="E24" s="96">
        <f xml:space="preserve"> C24 / 'RIIC Calculator Standard'!$AE$148</f>
        <v>219.96924829908778</v>
      </c>
      <c r="F24" s="90" t="s">
        <v>118</v>
      </c>
      <c r="G24" s="97">
        <f xml:space="preserve"> C24 / 'RIIC Calculator Standard'!$AE$149</f>
        <v>264.17205235814845</v>
      </c>
      <c r="H24" s="90" t="s">
        <v>118</v>
      </c>
      <c r="I24" s="97">
        <f xml:space="preserve"> C24 / 1000</f>
        <v>1</v>
      </c>
    </row>
    <row r="25" spans="1:58">
      <c r="C25" s="96">
        <f xml:space="preserve"> E25 * 'RIIC Calculator Standard'!AE148</f>
        <v>4546.09</v>
      </c>
      <c r="D25" s="91" t="s">
        <v>119</v>
      </c>
      <c r="E25" s="95">
        <v>1000</v>
      </c>
      <c r="F25" s="90" t="s">
        <v>118</v>
      </c>
      <c r="G25" s="97">
        <f xml:space="preserve"> C25 / 'RIIC Calculator Standard'!$AE$149</f>
        <v>1200.9499255048549</v>
      </c>
      <c r="H25" s="90" t="s">
        <v>118</v>
      </c>
      <c r="I25" s="97">
        <f xml:space="preserve"> C25 / 1000</f>
        <v>4.5460900000000004</v>
      </c>
    </row>
    <row r="26" spans="1:58">
      <c r="C26" s="96">
        <f xml:space="preserve"> G26 * 'RIIC Calculator Standard'!AE149</f>
        <v>3785.4117839999999</v>
      </c>
      <c r="D26" s="91" t="s">
        <v>119</v>
      </c>
      <c r="E26" s="96">
        <f xml:space="preserve"> C26 / 'RIIC Calculator Standard'!$AE$148</f>
        <v>832.67418462898877</v>
      </c>
      <c r="F26" s="91" t="s">
        <v>119</v>
      </c>
      <c r="G26" s="98">
        <v>1000</v>
      </c>
      <c r="H26" s="90" t="s">
        <v>118</v>
      </c>
      <c r="I26" s="97">
        <f xml:space="preserve"> C26 / 1000</f>
        <v>3.7854117839999999</v>
      </c>
    </row>
    <row r="27" spans="1:58">
      <c r="C27" s="96">
        <f xml:space="preserve"> I27 * 1000</f>
        <v>1000000</v>
      </c>
      <c r="D27" s="91" t="s">
        <v>119</v>
      </c>
      <c r="E27" s="96">
        <f xml:space="preserve"> C27 / 'RIIC Calculator Standard'!$AE$148</f>
        <v>219969.24829908778</v>
      </c>
      <c r="F27" s="91" t="s">
        <v>119</v>
      </c>
      <c r="G27" s="105">
        <f xml:space="preserve"> C27 / 'RIIC Calculator Standard'!$AE$149</f>
        <v>264172.05235814844</v>
      </c>
      <c r="H27" s="91" t="s">
        <v>119</v>
      </c>
      <c r="I27" s="98">
        <v>1000</v>
      </c>
      <c r="BF27" s="525" t="s">
        <v>495</v>
      </c>
    </row>
    <row r="28" spans="1:58" hidden="1">
      <c r="A28" s="526"/>
    </row>
    <row r="29" spans="1:58" hidden="1">
      <c r="A29" s="526"/>
      <c r="F29" s="93"/>
      <c r="G29" s="93"/>
      <c r="H29" s="93"/>
      <c r="I29" s="93"/>
      <c r="J29" s="93"/>
      <c r="K29" s="93"/>
      <c r="L29" s="93"/>
      <c r="M29" s="93"/>
      <c r="N29" s="93"/>
      <c r="O29" s="93"/>
      <c r="P29" s="93"/>
      <c r="Q29" s="93"/>
      <c r="R29" s="93"/>
    </row>
    <row r="30" spans="1:58" hidden="1">
      <c r="A30" s="526"/>
      <c r="B30" s="514" t="s">
        <v>492</v>
      </c>
      <c r="C30" s="121" t="s">
        <v>493</v>
      </c>
      <c r="D30" s="519" t="s">
        <v>118</v>
      </c>
      <c r="E30" s="522" t="s">
        <v>494</v>
      </c>
      <c r="F30" s="93"/>
      <c r="G30" s="93"/>
      <c r="H30" s="93"/>
      <c r="I30" s="93"/>
      <c r="J30" s="93"/>
      <c r="K30" s="93"/>
      <c r="L30" s="93"/>
      <c r="M30" s="93"/>
      <c r="N30" s="93"/>
      <c r="O30" s="93"/>
      <c r="P30" s="93"/>
      <c r="Q30" s="93"/>
      <c r="R30" s="93"/>
    </row>
    <row r="31" spans="1:58" hidden="1">
      <c r="A31" s="526"/>
      <c r="B31" s="93"/>
      <c r="C31" s="516"/>
      <c r="D31" s="515" t="s">
        <v>118</v>
      </c>
      <c r="E31" s="517" t="str">
        <f ca="1" xml:space="preserve"> IFERROR(TEXT(1 / (1 - C31 / 100), fmt_dec_4), "---")</f>
        <v>1.0000</v>
      </c>
      <c r="F31" s="93"/>
      <c r="G31" s="93"/>
      <c r="H31" s="93"/>
      <c r="I31" s="93"/>
      <c r="J31" s="93"/>
      <c r="K31" s="93"/>
      <c r="L31" s="93"/>
      <c r="M31" s="93"/>
      <c r="N31" s="93"/>
      <c r="O31" s="93"/>
      <c r="P31" s="93"/>
      <c r="Q31" s="93"/>
      <c r="R31" s="93"/>
    </row>
    <row r="32" spans="1:58">
      <c r="B32" s="94"/>
      <c r="C32" s="94"/>
      <c r="D32" s="94"/>
      <c r="E32" s="94"/>
      <c r="F32" s="94"/>
      <c r="G32" s="94"/>
      <c r="H32" s="94"/>
      <c r="I32" s="94"/>
      <c r="J32" s="94"/>
      <c r="K32" s="94"/>
      <c r="L32" s="94"/>
      <c r="M32" s="94"/>
      <c r="N32" s="94"/>
      <c r="O32" s="94"/>
      <c r="P32" s="94"/>
      <c r="Q32" s="94"/>
      <c r="R32" s="94"/>
    </row>
    <row r="33" spans="2:85">
      <c r="B33" s="93"/>
      <c r="C33" s="93"/>
      <c r="D33" s="93"/>
      <c r="E33" s="93"/>
      <c r="F33" s="93"/>
      <c r="G33" s="93"/>
      <c r="H33" s="93"/>
      <c r="I33" s="93"/>
      <c r="J33" s="93"/>
      <c r="K33" s="93"/>
      <c r="L33" s="93"/>
      <c r="M33" s="93"/>
      <c r="N33" s="93"/>
      <c r="O33" s="93"/>
      <c r="P33" s="93"/>
      <c r="Q33" s="93"/>
      <c r="R33" s="93"/>
    </row>
    <row r="34" spans="2:85" ht="15" customHeight="1">
      <c r="B34" s="43" t="s">
        <v>131</v>
      </c>
    </row>
    <row r="35" spans="2:85" ht="15" customHeight="1"/>
    <row r="36" spans="2:85" ht="15" customHeight="1">
      <c r="B36" s="89" t="s">
        <v>132</v>
      </c>
    </row>
    <row r="37" spans="2:85" ht="15" customHeight="1">
      <c r="B37" s="334" t="s">
        <v>31</v>
      </c>
    </row>
    <row r="38" spans="2:85" ht="15" customHeight="1">
      <c r="B38" s="106" t="s">
        <v>133</v>
      </c>
      <c r="BZ38" s="155"/>
      <c r="CA38" s="156"/>
      <c r="CB38" s="155"/>
      <c r="CC38" s="155"/>
      <c r="CD38" s="89"/>
      <c r="CE38" s="89"/>
      <c r="CF38" s="89"/>
      <c r="CG38" s="89"/>
    </row>
    <row r="39" spans="2:85" ht="15" customHeight="1">
      <c r="B39" s="106" t="s">
        <v>134</v>
      </c>
      <c r="C39" s="792" t="s">
        <v>135</v>
      </c>
      <c r="D39" s="792"/>
      <c r="E39" s="792"/>
      <c r="F39" s="792"/>
      <c r="G39" s="792"/>
      <c r="H39" s="792"/>
      <c r="I39" s="792"/>
      <c r="J39" s="792"/>
      <c r="K39" s="792"/>
      <c r="L39" s="792"/>
      <c r="M39" s="792"/>
      <c r="N39" s="792"/>
      <c r="O39" s="792"/>
      <c r="P39" s="792"/>
      <c r="Q39" s="792"/>
      <c r="BZ39" s="155"/>
      <c r="CA39" s="156"/>
      <c r="CB39" s="155"/>
      <c r="CC39" s="155"/>
      <c r="CD39" s="89"/>
      <c r="CE39" s="89"/>
      <c r="CF39" s="89"/>
      <c r="CG39" s="89"/>
    </row>
    <row r="40" spans="2:85" ht="15" customHeight="1">
      <c r="BZ40" s="155"/>
      <c r="CA40" s="156"/>
      <c r="CB40" s="155"/>
      <c r="CC40" s="155"/>
      <c r="CD40" s="89"/>
      <c r="CE40" s="89"/>
      <c r="CF40" s="89"/>
      <c r="CG40" s="89"/>
    </row>
    <row r="41" spans="2:85" ht="15" customHeight="1">
      <c r="B41" s="89" t="s">
        <v>159</v>
      </c>
      <c r="BZ41" s="155"/>
      <c r="CA41" s="156"/>
      <c r="CB41" s="155"/>
      <c r="CC41" s="155"/>
      <c r="CD41" s="89"/>
      <c r="CE41" s="89"/>
      <c r="CF41" s="89"/>
      <c r="CG41" s="89"/>
    </row>
    <row r="42" spans="2:85" ht="15" customHeight="1">
      <c r="BZ42" s="155"/>
      <c r="CA42" s="156"/>
      <c r="CB42" s="155"/>
      <c r="CC42" s="155"/>
      <c r="CD42" s="89"/>
      <c r="CE42" s="89"/>
      <c r="CF42" s="89"/>
      <c r="CG42" s="89"/>
    </row>
    <row r="43" spans="2:85" ht="15" customHeight="1">
      <c r="BZ43" s="155"/>
      <c r="CA43" s="156"/>
      <c r="CB43" s="155"/>
      <c r="CC43" s="155"/>
      <c r="CD43" s="89"/>
      <c r="CE43" s="89"/>
      <c r="CF43" s="89"/>
      <c r="CG43" s="89"/>
    </row>
    <row r="44" spans="2:85" ht="15" customHeight="1">
      <c r="B44" s="89" t="s">
        <v>136</v>
      </c>
      <c r="BZ44" s="155"/>
      <c r="CA44" s="156"/>
      <c r="CB44" s="155"/>
      <c r="CC44" s="155"/>
      <c r="CD44" s="89"/>
      <c r="CE44" s="89"/>
      <c r="CF44" s="89"/>
      <c r="CG44" s="89"/>
    </row>
    <row r="45" spans="2:85" ht="15" customHeight="1">
      <c r="F45" s="89" t="s">
        <v>177</v>
      </c>
      <c r="L45" s="107" t="s">
        <v>3</v>
      </c>
      <c r="M45" s="108" t="s">
        <v>180</v>
      </c>
      <c r="BZ45" s="155"/>
      <c r="CA45" s="156"/>
      <c r="CB45" s="155"/>
      <c r="CC45" s="155"/>
      <c r="CD45" s="89"/>
      <c r="CE45" s="89"/>
      <c r="CF45" s="89"/>
      <c r="CG45" s="89"/>
    </row>
    <row r="46" spans="2:85" ht="15" customHeight="1">
      <c r="B46" s="89" t="s">
        <v>179</v>
      </c>
      <c r="F46" s="89" t="s">
        <v>178</v>
      </c>
      <c r="L46" s="107" t="s">
        <v>151</v>
      </c>
      <c r="M46" s="108" t="s">
        <v>211</v>
      </c>
      <c r="BZ46" s="155"/>
      <c r="CA46" s="156"/>
      <c r="CB46" s="155"/>
      <c r="CC46" s="155"/>
      <c r="CD46" s="89"/>
      <c r="CE46" s="89"/>
      <c r="CF46" s="89"/>
      <c r="CG46" s="89"/>
    </row>
    <row r="47" spans="2:85" ht="15" customHeight="1">
      <c r="L47" s="107" t="s">
        <v>148</v>
      </c>
      <c r="M47" s="108" t="s">
        <v>149</v>
      </c>
      <c r="BZ47" s="155"/>
      <c r="CA47" s="156"/>
      <c r="CB47" s="155"/>
      <c r="CC47" s="155"/>
      <c r="CD47" s="89"/>
      <c r="CE47" s="89"/>
      <c r="CF47" s="89"/>
      <c r="CG47" s="89"/>
    </row>
    <row r="48" spans="2:85" ht="15" customHeight="1">
      <c r="L48" s="107" t="s">
        <v>158</v>
      </c>
      <c r="M48" s="108" t="s">
        <v>150</v>
      </c>
      <c r="BZ48" s="155"/>
      <c r="CA48" s="156"/>
      <c r="CB48" s="155"/>
      <c r="CC48" s="155"/>
      <c r="CD48" s="89"/>
      <c r="CE48" s="89"/>
      <c r="CF48" s="89"/>
      <c r="CG48" s="89"/>
    </row>
    <row r="49" spans="2:89" ht="15" customHeight="1">
      <c r="B49" s="109"/>
      <c r="C49" s="109"/>
      <c r="D49" s="109"/>
      <c r="E49" s="109"/>
      <c r="F49" s="109"/>
      <c r="G49" s="109"/>
      <c r="H49" s="109"/>
      <c r="I49" s="109"/>
      <c r="J49" s="109"/>
      <c r="L49" s="107" t="s">
        <v>152</v>
      </c>
      <c r="M49" s="108" t="s">
        <v>153</v>
      </c>
      <c r="BZ49" s="155"/>
      <c r="CA49" s="156"/>
      <c r="CB49" s="155"/>
      <c r="CC49" s="155"/>
      <c r="CD49" s="89"/>
      <c r="CE49" s="89"/>
      <c r="CF49" s="89"/>
      <c r="CG49" s="89"/>
    </row>
    <row r="50" spans="2:89" ht="15" customHeight="1">
      <c r="L50" s="107" t="s">
        <v>154</v>
      </c>
      <c r="M50" s="108" t="s">
        <v>216</v>
      </c>
      <c r="BZ50" s="155"/>
      <c r="CA50" s="156"/>
      <c r="CB50" s="155"/>
      <c r="CC50" s="155"/>
      <c r="CD50" s="89"/>
      <c r="CE50" s="89"/>
      <c r="CF50" s="89"/>
      <c r="CG50" s="89"/>
    </row>
    <row r="51" spans="2:89" ht="15" customHeight="1">
      <c r="B51" s="89" t="s">
        <v>160</v>
      </c>
      <c r="L51" s="107"/>
      <c r="M51" s="107" t="s">
        <v>176</v>
      </c>
      <c r="BZ51" s="155"/>
      <c r="CA51" s="156"/>
      <c r="CB51" s="155"/>
      <c r="CC51" s="155"/>
      <c r="CD51" s="89"/>
      <c r="CE51" s="89"/>
      <c r="CF51" s="89"/>
      <c r="CG51" s="89"/>
    </row>
    <row r="52" spans="2:89" ht="15" customHeight="1">
      <c r="D52" s="89" t="s">
        <v>118</v>
      </c>
      <c r="L52" s="107" t="s">
        <v>155</v>
      </c>
      <c r="M52" s="216" t="s">
        <v>274</v>
      </c>
    </row>
    <row r="53" spans="2:89" ht="15" customHeight="1">
      <c r="K53" s="110"/>
      <c r="L53" s="107" t="s">
        <v>174</v>
      </c>
      <c r="M53" s="108" t="s">
        <v>156</v>
      </c>
    </row>
    <row r="54" spans="2:89" ht="15" customHeight="1">
      <c r="B54" s="89" t="s">
        <v>137</v>
      </c>
      <c r="L54" s="107" t="s">
        <v>175</v>
      </c>
      <c r="M54" s="108" t="s">
        <v>157</v>
      </c>
    </row>
    <row r="55" spans="2:89" ht="15" customHeight="1"/>
    <row r="56" spans="2:89" ht="15" customHeight="1"/>
    <row r="57" spans="2:89" ht="15" customHeight="1">
      <c r="B57" s="93" t="s">
        <v>161</v>
      </c>
      <c r="C57" s="93" t="s">
        <v>144</v>
      </c>
      <c r="D57" s="93"/>
      <c r="E57" s="319" t="s">
        <v>143</v>
      </c>
      <c r="F57" s="93"/>
      <c r="G57" s="93"/>
      <c r="H57" s="93"/>
      <c r="I57" s="93"/>
      <c r="J57" s="93"/>
      <c r="K57" s="93"/>
      <c r="L57" s="93"/>
      <c r="M57" s="93"/>
      <c r="N57" s="93"/>
      <c r="O57" s="93"/>
      <c r="P57" s="93"/>
      <c r="Q57" s="93"/>
    </row>
    <row r="58" spans="2:89" ht="15" customHeight="1">
      <c r="B58" s="93"/>
      <c r="C58" s="93" t="s">
        <v>145</v>
      </c>
      <c r="D58" s="93"/>
      <c r="E58" s="319" t="s">
        <v>146</v>
      </c>
      <c r="F58" s="93"/>
      <c r="G58" s="93"/>
      <c r="H58" s="93"/>
      <c r="I58" s="93"/>
      <c r="J58" s="93"/>
      <c r="K58" s="93"/>
      <c r="L58" s="93"/>
      <c r="M58" s="93"/>
      <c r="N58" s="93"/>
      <c r="O58" s="93"/>
      <c r="P58" s="93"/>
      <c r="Q58" s="93"/>
    </row>
    <row r="59" spans="2:89" ht="15" customHeight="1">
      <c r="B59" s="94"/>
      <c r="C59" s="94"/>
      <c r="D59" s="94"/>
      <c r="E59" s="94"/>
      <c r="F59" s="94"/>
      <c r="G59" s="94"/>
      <c r="H59" s="94"/>
      <c r="I59" s="94"/>
      <c r="J59" s="94"/>
      <c r="K59" s="94"/>
      <c r="L59" s="94"/>
      <c r="M59" s="94"/>
      <c r="N59" s="94"/>
      <c r="O59" s="94"/>
      <c r="P59" s="94"/>
      <c r="Q59" s="94"/>
      <c r="R59" s="94"/>
    </row>
    <row r="61" spans="2:89" s="128" customFormat="1">
      <c r="B61" s="129" t="s">
        <v>271</v>
      </c>
      <c r="T61" s="130"/>
      <c r="U61" s="130"/>
      <c r="W61" s="130"/>
      <c r="X61" s="130"/>
      <c r="Y61" s="130"/>
      <c r="Z61" s="130"/>
      <c r="AA61" s="130"/>
      <c r="AB61" s="130"/>
      <c r="BH61" s="164"/>
      <c r="BI61" s="164"/>
      <c r="BJ61" s="164"/>
      <c r="BK61" s="164"/>
      <c r="BL61" s="164"/>
      <c r="BM61" s="164"/>
      <c r="BN61" s="164"/>
      <c r="BO61" s="164"/>
      <c r="BP61" s="164"/>
      <c r="BQ61" s="164"/>
      <c r="BR61" s="164"/>
      <c r="BS61" s="164"/>
      <c r="BT61" s="164"/>
      <c r="BU61" s="164"/>
      <c r="BV61" s="164"/>
      <c r="BW61" s="164"/>
      <c r="BX61" s="164"/>
      <c r="BY61" s="164"/>
      <c r="BZ61" s="164"/>
      <c r="CA61" s="164"/>
      <c r="CB61" s="164"/>
      <c r="CC61" s="164"/>
      <c r="CD61" s="164"/>
      <c r="CE61" s="164"/>
      <c r="CF61" s="164"/>
      <c r="CG61" s="164"/>
      <c r="CH61" s="164"/>
      <c r="CI61" s="164"/>
    </row>
    <row r="62" spans="2:89">
      <c r="BH62" s="197" t="s">
        <v>263</v>
      </c>
      <c r="BI62" s="207">
        <f xml:space="preserve"> IFERROR(IF(ISBLANK(M98), 10000, IF(M98 &lt; 1000, 10000, IF(M98 &gt; 40000, 10000, M98))), 10000)</f>
        <v>10000</v>
      </c>
      <c r="BJ62" s="171"/>
      <c r="BK62" s="161" t="s">
        <v>212</v>
      </c>
      <c r="BL62" s="177" t="s">
        <v>240</v>
      </c>
      <c r="BM62" s="161" t="s">
        <v>235</v>
      </c>
      <c r="BN62" s="165" t="s">
        <v>233</v>
      </c>
      <c r="BO62" s="165" t="s">
        <v>217</v>
      </c>
      <c r="BP62" s="161" t="s">
        <v>213</v>
      </c>
      <c r="BQ62" s="160"/>
      <c r="BR62" s="177" t="s">
        <v>241</v>
      </c>
      <c r="BS62" s="161" t="s">
        <v>236</v>
      </c>
      <c r="BT62" s="165" t="s">
        <v>234</v>
      </c>
      <c r="BU62" s="165" t="s">
        <v>217</v>
      </c>
      <c r="BV62" s="161" t="s">
        <v>213</v>
      </c>
      <c r="BW62" s="160"/>
      <c r="BX62" s="161" t="s">
        <v>218</v>
      </c>
      <c r="BY62" s="161" t="s">
        <v>219</v>
      </c>
      <c r="BZ62" s="171"/>
      <c r="CA62" s="172"/>
      <c r="CB62" s="172" t="s">
        <v>232</v>
      </c>
      <c r="CC62" s="172" t="s">
        <v>231</v>
      </c>
      <c r="CD62" s="172" t="str">
        <f ca="1" xml:space="preserve"> "SBGx vol., " &amp; TEXT(LOOKUP($D$91, $BK$64:$BK$103, $BP$64:$BP$103), fmt_dec_1) &amp; "% TGP"</f>
        <v>SBGx vol., 95.3% TGP</v>
      </c>
      <c r="CE62" s="172" t="str">
        <f ca="1" xml:space="preserve"> "Standard vol., day " &amp; TEXT(D91, fmt_dec_0)</f>
        <v>Standard vol., day 19</v>
      </c>
      <c r="CF62" s="172" t="str">
        <f ca="1" xml:space="preserve"> "Standard vol., " &amp; TEXT(LOOKUP($F$91, $BK$64:$BK$103, $BV$64:$BV$103), fmt_dec_1) &amp; "% TGP"</f>
        <v>Standard vol., 95.6% TGP</v>
      </c>
      <c r="CG62" s="172" t="str">
        <f ca="1" xml:space="preserve"> "SBGx vol., day " &amp; TEXT(F91, fmt_dec_0)</f>
        <v>SBGx vol., day 25</v>
      </c>
      <c r="CH62" s="194" t="s">
        <v>258</v>
      </c>
      <c r="CI62" s="194" t="s">
        <v>259</v>
      </c>
      <c r="CJ62" s="195" t="s">
        <v>260</v>
      </c>
      <c r="CK62" s="212" t="str">
        <f ca="1" xml:space="preserve"> "TGP(Standard) surpassed
" &amp; TEXT(LOOKUP($BI$68, BK64:BK103, BP64:BP103), fmt_dec_1) &amp; "%"</f>
        <v>TGP(Standard) surpassed
88.1%</v>
      </c>
    </row>
    <row r="63" spans="2:89">
      <c r="B63" s="126" t="s">
        <v>214</v>
      </c>
      <c r="BI63" s="198" t="s">
        <v>265</v>
      </c>
      <c r="BJ63" s="171"/>
      <c r="BK63" s="165">
        <v>0</v>
      </c>
      <c r="BL63" s="176"/>
      <c r="BM63" s="161"/>
      <c r="BN63" s="165"/>
      <c r="BO63" s="165"/>
      <c r="BP63" s="165">
        <v>0</v>
      </c>
      <c r="BQ63" s="160"/>
      <c r="BR63" s="160"/>
      <c r="BS63" s="161"/>
      <c r="BT63" s="165"/>
      <c r="BU63" s="165"/>
      <c r="BV63" s="165">
        <v>0</v>
      </c>
      <c r="BW63" s="160"/>
      <c r="BX63" s="161"/>
      <c r="BY63" s="165">
        <v>0</v>
      </c>
      <c r="BZ63" s="171"/>
      <c r="CA63" s="171"/>
      <c r="CB63" s="171"/>
      <c r="CC63" s="171"/>
      <c r="CD63" s="172"/>
      <c r="CE63" s="171"/>
      <c r="CF63" s="172"/>
      <c r="CG63" s="171"/>
      <c r="CH63" s="171"/>
      <c r="CI63" s="171"/>
    </row>
    <row r="64" spans="2:89">
      <c r="B64" s="211" t="s">
        <v>269</v>
      </c>
      <c r="BH64" s="184" t="s">
        <v>242</v>
      </c>
      <c r="BI64" s="208">
        <f xml:space="preserve"> IFERROR(IF(ISBLANK(M99), 15, IF(M99 &lt; 0, 15, IF(M99 &gt; 100, 15, M99))), 15)</f>
        <v>15</v>
      </c>
      <c r="BJ64" s="171"/>
      <c r="BK64" s="165">
        <v>1</v>
      </c>
      <c r="BL64" s="178">
        <v>1.776</v>
      </c>
      <c r="BM64" s="162">
        <f xml:space="preserve"> BL64 / $BL$104 * $BM$104</f>
        <v>11.339888248466147</v>
      </c>
      <c r="BN64" s="166">
        <f xml:space="preserve"> BN63 + BM64</f>
        <v>11.339888248466147</v>
      </c>
      <c r="BO64" s="166">
        <f xml:space="preserve"> BM64 / $BM$104 * 100</f>
        <v>0.11339888248466147</v>
      </c>
      <c r="BP64" s="166">
        <f xml:space="preserve"> BP63 + BO64</f>
        <v>0.11339888248466147</v>
      </c>
      <c r="BQ64" s="160"/>
      <c r="BR64" s="178">
        <v>0.99</v>
      </c>
      <c r="BS64" s="162">
        <f t="shared" ref="BS64:BS103" si="0" xml:space="preserve"> BR64 / $BR$104 * $BS$104</f>
        <v>4.6530798878596196</v>
      </c>
      <c r="BT64" s="166">
        <f xml:space="preserve"> BT63 + BS64</f>
        <v>4.6530798878596196</v>
      </c>
      <c r="BU64" s="166">
        <f xml:space="preserve"> BS64 / $BS$104 * 100</f>
        <v>5.350827837925045E-2</v>
      </c>
      <c r="BV64" s="166">
        <f xml:space="preserve"> BV63 + BU64</f>
        <v>5.350827837925045E-2</v>
      </c>
      <c r="BW64" s="160"/>
      <c r="BX64" s="166">
        <f xml:space="preserve"> BN64 - BT64</f>
        <v>6.6868083606065278</v>
      </c>
      <c r="BY64" s="166">
        <f xml:space="preserve"> BX64 / BT64 * 100</f>
        <v>143.70714713179805</v>
      </c>
      <c r="BZ64" s="171"/>
      <c r="CA64" s="171"/>
      <c r="CB64" s="171">
        <f t="shared" ref="CB64:CB103" si="1" xml:space="preserve"> IF($D$91 = BK64, MAX($BM$64:$BM$103, $BS$64:$BS$103) * 1.05, 0)</f>
        <v>0</v>
      </c>
      <c r="CC64" s="171">
        <f t="shared" ref="CC64:CC103" si="2" xml:space="preserve"> IF($F$91 = BK64, MAX($BM$64:$BM$103, $BS$64:$BS$103) * 1.05, 0)</f>
        <v>0</v>
      </c>
      <c r="CD64" s="199" t="e">
        <f xml:space="preserve"> IF(BK64 = $D$91, BN64, IF(BK65 = $D$91, -100000000, NA()))</f>
        <v>#N/A</v>
      </c>
      <c r="CE64" s="199" t="e">
        <f xml:space="preserve"> IF(BK64 = $D$91, BT64, NA())</f>
        <v>#N/A</v>
      </c>
      <c r="CF64" s="199" t="e">
        <f xml:space="preserve"> IF(BK64 = $F$91, BT64, IF(BK65 = $F$91, -100000000, NA()))</f>
        <v>#N/A</v>
      </c>
      <c r="CG64" s="199" t="e">
        <f xml:space="preserve"> IF(BK64 = $F$91, BN64, NA())</f>
        <v>#N/A</v>
      </c>
      <c r="CH64" s="173" t="str">
        <f xml:space="preserve"> IF(AND(BM63 &lt;= BM64, BM65 &lt;= BM64), BM64, IF(CB64 &gt; 0, BM64, IF(CC64 &gt; 0, BM64, "")))</f>
        <v/>
      </c>
      <c r="CI64" s="173" t="str">
        <f xml:space="preserve"> IF(AND(BS63 &lt;= BS64, BS65 &lt;= BS64), BS64, IF(CB64 &gt; 0, BS64, IF(CC64 &gt; 0, BS64, "")))</f>
        <v/>
      </c>
      <c r="CJ64" s="92" t="str">
        <f t="shared" ref="CJ64:CJ102" si="3" xml:space="preserve"> IF(BK64 = $BI$68, "Day " &amp; BK64 &amp; ": " &amp; TEXT(BN64, fmt_dec_1) &amp; " m³ (" &amp; TEXT(BP64, fmt_dec_1) &amp; "%)
TGP(Standard) surpassed", "")</f>
        <v/>
      </c>
      <c r="CK64" s="196" t="e">
        <f t="shared" ref="CK64:CK103" si="4" xml:space="preserve"> IF(BK65 = $BI$68, -100000000, IF(OR(BK64 = $BI$68, BK64 = 40), LOOKUP($BI$68, $BK$64:$BK$103, $BN$64:$BN$103), NA()))</f>
        <v>#N/A</v>
      </c>
    </row>
    <row r="65" spans="2:89">
      <c r="B65" s="124" t="s">
        <v>222</v>
      </c>
      <c r="BH65" s="185"/>
      <c r="BI65" s="198" t="s">
        <v>264</v>
      </c>
      <c r="BJ65" s="171"/>
      <c r="BK65" s="165">
        <v>2</v>
      </c>
      <c r="BL65" s="178">
        <v>8.2940000000000005</v>
      </c>
      <c r="BM65" s="162">
        <f t="shared" ref="BM65:BM103" si="5" xml:space="preserve"> BL65 / $BL$104 * $BM$104</f>
        <v>52.957788926113871</v>
      </c>
      <c r="BN65" s="166">
        <f t="shared" ref="BN65:BN103" si="6" xml:space="preserve"> BN64 + BM65</f>
        <v>64.297677174580016</v>
      </c>
      <c r="BO65" s="166">
        <f t="shared" ref="BO65:BO103" si="7" xml:space="preserve"> BM65 / $BM$104 * 100</f>
        <v>0.52957788926113869</v>
      </c>
      <c r="BP65" s="166">
        <f t="shared" ref="BP65:BP103" si="8" xml:space="preserve"> BP64 + BO65</f>
        <v>0.64297677174580015</v>
      </c>
      <c r="BQ65" s="160"/>
      <c r="BR65" s="178">
        <v>3.766</v>
      </c>
      <c r="BS65" s="162">
        <f t="shared" si="0"/>
        <v>17.700503896645785</v>
      </c>
      <c r="BT65" s="166">
        <f t="shared" ref="BT65:BT103" si="9" xml:space="preserve"> BT64 + BS65</f>
        <v>22.353583784505403</v>
      </c>
      <c r="BU65" s="166">
        <f t="shared" ref="BU65:BU103" si="10" xml:space="preserve"> BS65 / $BS$104 * 100</f>
        <v>0.20354765290531029</v>
      </c>
      <c r="BV65" s="166">
        <f t="shared" ref="BV65:BV103" si="11" xml:space="preserve"> BV64 + BU65</f>
        <v>0.25705593128456072</v>
      </c>
      <c r="BW65" s="160"/>
      <c r="BX65" s="166">
        <f t="shared" ref="BX65:BX103" si="12" xml:space="preserve"> BN65 - BT65</f>
        <v>41.944093390074613</v>
      </c>
      <c r="BY65" s="166">
        <f t="shared" ref="BY65:BY103" si="13" xml:space="preserve"> BX65 / BT65 * 100</f>
        <v>187.63923402362246</v>
      </c>
      <c r="BZ65" s="171"/>
      <c r="CA65" s="171"/>
      <c r="CB65" s="171">
        <f t="shared" si="1"/>
        <v>0</v>
      </c>
      <c r="CC65" s="171">
        <f t="shared" si="2"/>
        <v>0</v>
      </c>
      <c r="CD65" s="199" t="e">
        <f t="shared" ref="CD65:CD103" si="14" xml:space="preserve"> IF(BK65 = $D$91, BN65, IF(BK66 = $D$91, -100000000, NA()))</f>
        <v>#N/A</v>
      </c>
      <c r="CE65" s="199" t="e">
        <f t="shared" ref="CE65:CE103" si="15" xml:space="preserve"> IF(BK65 = $D$91, BT65, NA())</f>
        <v>#N/A</v>
      </c>
      <c r="CF65" s="199" t="e">
        <f t="shared" ref="CF65:CF103" si="16" xml:space="preserve"> IF(BK65 = $F$91, BT65, IF(BK66 = $F$91, -100000000, NA()))</f>
        <v>#N/A</v>
      </c>
      <c r="CG65" s="199" t="e">
        <f t="shared" ref="CG65:CG103" si="17" xml:space="preserve"> IF(BK65 = $F$91, BN65, NA())</f>
        <v>#N/A</v>
      </c>
      <c r="CH65" s="173" t="str">
        <f t="shared" ref="CH65:CH103" si="18" xml:space="preserve"> IF(AND(BM64 &lt;= BM65, BM66 &lt;= BM65), BM65, IF(CB65 &gt; 0, BM65, IF(CC65 &gt; 0, BM65, "")))</f>
        <v/>
      </c>
      <c r="CI65" s="173" t="str">
        <f t="shared" ref="CI65:CI103" si="19" xml:space="preserve"> IF(AND(BS64 &lt;= BS65, BS66 &lt;= BS65), BS65, IF(CB65 &gt; 0, BS65, IF(CC65 &gt; 0, BS65, "")))</f>
        <v/>
      </c>
      <c r="CJ65" s="92" t="str">
        <f t="shared" si="3"/>
        <v/>
      </c>
      <c r="CK65" s="196" t="e">
        <f t="shared" si="4"/>
        <v>#N/A</v>
      </c>
    </row>
    <row r="66" spans="2:89">
      <c r="B66" s="153" t="str">
        <f ca="1">"During this time period Standard produces " &amp; TEXT(BS104, fmt_dec_0) &amp; " m³, SBGx " &amp; TEXT(BM104, fmt_dec_0) &amp; " m³; The increase in volume with SBGx is "&amp; TEXT((BM104 - BS104) / BS104, fmt_pct_0) &amp; "."</f>
        <v>During this time period Standard produces 8,696 m³, SBGx 10,000 m³; The increase in volume with SBGx is 15%.</v>
      </c>
      <c r="BH66" s="209" t="s">
        <v>267</v>
      </c>
      <c r="BI66" s="210">
        <f xml:space="preserve"> IFERROR(IF(ISBLANK(C89), 95, IF(C89 &lt; 80, 95, IF(C89 &gt; 100, 95, C89))), 95)</f>
        <v>95</v>
      </c>
      <c r="BJ66" s="171"/>
      <c r="BK66" s="165">
        <v>3</v>
      </c>
      <c r="BL66" s="178">
        <v>20.885000000000002</v>
      </c>
      <c r="BM66" s="162">
        <f t="shared" si="5"/>
        <v>133.35223314708082</v>
      </c>
      <c r="BN66" s="166">
        <f t="shared" si="6"/>
        <v>197.64991032166085</v>
      </c>
      <c r="BO66" s="166">
        <f t="shared" si="7"/>
        <v>1.3335223314708082</v>
      </c>
      <c r="BP66" s="166">
        <f t="shared" si="8"/>
        <v>1.9764991032166084</v>
      </c>
      <c r="BQ66" s="160"/>
      <c r="BR66" s="178">
        <v>8.8930000000000007</v>
      </c>
      <c r="BS66" s="162">
        <f t="shared" si="0"/>
        <v>41.797817618924853</v>
      </c>
      <c r="BT66" s="166">
        <f t="shared" si="9"/>
        <v>64.151401403430256</v>
      </c>
      <c r="BU66" s="166">
        <f t="shared" si="10"/>
        <v>0.48065567639058016</v>
      </c>
      <c r="BV66" s="166">
        <f t="shared" si="11"/>
        <v>0.73771160767514088</v>
      </c>
      <c r="BW66" s="160"/>
      <c r="BX66" s="166">
        <f t="shared" si="12"/>
        <v>133.49850891823058</v>
      </c>
      <c r="BY66" s="166">
        <f t="shared" si="13"/>
        <v>208.09913111437072</v>
      </c>
      <c r="BZ66" s="171"/>
      <c r="CA66" s="171"/>
      <c r="CB66" s="171">
        <f t="shared" si="1"/>
        <v>0</v>
      </c>
      <c r="CC66" s="171">
        <f t="shared" si="2"/>
        <v>0</v>
      </c>
      <c r="CD66" s="199" t="e">
        <f t="shared" si="14"/>
        <v>#N/A</v>
      </c>
      <c r="CE66" s="199" t="e">
        <f t="shared" si="15"/>
        <v>#N/A</v>
      </c>
      <c r="CF66" s="199" t="e">
        <f t="shared" si="16"/>
        <v>#N/A</v>
      </c>
      <c r="CG66" s="199" t="e">
        <f t="shared" si="17"/>
        <v>#N/A</v>
      </c>
      <c r="CH66" s="173" t="str">
        <f t="shared" si="18"/>
        <v/>
      </c>
      <c r="CI66" s="173" t="str">
        <f t="shared" si="19"/>
        <v/>
      </c>
      <c r="CJ66" s="92" t="str">
        <f t="shared" si="3"/>
        <v/>
      </c>
      <c r="CK66" s="196" t="e">
        <f t="shared" si="4"/>
        <v>#N/A</v>
      </c>
    </row>
    <row r="67" spans="2:89">
      <c r="BG67" s="187"/>
      <c r="BJ67" s="171"/>
      <c r="BK67" s="165">
        <v>4</v>
      </c>
      <c r="BL67" s="178">
        <v>41.77</v>
      </c>
      <c r="BM67" s="162">
        <f t="shared" si="5"/>
        <v>266.70446629416165</v>
      </c>
      <c r="BN67" s="166">
        <f t="shared" si="6"/>
        <v>464.3543766158225</v>
      </c>
      <c r="BO67" s="166">
        <f t="shared" si="7"/>
        <v>2.6670446629416165</v>
      </c>
      <c r="BP67" s="166">
        <f t="shared" si="8"/>
        <v>4.6435437661582251</v>
      </c>
      <c r="BQ67" s="160"/>
      <c r="BR67" s="178">
        <v>17.027999999999999</v>
      </c>
      <c r="BS67" s="162">
        <f t="shared" si="0"/>
        <v>80.03297407118545</v>
      </c>
      <c r="BT67" s="166">
        <f t="shared" si="9"/>
        <v>144.18437547461571</v>
      </c>
      <c r="BU67" s="166">
        <f t="shared" si="10"/>
        <v>0.92034238812310787</v>
      </c>
      <c r="BV67" s="166">
        <f t="shared" si="11"/>
        <v>1.6580539957982487</v>
      </c>
      <c r="BW67" s="160"/>
      <c r="BX67" s="166">
        <f t="shared" si="12"/>
        <v>320.1700011412068</v>
      </c>
      <c r="BY67" s="166">
        <f t="shared" si="13"/>
        <v>222.05596139477271</v>
      </c>
      <c r="BZ67" s="171"/>
      <c r="CA67" s="171"/>
      <c r="CB67" s="171">
        <f t="shared" si="1"/>
        <v>0</v>
      </c>
      <c r="CC67" s="171">
        <f t="shared" si="2"/>
        <v>0</v>
      </c>
      <c r="CD67" s="199" t="e">
        <f t="shared" si="14"/>
        <v>#N/A</v>
      </c>
      <c r="CE67" s="199" t="e">
        <f t="shared" si="15"/>
        <v>#N/A</v>
      </c>
      <c r="CF67" s="199" t="e">
        <f t="shared" si="16"/>
        <v>#N/A</v>
      </c>
      <c r="CG67" s="199" t="e">
        <f t="shared" si="17"/>
        <v>#N/A</v>
      </c>
      <c r="CH67" s="173" t="str">
        <f t="shared" si="18"/>
        <v/>
      </c>
      <c r="CI67" s="173" t="str">
        <f t="shared" si="19"/>
        <v/>
      </c>
      <c r="CJ67" s="92" t="str">
        <f t="shared" si="3"/>
        <v/>
      </c>
      <c r="CK67" s="196" t="e">
        <f t="shared" si="4"/>
        <v>#N/A</v>
      </c>
    </row>
    <row r="68" spans="2:89">
      <c r="B68" s="189" t="s">
        <v>253</v>
      </c>
      <c r="BH68" s="215" t="s">
        <v>272</v>
      </c>
      <c r="BI68" s="214">
        <f xml:space="preserve"> LOOKUP(BS104, BN64:BN103, BK64:BK103) + 1</f>
        <v>15</v>
      </c>
      <c r="BJ68" s="171"/>
      <c r="BK68" s="165">
        <v>5</v>
      </c>
      <c r="BL68" s="178">
        <v>73.762</v>
      </c>
      <c r="BM68" s="162">
        <f t="shared" si="5"/>
        <v>470.97569649963964</v>
      </c>
      <c r="BN68" s="166">
        <f t="shared" si="6"/>
        <v>935.33007311546214</v>
      </c>
      <c r="BO68" s="166">
        <f t="shared" si="7"/>
        <v>4.7097569649963962</v>
      </c>
      <c r="BP68" s="166">
        <f t="shared" si="8"/>
        <v>9.3533007311546221</v>
      </c>
      <c r="BQ68" s="160"/>
      <c r="BR68" s="178">
        <v>29.062000000000001</v>
      </c>
      <c r="BS68" s="162">
        <f t="shared" si="0"/>
        <v>136.59374515250127</v>
      </c>
      <c r="BT68" s="166">
        <f t="shared" si="9"/>
        <v>280.778120627117</v>
      </c>
      <c r="BU68" s="166">
        <f t="shared" si="10"/>
        <v>1.570765238644219</v>
      </c>
      <c r="BV68" s="166">
        <f t="shared" si="11"/>
        <v>3.2288192344424678</v>
      </c>
      <c r="BW68" s="160"/>
      <c r="BX68" s="166">
        <f t="shared" si="12"/>
        <v>654.55195248834514</v>
      </c>
      <c r="BY68" s="166">
        <f t="shared" si="13"/>
        <v>233.12071148079684</v>
      </c>
      <c r="BZ68" s="171"/>
      <c r="CA68" s="171"/>
      <c r="CB68" s="171">
        <f t="shared" si="1"/>
        <v>0</v>
      </c>
      <c r="CC68" s="171">
        <f t="shared" si="2"/>
        <v>0</v>
      </c>
      <c r="CD68" s="199" t="e">
        <f t="shared" si="14"/>
        <v>#N/A</v>
      </c>
      <c r="CE68" s="199" t="e">
        <f t="shared" si="15"/>
        <v>#N/A</v>
      </c>
      <c r="CF68" s="199" t="e">
        <f t="shared" si="16"/>
        <v>#N/A</v>
      </c>
      <c r="CG68" s="199" t="e">
        <f t="shared" si="17"/>
        <v>#N/A</v>
      </c>
      <c r="CH68" s="173" t="str">
        <f t="shared" si="18"/>
        <v/>
      </c>
      <c r="CI68" s="173" t="str">
        <f t="shared" si="19"/>
        <v/>
      </c>
      <c r="CJ68" s="92" t="str">
        <f t="shared" si="3"/>
        <v/>
      </c>
      <c r="CK68" s="196" t="e">
        <f t="shared" si="4"/>
        <v>#N/A</v>
      </c>
    </row>
    <row r="69" spans="2:89">
      <c r="B69" s="189" t="s">
        <v>254</v>
      </c>
      <c r="BH69" s="171"/>
      <c r="BI69" s="171"/>
      <c r="BJ69" s="171"/>
      <c r="BK69" s="165">
        <v>6</v>
      </c>
      <c r="BL69" s="178">
        <v>108.242</v>
      </c>
      <c r="BM69" s="162">
        <f t="shared" si="5"/>
        <v>691.13298636850948</v>
      </c>
      <c r="BN69" s="166">
        <f t="shared" si="6"/>
        <v>1626.4630594839716</v>
      </c>
      <c r="BO69" s="166">
        <f t="shared" si="7"/>
        <v>6.9113298636850953</v>
      </c>
      <c r="BP69" s="166">
        <f t="shared" si="8"/>
        <v>16.264630594839716</v>
      </c>
      <c r="BQ69" s="160"/>
      <c r="BR69" s="178">
        <v>46.375999999999998</v>
      </c>
      <c r="BS69" s="162">
        <f t="shared" si="0"/>
        <v>217.97094230240174</v>
      </c>
      <c r="BT69" s="166">
        <f t="shared" si="9"/>
        <v>498.74906292951874</v>
      </c>
      <c r="BU69" s="166">
        <f t="shared" si="10"/>
        <v>2.5065655738546657</v>
      </c>
      <c r="BV69" s="166">
        <f t="shared" si="11"/>
        <v>5.7353848082971339</v>
      </c>
      <c r="BW69" s="160"/>
      <c r="BX69" s="166">
        <f t="shared" si="12"/>
        <v>1127.7139965544529</v>
      </c>
      <c r="BY69" s="166">
        <f t="shared" si="13"/>
        <v>226.10849430584636</v>
      </c>
      <c r="BZ69" s="171"/>
      <c r="CA69" s="171"/>
      <c r="CB69" s="171">
        <f t="shared" si="1"/>
        <v>0</v>
      </c>
      <c r="CC69" s="171">
        <f t="shared" si="2"/>
        <v>0</v>
      </c>
      <c r="CD69" s="199" t="e">
        <f t="shared" si="14"/>
        <v>#N/A</v>
      </c>
      <c r="CE69" s="199" t="e">
        <f t="shared" si="15"/>
        <v>#N/A</v>
      </c>
      <c r="CF69" s="199" t="e">
        <f t="shared" si="16"/>
        <v>#N/A</v>
      </c>
      <c r="CG69" s="199" t="e">
        <f t="shared" si="17"/>
        <v>#N/A</v>
      </c>
      <c r="CH69" s="173" t="str">
        <f t="shared" si="18"/>
        <v/>
      </c>
      <c r="CI69" s="173" t="str">
        <f t="shared" si="19"/>
        <v/>
      </c>
      <c r="CJ69" s="92" t="str">
        <f t="shared" si="3"/>
        <v/>
      </c>
      <c r="CK69" s="196" t="e">
        <f t="shared" si="4"/>
        <v>#N/A</v>
      </c>
    </row>
    <row r="70" spans="2:89">
      <c r="B70" s="123"/>
      <c r="BH70" s="215" t="s">
        <v>273</v>
      </c>
      <c r="BI70" s="208" t="str">
        <f ca="1" xml:space="preserve"> B61 &amp; "; SBGx advantage " &amp; TEXT(BI64 / 100, fmt_pct_1)</f>
        <v>Expert tool to compare and optimise the retention duration; SBGx advantage 15.0%</v>
      </c>
      <c r="BJ70" s="171"/>
      <c r="BK70" s="165">
        <v>7</v>
      </c>
      <c r="BL70" s="178">
        <v>134.239</v>
      </c>
      <c r="BM70" s="162">
        <f t="shared" si="5"/>
        <v>857.1257086632022</v>
      </c>
      <c r="BN70" s="166">
        <f t="shared" si="6"/>
        <v>2483.5887681471741</v>
      </c>
      <c r="BO70" s="166">
        <f t="shared" si="7"/>
        <v>8.5712570866320235</v>
      </c>
      <c r="BP70" s="166">
        <f t="shared" si="8"/>
        <v>24.835887681471739</v>
      </c>
      <c r="BQ70" s="160"/>
      <c r="BR70" s="178">
        <v>70.253</v>
      </c>
      <c r="BS70" s="162">
        <f t="shared" si="0"/>
        <v>330.19476905232511</v>
      </c>
      <c r="BT70" s="166">
        <f t="shared" si="9"/>
        <v>828.94383198184391</v>
      </c>
      <c r="BU70" s="166">
        <f t="shared" si="10"/>
        <v>3.7970879605833154</v>
      </c>
      <c r="BV70" s="166">
        <f t="shared" si="11"/>
        <v>9.5324727688804494</v>
      </c>
      <c r="BW70" s="160"/>
      <c r="BX70" s="166">
        <f t="shared" si="12"/>
        <v>1654.6449361653301</v>
      </c>
      <c r="BY70" s="166">
        <f t="shared" si="13"/>
        <v>199.60881212052632</v>
      </c>
      <c r="BZ70" s="171"/>
      <c r="CA70" s="171"/>
      <c r="CB70" s="171">
        <f t="shared" si="1"/>
        <v>0</v>
      </c>
      <c r="CC70" s="171">
        <f t="shared" si="2"/>
        <v>0</v>
      </c>
      <c r="CD70" s="199" t="e">
        <f t="shared" si="14"/>
        <v>#N/A</v>
      </c>
      <c r="CE70" s="199" t="e">
        <f t="shared" si="15"/>
        <v>#N/A</v>
      </c>
      <c r="CF70" s="199" t="e">
        <f t="shared" si="16"/>
        <v>#N/A</v>
      </c>
      <c r="CG70" s="199" t="e">
        <f t="shared" si="17"/>
        <v>#N/A</v>
      </c>
      <c r="CH70" s="173" t="str">
        <f t="shared" si="18"/>
        <v/>
      </c>
      <c r="CI70" s="173" t="str">
        <f t="shared" si="19"/>
        <v/>
      </c>
      <c r="CJ70" s="92" t="str">
        <f t="shared" si="3"/>
        <v/>
      </c>
      <c r="CK70" s="196" t="e">
        <f t="shared" si="4"/>
        <v>#N/A</v>
      </c>
    </row>
    <row r="71" spans="2:89">
      <c r="B71" s="189" t="s">
        <v>251</v>
      </c>
      <c r="BG71" s="122"/>
      <c r="BH71" s="174"/>
      <c r="BI71" s="171"/>
      <c r="BJ71" s="171"/>
      <c r="BK71" s="165">
        <v>8</v>
      </c>
      <c r="BL71" s="178">
        <v>148.13</v>
      </c>
      <c r="BM71" s="162">
        <f t="shared" si="5"/>
        <v>945.82074675973558</v>
      </c>
      <c r="BN71" s="166">
        <f t="shared" si="6"/>
        <v>3429.4095149069099</v>
      </c>
      <c r="BO71" s="166">
        <f t="shared" si="7"/>
        <v>9.4582074675973562</v>
      </c>
      <c r="BP71" s="166">
        <f t="shared" si="8"/>
        <v>34.294095149069094</v>
      </c>
      <c r="BQ71" s="160"/>
      <c r="BR71" s="178">
        <v>98.631</v>
      </c>
      <c r="BS71" s="162">
        <f t="shared" si="0"/>
        <v>463.57365900957791</v>
      </c>
      <c r="BT71" s="166">
        <f t="shared" si="9"/>
        <v>1292.5174909914217</v>
      </c>
      <c r="BU71" s="166">
        <f t="shared" si="10"/>
        <v>5.3308838432564158</v>
      </c>
      <c r="BV71" s="166">
        <f t="shared" si="11"/>
        <v>14.863356612136865</v>
      </c>
      <c r="BW71" s="160"/>
      <c r="BX71" s="166">
        <f t="shared" si="12"/>
        <v>2136.8920239154882</v>
      </c>
      <c r="BY71" s="166">
        <f t="shared" si="13"/>
        <v>165.32789991695907</v>
      </c>
      <c r="BZ71" s="171"/>
      <c r="CA71" s="171"/>
      <c r="CB71" s="171">
        <f t="shared" si="1"/>
        <v>0</v>
      </c>
      <c r="CC71" s="171">
        <f t="shared" si="2"/>
        <v>0</v>
      </c>
      <c r="CD71" s="199" t="e">
        <f t="shared" si="14"/>
        <v>#N/A</v>
      </c>
      <c r="CE71" s="199" t="e">
        <f t="shared" si="15"/>
        <v>#N/A</v>
      </c>
      <c r="CF71" s="199" t="e">
        <f t="shared" si="16"/>
        <v>#N/A</v>
      </c>
      <c r="CG71" s="199" t="e">
        <f t="shared" si="17"/>
        <v>#N/A</v>
      </c>
      <c r="CH71" s="173" t="str">
        <f t="shared" si="18"/>
        <v/>
      </c>
      <c r="CI71" s="173" t="str">
        <f t="shared" si="19"/>
        <v/>
      </c>
      <c r="CJ71" s="92" t="str">
        <f t="shared" si="3"/>
        <v/>
      </c>
      <c r="CK71" s="196" t="e">
        <f t="shared" si="4"/>
        <v>#N/A</v>
      </c>
    </row>
    <row r="72" spans="2:89">
      <c r="B72" s="189" t="s">
        <v>252</v>
      </c>
      <c r="BH72" s="172" t="s">
        <v>16</v>
      </c>
      <c r="BI72" s="172" t="s">
        <v>215</v>
      </c>
      <c r="BJ72" s="171"/>
      <c r="BK72" s="165">
        <v>9</v>
      </c>
      <c r="BL72" s="178">
        <v>153.58600000000001</v>
      </c>
      <c r="BM72" s="162">
        <f t="shared" si="5"/>
        <v>980.65770074826685</v>
      </c>
      <c r="BN72" s="166">
        <f t="shared" si="6"/>
        <v>4410.0672156551764</v>
      </c>
      <c r="BO72" s="166">
        <f t="shared" si="7"/>
        <v>9.8065770074826677</v>
      </c>
      <c r="BP72" s="166">
        <f t="shared" si="8"/>
        <v>44.100672156551759</v>
      </c>
      <c r="BQ72" s="160"/>
      <c r="BR72" s="178">
        <v>124.997</v>
      </c>
      <c r="BS72" s="162">
        <f t="shared" si="0"/>
        <v>587.49598660887762</v>
      </c>
      <c r="BT72" s="166">
        <f t="shared" si="9"/>
        <v>1880.0134776002992</v>
      </c>
      <c r="BU72" s="166">
        <f t="shared" si="10"/>
        <v>6.7559336086577462</v>
      </c>
      <c r="BV72" s="166">
        <f t="shared" si="11"/>
        <v>21.61929022079461</v>
      </c>
      <c r="BW72" s="160"/>
      <c r="BX72" s="166">
        <f t="shared" si="12"/>
        <v>2530.0537380548772</v>
      </c>
      <c r="BY72" s="166">
        <f t="shared" si="13"/>
        <v>134.57636172291208</v>
      </c>
      <c r="BZ72" s="171"/>
      <c r="CA72" s="171"/>
      <c r="CB72" s="171">
        <f t="shared" si="1"/>
        <v>0</v>
      </c>
      <c r="CC72" s="171">
        <f t="shared" si="2"/>
        <v>0</v>
      </c>
      <c r="CD72" s="199" t="e">
        <f t="shared" si="14"/>
        <v>#N/A</v>
      </c>
      <c r="CE72" s="199" t="e">
        <f t="shared" si="15"/>
        <v>#N/A</v>
      </c>
      <c r="CF72" s="199" t="e">
        <f t="shared" si="16"/>
        <v>#N/A</v>
      </c>
      <c r="CG72" s="199" t="e">
        <f t="shared" si="17"/>
        <v>#N/A</v>
      </c>
      <c r="CH72" s="173">
        <f t="shared" si="18"/>
        <v>980.65770074826685</v>
      </c>
      <c r="CI72" s="173" t="str">
        <f t="shared" si="19"/>
        <v/>
      </c>
      <c r="CJ72" s="92" t="str">
        <f t="shared" si="3"/>
        <v/>
      </c>
      <c r="CK72" s="196" t="e">
        <f t="shared" si="4"/>
        <v>#N/A</v>
      </c>
    </row>
    <row r="73" spans="2:89">
      <c r="B73" s="187" t="s">
        <v>245</v>
      </c>
      <c r="BH73" s="171"/>
      <c r="BI73" s="171"/>
      <c r="BJ73" s="171"/>
      <c r="BK73" s="167">
        <v>10</v>
      </c>
      <c r="BL73" s="180">
        <v>153.51900000000001</v>
      </c>
      <c r="BM73" s="163">
        <f t="shared" si="5"/>
        <v>980.22990091006454</v>
      </c>
      <c r="BN73" s="168">
        <f t="shared" si="6"/>
        <v>5390.2971165652407</v>
      </c>
      <c r="BO73" s="168">
        <f t="shared" si="7"/>
        <v>9.8022990091006452</v>
      </c>
      <c r="BP73" s="168">
        <f t="shared" si="8"/>
        <v>53.902971165652403</v>
      </c>
      <c r="BQ73" s="169"/>
      <c r="BR73" s="180">
        <v>141.74100000000001</v>
      </c>
      <c r="BS73" s="163">
        <f t="shared" si="0"/>
        <v>666.1941377627378</v>
      </c>
      <c r="BT73" s="168">
        <f t="shared" si="9"/>
        <v>2546.2076153630369</v>
      </c>
      <c r="BU73" s="168">
        <f t="shared" si="10"/>
        <v>7.6609261472255952</v>
      </c>
      <c r="BV73" s="168">
        <f t="shared" si="11"/>
        <v>29.280216368020206</v>
      </c>
      <c r="BW73" s="169"/>
      <c r="BX73" s="168">
        <f t="shared" si="12"/>
        <v>2844.0895012022038</v>
      </c>
      <c r="BY73" s="168">
        <f t="shared" si="13"/>
        <v>111.69904150949195</v>
      </c>
      <c r="BZ73" s="171"/>
      <c r="CA73" s="171"/>
      <c r="CB73" s="171">
        <f t="shared" si="1"/>
        <v>0</v>
      </c>
      <c r="CC73" s="171">
        <f t="shared" si="2"/>
        <v>0</v>
      </c>
      <c r="CD73" s="199" t="e">
        <f t="shared" si="14"/>
        <v>#N/A</v>
      </c>
      <c r="CE73" s="199" t="e">
        <f t="shared" si="15"/>
        <v>#N/A</v>
      </c>
      <c r="CF73" s="199" t="e">
        <f t="shared" si="16"/>
        <v>#N/A</v>
      </c>
      <c r="CG73" s="199" t="e">
        <f t="shared" si="17"/>
        <v>#N/A</v>
      </c>
      <c r="CH73" s="173" t="str">
        <f t="shared" si="18"/>
        <v/>
      </c>
      <c r="CI73" s="173" t="str">
        <f t="shared" si="19"/>
        <v/>
      </c>
      <c r="CJ73" s="92" t="str">
        <f t="shared" si="3"/>
        <v/>
      </c>
      <c r="CK73" s="196" t="e">
        <f t="shared" si="4"/>
        <v>#N/A</v>
      </c>
    </row>
    <row r="74" spans="2:89">
      <c r="B74" s="187" t="s">
        <v>246</v>
      </c>
      <c r="BH74" s="171">
        <f xml:space="preserve"> IF(AND(SUM($BH$73:$BH73) = 0, BO74 &lt; $C$97), BO74, 0)</f>
        <v>0</v>
      </c>
      <c r="BI74" s="171">
        <f xml:space="preserve"> IF(AND(SUM($BI$73:$BI73) = 0, BU74 &lt; $C$97), BU74, 0)</f>
        <v>0</v>
      </c>
      <c r="BJ74" s="171"/>
      <c r="BK74" s="165">
        <v>11</v>
      </c>
      <c r="BL74" s="178">
        <v>147.55199999999999</v>
      </c>
      <c r="BM74" s="162">
        <f t="shared" si="5"/>
        <v>942.13017502121454</v>
      </c>
      <c r="BN74" s="166">
        <f t="shared" si="6"/>
        <v>6332.4272915864549</v>
      </c>
      <c r="BO74" s="166">
        <f t="shared" si="7"/>
        <v>9.4213017502121446</v>
      </c>
      <c r="BP74" s="166">
        <f t="shared" si="8"/>
        <v>63.324272915864547</v>
      </c>
      <c r="BQ74" s="160"/>
      <c r="BR74" s="178">
        <v>148.83000000000001</v>
      </c>
      <c r="BS74" s="162">
        <f t="shared" si="0"/>
        <v>699.51300980822953</v>
      </c>
      <c r="BT74" s="166">
        <f xml:space="preserve"> BT73 + BS74</f>
        <v>3245.7206251712664</v>
      </c>
      <c r="BU74" s="166">
        <f t="shared" si="10"/>
        <v>8.0440778496806509</v>
      </c>
      <c r="BV74" s="166">
        <f t="shared" si="11"/>
        <v>37.324294217700853</v>
      </c>
      <c r="BW74" s="160"/>
      <c r="BX74" s="166">
        <f t="shared" si="12"/>
        <v>3086.7066664151885</v>
      </c>
      <c r="BY74" s="166">
        <f t="shared" si="13"/>
        <v>95.100811896042742</v>
      </c>
      <c r="BZ74" s="171"/>
      <c r="CA74" s="171"/>
      <c r="CB74" s="171">
        <f t="shared" si="1"/>
        <v>0</v>
      </c>
      <c r="CC74" s="171">
        <f t="shared" si="2"/>
        <v>0</v>
      </c>
      <c r="CD74" s="199" t="e">
        <f t="shared" si="14"/>
        <v>#N/A</v>
      </c>
      <c r="CE74" s="199" t="e">
        <f t="shared" si="15"/>
        <v>#N/A</v>
      </c>
      <c r="CF74" s="199" t="e">
        <f t="shared" si="16"/>
        <v>#N/A</v>
      </c>
      <c r="CG74" s="199" t="e">
        <f t="shared" si="17"/>
        <v>#N/A</v>
      </c>
      <c r="CH74" s="173" t="str">
        <f t="shared" si="18"/>
        <v/>
      </c>
      <c r="CI74" s="173" t="str">
        <f t="shared" si="19"/>
        <v/>
      </c>
      <c r="CJ74" s="92" t="str">
        <f t="shared" si="3"/>
        <v/>
      </c>
      <c r="CK74" s="196" t="e">
        <f t="shared" si="4"/>
        <v>#N/A</v>
      </c>
    </row>
    <row r="75" spans="2:89">
      <c r="B75" s="189" t="s">
        <v>250</v>
      </c>
      <c r="BH75" s="171">
        <f xml:space="preserve"> IF(AND(SUM($BH$73:$BH74) = 0, BO75 &lt; $C$97), BO75, 0)</f>
        <v>0</v>
      </c>
      <c r="BI75" s="171">
        <f xml:space="preserve"> IF(AND(SUM($BI$73:$BI74) = 0, BU75 &lt; $C$97), BU75, 0)</f>
        <v>0</v>
      </c>
      <c r="BJ75" s="171"/>
      <c r="BK75" s="165">
        <v>12</v>
      </c>
      <c r="BL75" s="178">
        <v>133.495</v>
      </c>
      <c r="BM75" s="162">
        <f t="shared" si="5"/>
        <v>852.37521493749341</v>
      </c>
      <c r="BN75" s="166">
        <f t="shared" si="6"/>
        <v>7184.8025065239481</v>
      </c>
      <c r="BO75" s="166">
        <f t="shared" si="7"/>
        <v>8.5237521493749338</v>
      </c>
      <c r="BP75" s="166">
        <f t="shared" si="8"/>
        <v>71.848025065239483</v>
      </c>
      <c r="BQ75" s="160"/>
      <c r="BR75" s="178">
        <v>149.26300000000001</v>
      </c>
      <c r="BS75" s="162">
        <f t="shared" si="0"/>
        <v>701.54814474908119</v>
      </c>
      <c r="BT75" s="166">
        <f t="shared" si="9"/>
        <v>3947.2687699203475</v>
      </c>
      <c r="BU75" s="166">
        <f t="shared" si="10"/>
        <v>8.0674809653758182</v>
      </c>
      <c r="BV75" s="166">
        <f t="shared" si="11"/>
        <v>45.391775183076675</v>
      </c>
      <c r="BW75" s="160"/>
      <c r="BX75" s="166">
        <f t="shared" si="12"/>
        <v>3237.5337366036006</v>
      </c>
      <c r="BY75" s="166">
        <f t="shared" si="13"/>
        <v>82.019591908076009</v>
      </c>
      <c r="BZ75" s="171"/>
      <c r="CA75" s="171"/>
      <c r="CB75" s="171">
        <f t="shared" si="1"/>
        <v>0</v>
      </c>
      <c r="CC75" s="171">
        <f t="shared" si="2"/>
        <v>0</v>
      </c>
      <c r="CD75" s="199" t="e">
        <f t="shared" si="14"/>
        <v>#N/A</v>
      </c>
      <c r="CE75" s="199" t="e">
        <f t="shared" si="15"/>
        <v>#N/A</v>
      </c>
      <c r="CF75" s="199" t="e">
        <f t="shared" si="16"/>
        <v>#N/A</v>
      </c>
      <c r="CG75" s="199" t="e">
        <f t="shared" si="17"/>
        <v>#N/A</v>
      </c>
      <c r="CH75" s="173" t="str">
        <f t="shared" si="18"/>
        <v/>
      </c>
      <c r="CI75" s="173">
        <f t="shared" si="19"/>
        <v>701.54814474908119</v>
      </c>
      <c r="CJ75" s="92" t="str">
        <f t="shared" si="3"/>
        <v/>
      </c>
      <c r="CK75" s="196" t="e">
        <f t="shared" si="4"/>
        <v>#N/A</v>
      </c>
    </row>
    <row r="76" spans="2:89">
      <c r="BH76" s="171">
        <f xml:space="preserve"> IF(AND(SUM($BH$73:$BH75) = 0, BO76 &lt; $C$97), BO76, 0)</f>
        <v>0</v>
      </c>
      <c r="BI76" s="171">
        <f xml:space="preserve"> IF(AND(SUM($BI$73:$BI75) = 0, BU76 &lt; $C$97), BU76, 0)</f>
        <v>0</v>
      </c>
      <c r="BJ76" s="171"/>
      <c r="BK76" s="165">
        <v>13</v>
      </c>
      <c r="BL76" s="178">
        <v>110.70099999999999</v>
      </c>
      <c r="BM76" s="162">
        <f t="shared" si="5"/>
        <v>706.83387893775387</v>
      </c>
      <c r="BN76" s="166">
        <f t="shared" si="6"/>
        <v>7891.636385461702</v>
      </c>
      <c r="BO76" s="166">
        <f t="shared" si="7"/>
        <v>7.0683387893775391</v>
      </c>
      <c r="BP76" s="166">
        <f t="shared" si="8"/>
        <v>78.916363854617018</v>
      </c>
      <c r="BQ76" s="160"/>
      <c r="BR76" s="178">
        <v>144.83000000000001</v>
      </c>
      <c r="BS76" s="162">
        <f t="shared" si="0"/>
        <v>680.71268702899886</v>
      </c>
      <c r="BT76" s="166">
        <f t="shared" si="9"/>
        <v>4627.9814569493465</v>
      </c>
      <c r="BU76" s="166">
        <f t="shared" si="10"/>
        <v>7.827882785522065</v>
      </c>
      <c r="BV76" s="166">
        <f t="shared" si="11"/>
        <v>53.219657968598739</v>
      </c>
      <c r="BW76" s="160"/>
      <c r="BX76" s="166">
        <f t="shared" si="12"/>
        <v>3263.6549285123556</v>
      </c>
      <c r="BY76" s="166">
        <f t="shared" si="13"/>
        <v>70.520051968049117</v>
      </c>
      <c r="BZ76" s="171"/>
      <c r="CA76" s="171"/>
      <c r="CB76" s="171">
        <f t="shared" si="1"/>
        <v>0</v>
      </c>
      <c r="CC76" s="171">
        <f t="shared" si="2"/>
        <v>0</v>
      </c>
      <c r="CD76" s="199" t="e">
        <f t="shared" si="14"/>
        <v>#N/A</v>
      </c>
      <c r="CE76" s="199" t="e">
        <f t="shared" si="15"/>
        <v>#N/A</v>
      </c>
      <c r="CF76" s="199" t="e">
        <f t="shared" si="16"/>
        <v>#N/A</v>
      </c>
      <c r="CG76" s="199" t="e">
        <f t="shared" si="17"/>
        <v>#N/A</v>
      </c>
      <c r="CH76" s="173" t="str">
        <f t="shared" si="18"/>
        <v/>
      </c>
      <c r="CI76" s="173" t="str">
        <f t="shared" si="19"/>
        <v/>
      </c>
      <c r="CJ76" s="92" t="str">
        <f t="shared" si="3"/>
        <v/>
      </c>
      <c r="CK76" s="196" t="e">
        <f t="shared" si="4"/>
        <v>#N/A</v>
      </c>
    </row>
    <row r="77" spans="2:89">
      <c r="B77" s="125" t="s">
        <v>220</v>
      </c>
      <c r="BH77" s="171">
        <f xml:space="preserve"> IF(AND(SUM($BH$73:$BH76) = 0, BO77 &lt; $C$97), BO77, 0)</f>
        <v>0</v>
      </c>
      <c r="BI77" s="171">
        <f xml:space="preserve"> IF(AND(SUM($BI$73:$BI76) = 0, BU77 &lt; $C$97), BU77, 0)</f>
        <v>0</v>
      </c>
      <c r="BJ77" s="171"/>
      <c r="BK77" s="165">
        <v>14</v>
      </c>
      <c r="BL77" s="178">
        <v>83.944999999999993</v>
      </c>
      <c r="BM77" s="162">
        <f t="shared" si="5"/>
        <v>535.99488683417269</v>
      </c>
      <c r="BN77" s="166">
        <f t="shared" si="6"/>
        <v>8427.6312722958755</v>
      </c>
      <c r="BO77" s="166">
        <f t="shared" si="7"/>
        <v>5.3599488683417267</v>
      </c>
      <c r="BP77" s="166">
        <f t="shared" si="8"/>
        <v>84.27631272295875</v>
      </c>
      <c r="BQ77" s="160"/>
      <c r="BR77" s="178">
        <v>132.73599999999999</v>
      </c>
      <c r="BS77" s="162">
        <f t="shared" si="0"/>
        <v>623.86991110599433</v>
      </c>
      <c r="BT77" s="166">
        <f t="shared" si="9"/>
        <v>5251.8513680553406</v>
      </c>
      <c r="BU77" s="166">
        <f t="shared" si="10"/>
        <v>7.1742170090385731</v>
      </c>
      <c r="BV77" s="166">
        <f t="shared" si="11"/>
        <v>60.39387497763731</v>
      </c>
      <c r="BW77" s="160"/>
      <c r="BX77" s="166">
        <f t="shared" si="12"/>
        <v>3175.779904240535</v>
      </c>
      <c r="BY77" s="166">
        <f t="shared" si="13"/>
        <v>60.469721659630004</v>
      </c>
      <c r="BZ77" s="171"/>
      <c r="CA77" s="171"/>
      <c r="CB77" s="171">
        <f t="shared" si="1"/>
        <v>0</v>
      </c>
      <c r="CC77" s="171">
        <f t="shared" si="2"/>
        <v>0</v>
      </c>
      <c r="CD77" s="199" t="e">
        <f t="shared" si="14"/>
        <v>#N/A</v>
      </c>
      <c r="CE77" s="199" t="e">
        <f t="shared" si="15"/>
        <v>#N/A</v>
      </c>
      <c r="CF77" s="199" t="e">
        <f t="shared" si="16"/>
        <v>#N/A</v>
      </c>
      <c r="CG77" s="199" t="e">
        <f t="shared" si="17"/>
        <v>#N/A</v>
      </c>
      <c r="CH77" s="173" t="str">
        <f t="shared" si="18"/>
        <v/>
      </c>
      <c r="CI77" s="173" t="str">
        <f t="shared" si="19"/>
        <v/>
      </c>
      <c r="CJ77" s="92" t="str">
        <f t="shared" si="3"/>
        <v/>
      </c>
      <c r="CK77" s="196">
        <f t="shared" si="4"/>
        <v>-100000000</v>
      </c>
    </row>
    <row r="78" spans="2:89">
      <c r="B78" s="127" t="s">
        <v>228</v>
      </c>
      <c r="BH78" s="171">
        <f xml:space="preserve"> IF(AND(SUM($BH$73:$BH77) = 0, BO78 &lt; $C$97), BO78, 0)</f>
        <v>0</v>
      </c>
      <c r="BI78" s="171">
        <f xml:space="preserve"> IF(AND(SUM($BI$73:$BI77) = 0, BU78 &lt; $C$97), BU78, 0)</f>
        <v>0</v>
      </c>
      <c r="BJ78" s="171"/>
      <c r="BK78" s="165">
        <v>15</v>
      </c>
      <c r="BL78" s="178">
        <v>60.372999999999998</v>
      </c>
      <c r="BM78" s="162">
        <f t="shared" si="5"/>
        <v>385.48596465351727</v>
      </c>
      <c r="BN78" s="166">
        <f t="shared" si="6"/>
        <v>8813.1172369493925</v>
      </c>
      <c r="BO78" s="166">
        <f t="shared" si="7"/>
        <v>3.8548596465351728</v>
      </c>
      <c r="BP78" s="166">
        <f t="shared" si="8"/>
        <v>88.131172369493925</v>
      </c>
      <c r="BQ78" s="160"/>
      <c r="BR78" s="178">
        <v>114.765</v>
      </c>
      <c r="BS78" s="162">
        <f t="shared" si="0"/>
        <v>539.40476093960524</v>
      </c>
      <c r="BT78" s="166">
        <f t="shared" si="9"/>
        <v>5791.2561289949463</v>
      </c>
      <c r="BU78" s="166">
        <f t="shared" si="10"/>
        <v>6.2029066345400787</v>
      </c>
      <c r="BV78" s="166">
        <f t="shared" si="11"/>
        <v>66.596781612177395</v>
      </c>
      <c r="BW78" s="160"/>
      <c r="BX78" s="166">
        <f t="shared" si="12"/>
        <v>3021.8611079544462</v>
      </c>
      <c r="BY78" s="166">
        <f t="shared" si="13"/>
        <v>52.179717847825188</v>
      </c>
      <c r="BZ78" s="171"/>
      <c r="CA78" s="171"/>
      <c r="CB78" s="171">
        <f t="shared" si="1"/>
        <v>0</v>
      </c>
      <c r="CC78" s="171">
        <f t="shared" si="2"/>
        <v>0</v>
      </c>
      <c r="CD78" s="199" t="e">
        <f t="shared" si="14"/>
        <v>#N/A</v>
      </c>
      <c r="CE78" s="199" t="e">
        <f t="shared" si="15"/>
        <v>#N/A</v>
      </c>
      <c r="CF78" s="199" t="e">
        <f t="shared" si="16"/>
        <v>#N/A</v>
      </c>
      <c r="CG78" s="199" t="e">
        <f t="shared" si="17"/>
        <v>#N/A</v>
      </c>
      <c r="CH78" s="173" t="str">
        <f t="shared" si="18"/>
        <v/>
      </c>
      <c r="CI78" s="173" t="str">
        <f t="shared" si="19"/>
        <v/>
      </c>
      <c r="CJ78" s="92" t="str">
        <f t="shared" ca="1" si="3"/>
        <v>Day 15: 8,813.1 m³ (88.1%)
TGP(Standard) surpassed</v>
      </c>
      <c r="CK78" s="196">
        <f t="shared" si="4"/>
        <v>8813.1172369493925</v>
      </c>
    </row>
    <row r="79" spans="2:89">
      <c r="B79" s="189" t="s">
        <v>255</v>
      </c>
      <c r="BH79" s="171">
        <f xml:space="preserve"> IF(AND(SUM($BH$73:$BH78) = 0, BO79 &lt; $C$97), BO79, 0)</f>
        <v>0</v>
      </c>
      <c r="BI79" s="171">
        <f xml:space="preserve"> IF(AND(SUM($BI$73:$BI78) = 0, BU79 &lt; $C$97), BU79, 0)</f>
        <v>0</v>
      </c>
      <c r="BJ79" s="171"/>
      <c r="BK79" s="165">
        <v>16</v>
      </c>
      <c r="BL79" s="178">
        <v>42.707000000000001</v>
      </c>
      <c r="BM79" s="162">
        <f t="shared" si="5"/>
        <v>272.68727895678137</v>
      </c>
      <c r="BN79" s="166">
        <f t="shared" si="6"/>
        <v>9085.804515906173</v>
      </c>
      <c r="BO79" s="166">
        <f t="shared" si="7"/>
        <v>2.7268727895678135</v>
      </c>
      <c r="BP79" s="166">
        <f t="shared" si="8"/>
        <v>90.858045159061732</v>
      </c>
      <c r="BQ79" s="160"/>
      <c r="BR79" s="178">
        <v>97.614999999999995</v>
      </c>
      <c r="BS79" s="162">
        <f t="shared" si="0"/>
        <v>458.79837702365325</v>
      </c>
      <c r="BT79" s="166">
        <f t="shared" si="9"/>
        <v>6250.0545060185996</v>
      </c>
      <c r="BU79" s="166">
        <f t="shared" si="10"/>
        <v>5.2759702969601339</v>
      </c>
      <c r="BV79" s="166">
        <f t="shared" si="11"/>
        <v>71.872751909137534</v>
      </c>
      <c r="BW79" s="160"/>
      <c r="BX79" s="166">
        <f t="shared" si="12"/>
        <v>2835.7500098875735</v>
      </c>
      <c r="BY79" s="166">
        <f t="shared" si="13"/>
        <v>45.371604474118399</v>
      </c>
      <c r="BZ79" s="171"/>
      <c r="CA79" s="171"/>
      <c r="CB79" s="171">
        <f t="shared" si="1"/>
        <v>0</v>
      </c>
      <c r="CC79" s="171">
        <f t="shared" si="2"/>
        <v>0</v>
      </c>
      <c r="CD79" s="199" t="e">
        <f t="shared" si="14"/>
        <v>#N/A</v>
      </c>
      <c r="CE79" s="199" t="e">
        <f t="shared" si="15"/>
        <v>#N/A</v>
      </c>
      <c r="CF79" s="199" t="e">
        <f t="shared" si="16"/>
        <v>#N/A</v>
      </c>
      <c r="CG79" s="199" t="e">
        <f t="shared" si="17"/>
        <v>#N/A</v>
      </c>
      <c r="CH79" s="173" t="str">
        <f t="shared" si="18"/>
        <v/>
      </c>
      <c r="CI79" s="173" t="str">
        <f t="shared" si="19"/>
        <v/>
      </c>
      <c r="CJ79" s="92" t="str">
        <f t="shared" si="3"/>
        <v/>
      </c>
      <c r="CK79" s="196" t="e">
        <f t="shared" si="4"/>
        <v>#N/A</v>
      </c>
    </row>
    <row r="80" spans="2:89">
      <c r="B80" s="188" t="str">
        <f ca="1" xml:space="preserve"> "- 100% biogas produced within 40 days and recoverd with additive Standard = TGP(Standard) = " &amp; TEXT(BS104, fmt_dec_0) &amp; " m³"</f>
        <v>- 100% biogas produced within 40 days and recoverd with additive Standard = TGP(Standard) = 8,696 m³</v>
      </c>
      <c r="BH80" s="171">
        <f xml:space="preserve"> IF(AND(SUM($BH$73:$BH79) = 0, BO80 &lt; $C$97), BO80, 0)</f>
        <v>0</v>
      </c>
      <c r="BI80" s="171">
        <f xml:space="preserve"> IF(AND(SUM($BI$73:$BI79) = 0, BU80 &lt; $C$97), BU80, 0)</f>
        <v>0</v>
      </c>
      <c r="BJ80" s="171"/>
      <c r="BK80" s="165">
        <v>17</v>
      </c>
      <c r="BL80" s="178">
        <v>30.405999999999999</v>
      </c>
      <c r="BM80" s="162">
        <f t="shared" si="5"/>
        <v>194.14450567728696</v>
      </c>
      <c r="BN80" s="166">
        <f t="shared" si="6"/>
        <v>9279.9490215834594</v>
      </c>
      <c r="BO80" s="166">
        <f t="shared" si="7"/>
        <v>1.9414450567728698</v>
      </c>
      <c r="BP80" s="166">
        <f t="shared" si="8"/>
        <v>92.799490215834595</v>
      </c>
      <c r="BQ80" s="160"/>
      <c r="BR80" s="178">
        <v>83.673000000000002</v>
      </c>
      <c r="BS80" s="162">
        <f t="shared" si="0"/>
        <v>393.26985197664436</v>
      </c>
      <c r="BT80" s="166">
        <f t="shared" si="9"/>
        <v>6643.3243579952441</v>
      </c>
      <c r="BU80" s="166">
        <f t="shared" si="10"/>
        <v>4.5224224008353771</v>
      </c>
      <c r="BV80" s="166">
        <f t="shared" si="11"/>
        <v>76.395174309972916</v>
      </c>
      <c r="BW80" s="160"/>
      <c r="BX80" s="166">
        <f t="shared" si="12"/>
        <v>2636.6246635882153</v>
      </c>
      <c r="BY80" s="166">
        <f t="shared" si="13"/>
        <v>39.688332550179283</v>
      </c>
      <c r="BZ80" s="171"/>
      <c r="CA80" s="171"/>
      <c r="CB80" s="171">
        <f t="shared" si="1"/>
        <v>0</v>
      </c>
      <c r="CC80" s="171">
        <f t="shared" si="2"/>
        <v>0</v>
      </c>
      <c r="CD80" s="199" t="e">
        <f t="shared" si="14"/>
        <v>#N/A</v>
      </c>
      <c r="CE80" s="199" t="e">
        <f t="shared" si="15"/>
        <v>#N/A</v>
      </c>
      <c r="CF80" s="199" t="e">
        <f t="shared" si="16"/>
        <v>#N/A</v>
      </c>
      <c r="CG80" s="199" t="e">
        <f t="shared" si="17"/>
        <v>#N/A</v>
      </c>
      <c r="CH80" s="173" t="str">
        <f t="shared" si="18"/>
        <v/>
      </c>
      <c r="CI80" s="173" t="str">
        <f t="shared" si="19"/>
        <v/>
      </c>
      <c r="CJ80" s="92" t="str">
        <f t="shared" si="3"/>
        <v/>
      </c>
      <c r="CK80" s="196" t="e">
        <f t="shared" si="4"/>
        <v>#N/A</v>
      </c>
    </row>
    <row r="81" spans="2:89">
      <c r="B81" s="188" t="str">
        <f ca="1" xml:space="preserve"> "- 100% biogas produced within 40 days and recoverd with additive SBGx = TGP(SBGx) = " &amp; TEXT(BM104, fmt_dec_0) &amp; " m³"</f>
        <v>- 100% biogas produced within 40 days and recoverd with additive SBGx = TGP(SBGx) = 10,000 m³</v>
      </c>
      <c r="BH81" s="171">
        <f xml:space="preserve"> IF(AND(SUM($BH$73:$BH80) = 0, BO81 &lt; $C$97), BO81, 0)</f>
        <v>0</v>
      </c>
      <c r="BI81" s="171">
        <f xml:space="preserve"> IF(AND(SUM($BI$73:$BI80) = 0, BU81 &lt; $C$97), BU81, 0)</f>
        <v>0</v>
      </c>
      <c r="BJ81" s="171"/>
      <c r="BK81" s="165">
        <v>18</v>
      </c>
      <c r="BL81" s="178">
        <v>22.318000000000001</v>
      </c>
      <c r="BM81" s="162">
        <f t="shared" si="5"/>
        <v>142.5020416268398</v>
      </c>
      <c r="BN81" s="166">
        <f t="shared" si="6"/>
        <v>9422.4510632102993</v>
      </c>
      <c r="BO81" s="166">
        <f t="shared" si="7"/>
        <v>1.4250204162683979</v>
      </c>
      <c r="BP81" s="166">
        <f t="shared" si="8"/>
        <v>94.224510632102991</v>
      </c>
      <c r="BQ81" s="160"/>
      <c r="BR81" s="178">
        <v>71.954999999999998</v>
      </c>
      <c r="BS81" s="162">
        <f t="shared" si="0"/>
        <v>338.1943063948878</v>
      </c>
      <c r="BT81" s="166">
        <f t="shared" si="9"/>
        <v>6981.5186643901316</v>
      </c>
      <c r="BU81" s="166">
        <f t="shared" si="10"/>
        <v>3.8890789603827942</v>
      </c>
      <c r="BV81" s="166">
        <f t="shared" si="11"/>
        <v>80.284253270355705</v>
      </c>
      <c r="BW81" s="160"/>
      <c r="BX81" s="166">
        <f t="shared" si="12"/>
        <v>2440.9323988201677</v>
      </c>
      <c r="BY81" s="166">
        <f t="shared" si="13"/>
        <v>34.962771227274153</v>
      </c>
      <c r="BZ81" s="171"/>
      <c r="CA81" s="171"/>
      <c r="CB81" s="171">
        <f t="shared" si="1"/>
        <v>0</v>
      </c>
      <c r="CC81" s="171">
        <f t="shared" si="2"/>
        <v>0</v>
      </c>
      <c r="CD81" s="199">
        <f t="shared" si="14"/>
        <v>-100000000</v>
      </c>
      <c r="CE81" s="199" t="e">
        <f xml:space="preserve"> IF(BK81 = $D$91, BT81, NA())</f>
        <v>#N/A</v>
      </c>
      <c r="CF81" s="199" t="e">
        <f t="shared" si="16"/>
        <v>#N/A</v>
      </c>
      <c r="CG81" s="199" t="e">
        <f t="shared" si="17"/>
        <v>#N/A</v>
      </c>
      <c r="CH81" s="173" t="str">
        <f t="shared" si="18"/>
        <v/>
      </c>
      <c r="CI81" s="173" t="str">
        <f t="shared" si="19"/>
        <v/>
      </c>
      <c r="CJ81" s="92" t="str">
        <f t="shared" si="3"/>
        <v/>
      </c>
      <c r="CK81" s="196" t="e">
        <f t="shared" si="4"/>
        <v>#N/A</v>
      </c>
    </row>
    <row r="82" spans="2:89">
      <c r="BH82" s="171">
        <f xml:space="preserve"> IF(AND(SUM($BH$73:$BH81) = 0, BO82 &lt; $C$97), BO82, 0)</f>
        <v>0</v>
      </c>
      <c r="BI82" s="171">
        <f xml:space="preserve"> IF(AND(SUM($BI$73:$BI81) = 0, BU82 &lt; $C$97), BU82, 0)</f>
        <v>0</v>
      </c>
      <c r="BJ82" s="171"/>
      <c r="BK82" s="165">
        <v>19</v>
      </c>
      <c r="BL82" s="178">
        <v>17.513000000000002</v>
      </c>
      <c r="BM82" s="162">
        <f t="shared" si="5"/>
        <v>111.82176964830386</v>
      </c>
      <c r="BN82" s="166">
        <f t="shared" si="6"/>
        <v>9534.2728328586036</v>
      </c>
      <c r="BO82" s="166">
        <f t="shared" si="7"/>
        <v>1.1182176964830386</v>
      </c>
      <c r="BP82" s="166">
        <f t="shared" si="8"/>
        <v>95.342728328586034</v>
      </c>
      <c r="BQ82" s="160"/>
      <c r="BR82" s="178">
        <v>61.999000000000002</v>
      </c>
      <c r="BS82" s="162">
        <f t="shared" si="0"/>
        <v>291.40030299738237</v>
      </c>
      <c r="BT82" s="166">
        <f t="shared" si="9"/>
        <v>7272.9189673875135</v>
      </c>
      <c r="BU82" s="166">
        <f t="shared" si="10"/>
        <v>3.3509694456920696</v>
      </c>
      <c r="BV82" s="166">
        <f t="shared" si="11"/>
        <v>83.635222716047778</v>
      </c>
      <c r="BW82" s="160"/>
      <c r="BX82" s="166">
        <f t="shared" si="12"/>
        <v>2261.3538654710901</v>
      </c>
      <c r="BY82" s="166">
        <f t="shared" si="13"/>
        <v>31.092796105816987</v>
      </c>
      <c r="BZ82" s="171"/>
      <c r="CA82" s="171"/>
      <c r="CB82" s="171">
        <f t="shared" si="1"/>
        <v>1029.6905857856802</v>
      </c>
      <c r="CC82" s="171">
        <f t="shared" si="2"/>
        <v>0</v>
      </c>
      <c r="CD82" s="199">
        <f t="shared" si="14"/>
        <v>9534.2728328586036</v>
      </c>
      <c r="CE82" s="199">
        <f t="shared" si="15"/>
        <v>7272.9189673875135</v>
      </c>
      <c r="CF82" s="199" t="e">
        <f t="shared" si="16"/>
        <v>#N/A</v>
      </c>
      <c r="CG82" s="199" t="e">
        <f t="shared" si="17"/>
        <v>#N/A</v>
      </c>
      <c r="CH82" s="173">
        <f t="shared" si="18"/>
        <v>111.82176964830386</v>
      </c>
      <c r="CI82" s="173">
        <f t="shared" si="19"/>
        <v>291.40030299738237</v>
      </c>
      <c r="CJ82" s="92" t="str">
        <f t="shared" si="3"/>
        <v/>
      </c>
      <c r="CK82" s="196" t="e">
        <f t="shared" si="4"/>
        <v>#N/A</v>
      </c>
    </row>
    <row r="83" spans="2:89">
      <c r="B83" s="43" t="s">
        <v>247</v>
      </c>
      <c r="BH83" s="171">
        <f xml:space="preserve"> IF(AND(SUM($BH$73:$BH82) = 0, BO83 &lt; $C$97), BO83, 0)</f>
        <v>0</v>
      </c>
      <c r="BI83" s="171">
        <f xml:space="preserve"> IF(AND(SUM($BI$73:$BI82) = 0, BU83 &lt; $C$97), BU83, 0)</f>
        <v>0</v>
      </c>
      <c r="BJ83" s="171"/>
      <c r="BK83" s="167">
        <v>20</v>
      </c>
      <c r="BL83" s="180">
        <v>14.209</v>
      </c>
      <c r="BM83" s="163">
        <f t="shared" si="5"/>
        <v>90.725491059941149</v>
      </c>
      <c r="BN83" s="168">
        <f t="shared" si="6"/>
        <v>9624.998323918544</v>
      </c>
      <c r="BO83" s="168">
        <f t="shared" si="7"/>
        <v>0.90725491059941155</v>
      </c>
      <c r="BP83" s="168">
        <f t="shared" si="8"/>
        <v>96.24998323918544</v>
      </c>
      <c r="BQ83" s="169"/>
      <c r="BR83" s="180">
        <v>53.366999999999997</v>
      </c>
      <c r="BS83" s="163">
        <f t="shared" si="0"/>
        <v>250.82920643980233</v>
      </c>
      <c r="BT83" s="168">
        <f t="shared" si="9"/>
        <v>7523.7481738273154</v>
      </c>
      <c r="BU83" s="168">
        <f t="shared" si="10"/>
        <v>2.8844204972378376</v>
      </c>
      <c r="BV83" s="168">
        <f t="shared" si="11"/>
        <v>86.519643213285619</v>
      </c>
      <c r="BW83" s="169"/>
      <c r="BX83" s="168">
        <f t="shared" si="12"/>
        <v>2101.2501500912285</v>
      </c>
      <c r="BY83" s="168">
        <f t="shared" si="13"/>
        <v>27.928236053949778</v>
      </c>
      <c r="BZ83" s="171"/>
      <c r="CA83" s="171"/>
      <c r="CB83" s="171">
        <f t="shared" si="1"/>
        <v>0</v>
      </c>
      <c r="CC83" s="171">
        <f t="shared" si="2"/>
        <v>0</v>
      </c>
      <c r="CD83" s="199" t="e">
        <f t="shared" si="14"/>
        <v>#N/A</v>
      </c>
      <c r="CE83" s="199" t="e">
        <f t="shared" si="15"/>
        <v>#N/A</v>
      </c>
      <c r="CF83" s="199" t="e">
        <f t="shared" si="16"/>
        <v>#N/A</v>
      </c>
      <c r="CG83" s="199" t="e">
        <f t="shared" si="17"/>
        <v>#N/A</v>
      </c>
      <c r="CH83" s="173" t="str">
        <f t="shared" si="18"/>
        <v/>
      </c>
      <c r="CI83" s="173" t="str">
        <f t="shared" si="19"/>
        <v/>
      </c>
      <c r="CJ83" s="92" t="str">
        <f t="shared" si="3"/>
        <v/>
      </c>
      <c r="CK83" s="196" t="e">
        <f t="shared" si="4"/>
        <v>#N/A</v>
      </c>
    </row>
    <row r="84" spans="2:89">
      <c r="B84" s="126" t="str">
        <f ca="1" xml:space="preserve"> "As the TGP(SBGx) is "&amp; TEXT((BM104 - BS104) / BS104, fmt_pct_0) &amp; " higher than the TGP(Standard), with SBGx the TGP(Standard) level is reached"</f>
        <v>As the TGP(SBGx) is 15% higher than the TGP(Standard), with SBGx the TGP(Standard) level is reached</v>
      </c>
      <c r="BH84" s="171">
        <f xml:space="preserve"> IF(AND(SUM($BH$73:$BH83) = 0, BO84 &lt; $C$97), BO84, 0)</f>
        <v>0</v>
      </c>
      <c r="BI84" s="171">
        <f xml:space="preserve"> IF(AND(SUM($BI$73:$BI83) = 0, BU84 &lt; $C$97), BU84, 0)</f>
        <v>0</v>
      </c>
      <c r="BJ84" s="171"/>
      <c r="BK84" s="165">
        <v>21</v>
      </c>
      <c r="BL84" s="178">
        <v>11.733000000000001</v>
      </c>
      <c r="BM84" s="162">
        <f t="shared" si="5"/>
        <v>74.916052263093079</v>
      </c>
      <c r="BN84" s="166">
        <f xml:space="preserve"> BN83 + BM84</f>
        <v>9699.9143761816376</v>
      </c>
      <c r="BO84" s="166">
        <f t="shared" si="7"/>
        <v>0.7491605226309308</v>
      </c>
      <c r="BP84" s="166">
        <f t="shared" si="8"/>
        <v>96.99914376181637</v>
      </c>
      <c r="BQ84" s="160"/>
      <c r="BR84" s="178">
        <v>45.765000000000001</v>
      </c>
      <c r="BS84" s="162">
        <f t="shared" si="0"/>
        <v>215.09919299787424</v>
      </c>
      <c r="BT84" s="166">
        <f xml:space="preserve"> BT83 + BS84</f>
        <v>7738.84736682519</v>
      </c>
      <c r="BU84" s="166">
        <f t="shared" si="10"/>
        <v>2.4735417778044417</v>
      </c>
      <c r="BV84" s="166">
        <f t="shared" si="11"/>
        <v>88.993184991090061</v>
      </c>
      <c r="BW84" s="160"/>
      <c r="BX84" s="166">
        <f t="shared" si="12"/>
        <v>1961.0670093564477</v>
      </c>
      <c r="BY84" s="166">
        <f t="shared" si="13"/>
        <v>25.340556757368404</v>
      </c>
      <c r="BZ84" s="171"/>
      <c r="CA84" s="171"/>
      <c r="CB84" s="171">
        <f t="shared" si="1"/>
        <v>0</v>
      </c>
      <c r="CC84" s="171">
        <f t="shared" si="2"/>
        <v>0</v>
      </c>
      <c r="CD84" s="199" t="e">
        <f xml:space="preserve"> IF(BK84 = $D$91, BN84, IF(BK85 = $D$91, -100000000, NA()))</f>
        <v>#N/A</v>
      </c>
      <c r="CE84" s="199" t="e">
        <f xml:space="preserve"> IF(BK84 = $D$91, BT84, NA())</f>
        <v>#N/A</v>
      </c>
      <c r="CF84" s="199" t="e">
        <f t="shared" si="16"/>
        <v>#N/A</v>
      </c>
      <c r="CG84" s="199" t="e">
        <f t="shared" si="17"/>
        <v>#N/A</v>
      </c>
      <c r="CH84" s="173" t="str">
        <f t="shared" si="18"/>
        <v/>
      </c>
      <c r="CI84" s="173" t="str">
        <f t="shared" si="19"/>
        <v/>
      </c>
      <c r="CJ84" s="92" t="str">
        <f t="shared" si="3"/>
        <v/>
      </c>
      <c r="CK84" s="196" t="e">
        <f t="shared" si="4"/>
        <v>#N/A</v>
      </c>
    </row>
    <row r="85" spans="2:89">
      <c r="B85" s="126" t="str">
        <f xml:space="preserve"> "and surpassed on day " &amp; BI68 &amp; "."</f>
        <v>and surpassed on day 15.</v>
      </c>
      <c r="BH85" s="171">
        <f xml:space="preserve"> IF(AND(SUM($BH$73:$BH84) = 0, BO85 &lt; $C$97), BO85, 0)</f>
        <v>0</v>
      </c>
      <c r="BI85" s="171">
        <f xml:space="preserve"> IF(AND(SUM($BI$73:$BI84) = 0, BU85 &lt; $C$97), BU85, 0)</f>
        <v>0</v>
      </c>
      <c r="BJ85" s="171"/>
      <c r="BK85" s="165">
        <v>22</v>
      </c>
      <c r="BL85" s="178">
        <v>9.7170000000000005</v>
      </c>
      <c r="BM85" s="162">
        <f t="shared" si="5"/>
        <v>62.043746683753128</v>
      </c>
      <c r="BN85" s="166">
        <f t="shared" si="6"/>
        <v>9761.9581228653915</v>
      </c>
      <c r="BO85" s="166">
        <f t="shared" si="7"/>
        <v>0.62043746683753132</v>
      </c>
      <c r="BP85" s="166">
        <f t="shared" si="8"/>
        <v>97.6195812286539</v>
      </c>
      <c r="BQ85" s="160"/>
      <c r="BR85" s="178">
        <v>38.988</v>
      </c>
      <c r="BS85" s="162">
        <f t="shared" si="0"/>
        <v>183.24674612916246</v>
      </c>
      <c r="BT85" s="166">
        <f t="shared" si="9"/>
        <v>7922.0941129543526</v>
      </c>
      <c r="BU85" s="166">
        <f t="shared" si="10"/>
        <v>2.107253290353754</v>
      </c>
      <c r="BV85" s="166">
        <f t="shared" si="11"/>
        <v>91.100438281443815</v>
      </c>
      <c r="BW85" s="160"/>
      <c r="BX85" s="166">
        <f t="shared" si="12"/>
        <v>1839.8640099110389</v>
      </c>
      <c r="BY85" s="166">
        <f t="shared" si="13"/>
        <v>23.224465446610381</v>
      </c>
      <c r="BZ85" s="171"/>
      <c r="CA85" s="171"/>
      <c r="CB85" s="171">
        <f t="shared" si="1"/>
        <v>0</v>
      </c>
      <c r="CC85" s="171">
        <f t="shared" si="2"/>
        <v>0</v>
      </c>
      <c r="CD85" s="199" t="e">
        <f t="shared" si="14"/>
        <v>#N/A</v>
      </c>
      <c r="CE85" s="199" t="e">
        <f t="shared" si="15"/>
        <v>#N/A</v>
      </c>
      <c r="CF85" s="199" t="e">
        <f t="shared" si="16"/>
        <v>#N/A</v>
      </c>
      <c r="CG85" s="199" t="e">
        <f t="shared" si="17"/>
        <v>#N/A</v>
      </c>
      <c r="CH85" s="173" t="str">
        <f t="shared" si="18"/>
        <v/>
      </c>
      <c r="CI85" s="173" t="str">
        <f t="shared" si="19"/>
        <v/>
      </c>
      <c r="CJ85" s="92" t="str">
        <f t="shared" si="3"/>
        <v/>
      </c>
      <c r="CK85" s="196" t="e">
        <f t="shared" si="4"/>
        <v>#N/A</v>
      </c>
    </row>
    <row r="86" spans="2:89">
      <c r="BH86" s="171">
        <f xml:space="preserve"> IF(AND(SUM($BH$73:$BH85) = 0, BO86 &lt; $C$97), BO86, 0)</f>
        <v>0</v>
      </c>
      <c r="BI86" s="171">
        <f xml:space="preserve"> IF(AND(SUM($BI$73:$BI85) = 0, BU86 &lt; $C$97), BU86, 0)</f>
        <v>0</v>
      </c>
      <c r="BJ86" s="171"/>
      <c r="BK86" s="165">
        <v>23</v>
      </c>
      <c r="BL86" s="178">
        <v>8.0470000000000006</v>
      </c>
      <c r="BM86" s="162">
        <f t="shared" si="5"/>
        <v>51.38067608975625</v>
      </c>
      <c r="BN86" s="166">
        <f t="shared" si="6"/>
        <v>9813.3387989551484</v>
      </c>
      <c r="BO86" s="166">
        <f t="shared" si="7"/>
        <v>0.5138067608975625</v>
      </c>
      <c r="BP86" s="166">
        <f t="shared" si="8"/>
        <v>98.133387989551466</v>
      </c>
      <c r="BQ86" s="160"/>
      <c r="BR86" s="178">
        <v>32.886000000000003</v>
      </c>
      <c r="BS86" s="162">
        <f t="shared" si="0"/>
        <v>154.56685372944594</v>
      </c>
      <c r="BT86" s="166">
        <f t="shared" si="9"/>
        <v>8076.6609666837985</v>
      </c>
      <c r="BU86" s="166">
        <f t="shared" si="10"/>
        <v>1.7774477199798289</v>
      </c>
      <c r="BV86" s="166">
        <f t="shared" si="11"/>
        <v>92.877886001423647</v>
      </c>
      <c r="BW86" s="160"/>
      <c r="BX86" s="166">
        <f t="shared" si="12"/>
        <v>1736.6778322713499</v>
      </c>
      <c r="BY86" s="166">
        <f t="shared" si="13"/>
        <v>21.502423333542666</v>
      </c>
      <c r="BZ86" s="171"/>
      <c r="CA86" s="171"/>
      <c r="CB86" s="171">
        <f t="shared" si="1"/>
        <v>0</v>
      </c>
      <c r="CC86" s="171">
        <f t="shared" si="2"/>
        <v>0</v>
      </c>
      <c r="CD86" s="199" t="e">
        <f t="shared" si="14"/>
        <v>#N/A</v>
      </c>
      <c r="CE86" s="199" t="e">
        <f t="shared" si="15"/>
        <v>#N/A</v>
      </c>
      <c r="CF86" s="199" t="e">
        <f t="shared" si="16"/>
        <v>#N/A</v>
      </c>
      <c r="CG86" s="199" t="e">
        <f t="shared" si="17"/>
        <v>#N/A</v>
      </c>
      <c r="CH86" s="173" t="str">
        <f t="shared" si="18"/>
        <v/>
      </c>
      <c r="CI86" s="173" t="str">
        <f t="shared" si="19"/>
        <v/>
      </c>
      <c r="CJ86" s="92" t="str">
        <f t="shared" si="3"/>
        <v/>
      </c>
      <c r="CK86" s="196" t="e">
        <f t="shared" si="4"/>
        <v>#N/A</v>
      </c>
    </row>
    <row r="87" spans="2:89">
      <c r="B87" s="187" t="str">
        <f ca="1" xml:space="preserve"> "For the calculation example below, a " &amp; TEXT(BI66, fmt_dec_1) &amp; "% recovery rate of the TGP is set for both additives."</f>
        <v>For the calculation example below, a 95.0% recovery rate of the TGP is set for both additives.</v>
      </c>
      <c r="BH87" s="171">
        <f xml:space="preserve"> IF(AND(SUM($BH$73:$BH86) = 0, BO87 &lt; $C$97), BO87, 0)</f>
        <v>0</v>
      </c>
      <c r="BI87" s="171">
        <f xml:space="preserve"> IF(AND(SUM($BI$73:$BI86) = 0, BU87 &lt; $C$97), BU87, 0)</f>
        <v>0</v>
      </c>
      <c r="BJ87" s="171"/>
      <c r="BK87" s="165">
        <v>24</v>
      </c>
      <c r="BL87" s="178">
        <v>6.6269999999999998</v>
      </c>
      <c r="BM87" s="162">
        <f t="shared" si="5"/>
        <v>42.313873548752902</v>
      </c>
      <c r="BN87" s="166">
        <f t="shared" si="6"/>
        <v>9855.6526725039021</v>
      </c>
      <c r="BO87" s="166">
        <f t="shared" si="7"/>
        <v>0.42313873548752901</v>
      </c>
      <c r="BP87" s="166">
        <f t="shared" si="8"/>
        <v>98.556526725038992</v>
      </c>
      <c r="BQ87" s="160"/>
      <c r="BR87" s="178">
        <v>27.35</v>
      </c>
      <c r="BS87" s="162">
        <f t="shared" si="0"/>
        <v>128.54720700299052</v>
      </c>
      <c r="BT87" s="166">
        <f t="shared" si="9"/>
        <v>8205.2081736867895</v>
      </c>
      <c r="BU87" s="166">
        <f t="shared" si="10"/>
        <v>1.4782337511843435</v>
      </c>
      <c r="BV87" s="166">
        <f t="shared" si="11"/>
        <v>94.356119752607995</v>
      </c>
      <c r="BW87" s="160"/>
      <c r="BX87" s="166">
        <f t="shared" si="12"/>
        <v>1650.4444988171126</v>
      </c>
      <c r="BY87" s="166">
        <f t="shared" si="13"/>
        <v>20.114596289097317</v>
      </c>
      <c r="BZ87" s="171"/>
      <c r="CA87" s="171"/>
      <c r="CB87" s="171">
        <f t="shared" si="1"/>
        <v>0</v>
      </c>
      <c r="CC87" s="171">
        <f t="shared" si="2"/>
        <v>0</v>
      </c>
      <c r="CD87" s="199" t="e">
        <f t="shared" si="14"/>
        <v>#N/A</v>
      </c>
      <c r="CE87" s="199" t="e">
        <f t="shared" si="15"/>
        <v>#N/A</v>
      </c>
      <c r="CF87" s="199">
        <f t="shared" si="16"/>
        <v>-100000000</v>
      </c>
      <c r="CG87" s="199" t="e">
        <f t="shared" si="17"/>
        <v>#N/A</v>
      </c>
      <c r="CH87" s="173" t="str">
        <f t="shared" si="18"/>
        <v/>
      </c>
      <c r="CI87" s="173" t="str">
        <f t="shared" si="19"/>
        <v/>
      </c>
      <c r="CJ87" s="92" t="str">
        <f t="shared" si="3"/>
        <v/>
      </c>
      <c r="CK87" s="196" t="e">
        <f t="shared" si="4"/>
        <v>#N/A</v>
      </c>
    </row>
    <row r="88" spans="2:89">
      <c r="G88" s="122"/>
      <c r="BH88" s="171">
        <f xml:space="preserve"> IF(AND(SUM($BH$73:$BH87) = 0, BO88 &lt; $C$97), BO88, 0)</f>
        <v>0</v>
      </c>
      <c r="BI88" s="171">
        <f xml:space="preserve"> IF(AND(SUM($BI$73:$BI87) = 0, BU88 &lt; $C$97), BU88, 0)</f>
        <v>0</v>
      </c>
      <c r="BJ88" s="171"/>
      <c r="BK88" s="165">
        <v>25</v>
      </c>
      <c r="BL88" s="178">
        <v>5.4420000000000002</v>
      </c>
      <c r="BM88" s="162">
        <f t="shared" si="5"/>
        <v>34.747562977563504</v>
      </c>
      <c r="BN88" s="166">
        <f t="shared" si="6"/>
        <v>9890.4002354814656</v>
      </c>
      <c r="BO88" s="166">
        <f t="shared" si="7"/>
        <v>0.34747562977563501</v>
      </c>
      <c r="BP88" s="166">
        <f t="shared" si="8"/>
        <v>98.904002354814622</v>
      </c>
      <c r="BQ88" s="160"/>
      <c r="BR88" s="178">
        <v>22.297000000000001</v>
      </c>
      <c r="BS88" s="162">
        <f t="shared" si="0"/>
        <v>104.79769925212722</v>
      </c>
      <c r="BT88" s="166">
        <f t="shared" si="9"/>
        <v>8310.0058729389166</v>
      </c>
      <c r="BU88" s="166">
        <f t="shared" si="10"/>
        <v>1.2051253363860075</v>
      </c>
      <c r="BV88" s="166">
        <f t="shared" si="11"/>
        <v>95.561245088993999</v>
      </c>
      <c r="BW88" s="160"/>
      <c r="BX88" s="166">
        <f t="shared" si="12"/>
        <v>1580.3943625425491</v>
      </c>
      <c r="BY88" s="166">
        <f t="shared" si="13"/>
        <v>19.017969261478111</v>
      </c>
      <c r="BZ88" s="171"/>
      <c r="CA88" s="171"/>
      <c r="CB88" s="171">
        <f t="shared" si="1"/>
        <v>0</v>
      </c>
      <c r="CC88" s="171">
        <f t="shared" si="2"/>
        <v>1029.6905857856802</v>
      </c>
      <c r="CD88" s="199" t="e">
        <f t="shared" si="14"/>
        <v>#N/A</v>
      </c>
      <c r="CE88" s="199" t="e">
        <f t="shared" si="15"/>
        <v>#N/A</v>
      </c>
      <c r="CF88" s="199">
        <f t="shared" si="16"/>
        <v>8310.0058729389166</v>
      </c>
      <c r="CG88" s="199">
        <f t="shared" si="17"/>
        <v>9890.4002354814656</v>
      </c>
      <c r="CH88" s="173">
        <f t="shared" si="18"/>
        <v>34.747562977563504</v>
      </c>
      <c r="CI88" s="173">
        <f t="shared" si="19"/>
        <v>104.79769925212722</v>
      </c>
      <c r="CJ88" s="92" t="str">
        <f t="shared" si="3"/>
        <v/>
      </c>
      <c r="CK88" s="196" t="e">
        <f t="shared" si="4"/>
        <v>#N/A</v>
      </c>
    </row>
    <row r="89" spans="2:89">
      <c r="B89" s="154" t="s">
        <v>237</v>
      </c>
      <c r="C89" s="789"/>
      <c r="D89" s="790"/>
      <c r="E89" s="213" t="s">
        <v>270</v>
      </c>
      <c r="BH89" s="171">
        <f xml:space="preserve"> IF(AND(SUM($BH$73:$BH88) = 0, BO89 &lt; $C$97), BO89, 0)</f>
        <v>0</v>
      </c>
      <c r="BI89" s="171">
        <f xml:space="preserve"> IF(AND(SUM($BI$73:$BI88) = 0, BU89 &lt; $C$97), BU89, 0)</f>
        <v>0</v>
      </c>
      <c r="BJ89" s="171"/>
      <c r="BK89" s="165">
        <v>26</v>
      </c>
      <c r="BL89" s="178">
        <v>4.415</v>
      </c>
      <c r="BM89" s="162">
        <f t="shared" si="5"/>
        <v>28.190093815866017</v>
      </c>
      <c r="BN89" s="166">
        <f t="shared" si="6"/>
        <v>9918.5903292973308</v>
      </c>
      <c r="BO89" s="166">
        <f t="shared" si="7"/>
        <v>0.28190093815866019</v>
      </c>
      <c r="BP89" s="166">
        <f t="shared" si="8"/>
        <v>99.185903292973279</v>
      </c>
      <c r="BQ89" s="160"/>
      <c r="BR89" s="178">
        <v>17.791</v>
      </c>
      <c r="BS89" s="162">
        <f t="shared" si="0"/>
        <v>83.619135641323737</v>
      </c>
      <c r="BT89" s="166">
        <f t="shared" si="9"/>
        <v>8393.6250085802403</v>
      </c>
      <c r="BU89" s="166">
        <f t="shared" si="10"/>
        <v>0.96158159661135845</v>
      </c>
      <c r="BV89" s="166">
        <f t="shared" si="11"/>
        <v>96.522826685605352</v>
      </c>
      <c r="BW89" s="160"/>
      <c r="BX89" s="166">
        <f t="shared" si="12"/>
        <v>1524.9653207170904</v>
      </c>
      <c r="BY89" s="166">
        <f t="shared" si="13"/>
        <v>18.168137356127069</v>
      </c>
      <c r="BZ89" s="171"/>
      <c r="CA89" s="171"/>
      <c r="CB89" s="171">
        <f t="shared" si="1"/>
        <v>0</v>
      </c>
      <c r="CC89" s="171">
        <f t="shared" si="2"/>
        <v>0</v>
      </c>
      <c r="CD89" s="199" t="e">
        <f t="shared" si="14"/>
        <v>#N/A</v>
      </c>
      <c r="CE89" s="199" t="e">
        <f t="shared" si="15"/>
        <v>#N/A</v>
      </c>
      <c r="CF89" s="199" t="e">
        <f t="shared" si="16"/>
        <v>#N/A</v>
      </c>
      <c r="CG89" s="199" t="e">
        <f t="shared" si="17"/>
        <v>#N/A</v>
      </c>
      <c r="CH89" s="173" t="str">
        <f t="shared" si="18"/>
        <v/>
      </c>
      <c r="CI89" s="173" t="str">
        <f t="shared" si="19"/>
        <v/>
      </c>
      <c r="CJ89" s="92" t="str">
        <f t="shared" si="3"/>
        <v/>
      </c>
      <c r="CK89" s="196" t="e">
        <f t="shared" si="4"/>
        <v>#N/A</v>
      </c>
    </row>
    <row r="90" spans="2:89">
      <c r="B90" s="122"/>
      <c r="C90" s="794" t="s">
        <v>16</v>
      </c>
      <c r="D90" s="795"/>
      <c r="E90" s="120"/>
      <c r="F90" s="121" t="s">
        <v>215</v>
      </c>
      <c r="BH90" s="171">
        <f xml:space="preserve"> IF(AND(SUM($BH$73:$BH89) = 0, BO90 &lt; $C$97), BO90, 0)</f>
        <v>0</v>
      </c>
      <c r="BI90" s="171">
        <f xml:space="preserve"> IF(AND(SUM($BI$73:$BI89) = 0, BU90 &lt; $C$97), BU90, 0)</f>
        <v>0</v>
      </c>
      <c r="BJ90" s="171"/>
      <c r="BK90" s="165">
        <v>27</v>
      </c>
      <c r="BL90" s="178">
        <v>3.5329999999999999</v>
      </c>
      <c r="BM90" s="162">
        <f t="shared" si="5"/>
        <v>22.558460124904784</v>
      </c>
      <c r="BN90" s="166">
        <f t="shared" si="6"/>
        <v>9941.1487894222355</v>
      </c>
      <c r="BO90" s="166">
        <f t="shared" si="7"/>
        <v>0.22558460124904783</v>
      </c>
      <c r="BP90" s="166">
        <f t="shared" si="8"/>
        <v>99.411487894222333</v>
      </c>
      <c r="BQ90" s="160"/>
      <c r="BR90" s="178">
        <v>14.316000000000001</v>
      </c>
      <c r="BS90" s="162">
        <f t="shared" si="0"/>
        <v>67.286355226866988</v>
      </c>
      <c r="BT90" s="166">
        <f t="shared" si="9"/>
        <v>8460.9113638071067</v>
      </c>
      <c r="BU90" s="166">
        <f t="shared" si="10"/>
        <v>0.77376213462358545</v>
      </c>
      <c r="BV90" s="166">
        <f t="shared" si="11"/>
        <v>97.296588820228934</v>
      </c>
      <c r="BW90" s="160"/>
      <c r="BX90" s="166">
        <f t="shared" si="12"/>
        <v>1480.2374256151288</v>
      </c>
      <c r="BY90" s="166">
        <f t="shared" si="13"/>
        <v>17.495011612426055</v>
      </c>
      <c r="BZ90" s="171"/>
      <c r="CA90" s="171"/>
      <c r="CB90" s="171">
        <f t="shared" si="1"/>
        <v>0</v>
      </c>
      <c r="CC90" s="171">
        <f t="shared" si="2"/>
        <v>0</v>
      </c>
      <c r="CD90" s="199" t="e">
        <f t="shared" si="14"/>
        <v>#N/A</v>
      </c>
      <c r="CE90" s="199" t="e">
        <f t="shared" si="15"/>
        <v>#N/A</v>
      </c>
      <c r="CF90" s="199" t="e">
        <f t="shared" si="16"/>
        <v>#N/A</v>
      </c>
      <c r="CG90" s="199" t="e">
        <f t="shared" si="17"/>
        <v>#N/A</v>
      </c>
      <c r="CH90" s="173" t="str">
        <f t="shared" si="18"/>
        <v/>
      </c>
      <c r="CI90" s="173" t="str">
        <f t="shared" si="19"/>
        <v/>
      </c>
      <c r="CJ90" s="92" t="str">
        <f t="shared" si="3"/>
        <v/>
      </c>
      <c r="CK90" s="196" t="e">
        <f t="shared" si="4"/>
        <v>#N/A</v>
      </c>
    </row>
    <row r="91" spans="2:89">
      <c r="B91" s="157" t="s">
        <v>238</v>
      </c>
      <c r="C91" s="114"/>
      <c r="D91" s="115">
        <f xml:space="preserve"> IFERROR(IF(OR(BI66 &lt;= 0, BI66 &gt; 100), 0, LOOKUP(BI66, BP63:BP103, BK63:BK103) + IF(LOOKUP(BI66, BP63:BP103, BP63:BP103) &lt; BI66, 1, 0)), 0)</f>
        <v>19</v>
      </c>
      <c r="E91" s="116"/>
      <c r="F91" s="115">
        <f xml:space="preserve"> IFERROR(IF(OR(BI66 &lt;= 0, BI66 &gt; 100), 0, LOOKUP(BI66, BV63:BV103, BK63:BK103) + IF(LOOKUP(BI66, BV63:BV103, BV63:BV103) &lt; BI66, 1, 0)), 0)</f>
        <v>25</v>
      </c>
      <c r="BH91" s="171">
        <f xml:space="preserve"> IF(AND(SUM($BH$73:$BH90) = 0, BO91 &lt; $C$97), BO91, 0)</f>
        <v>0</v>
      </c>
      <c r="BI91" s="171">
        <f xml:space="preserve"> IF(AND(SUM($BI$73:$BI90) = 0, BU91 &lt; $C$97), BU91, 0)</f>
        <v>0</v>
      </c>
      <c r="BJ91" s="171"/>
      <c r="BK91" s="165">
        <v>28</v>
      </c>
      <c r="BL91" s="178">
        <v>2.7759999999999998</v>
      </c>
      <c r="BM91" s="162">
        <f t="shared" si="5"/>
        <v>17.724960460440329</v>
      </c>
      <c r="BN91" s="166">
        <f t="shared" si="6"/>
        <v>9958.8737498826758</v>
      </c>
      <c r="BO91" s="166">
        <f t="shared" si="7"/>
        <v>0.17724960460440328</v>
      </c>
      <c r="BP91" s="166">
        <f t="shared" si="8"/>
        <v>99.588737498826731</v>
      </c>
      <c r="BQ91" s="160"/>
      <c r="BR91" s="178">
        <v>11.574</v>
      </c>
      <c r="BS91" s="162">
        <f t="shared" si="0"/>
        <v>54.398733961704274</v>
      </c>
      <c r="BT91" s="166">
        <f t="shared" si="9"/>
        <v>8515.3100977688118</v>
      </c>
      <c r="BU91" s="166">
        <f t="shared" si="10"/>
        <v>0.62556041814287344</v>
      </c>
      <c r="BV91" s="166">
        <f t="shared" si="11"/>
        <v>97.922149238371802</v>
      </c>
      <c r="BW91" s="160"/>
      <c r="BX91" s="166">
        <f t="shared" si="12"/>
        <v>1443.563652113864</v>
      </c>
      <c r="BY91" s="166">
        <f t="shared" si="13"/>
        <v>16.952567029732808</v>
      </c>
      <c r="BZ91" s="171"/>
      <c r="CA91" s="171"/>
      <c r="CB91" s="171">
        <f t="shared" si="1"/>
        <v>0</v>
      </c>
      <c r="CC91" s="171">
        <f t="shared" si="2"/>
        <v>0</v>
      </c>
      <c r="CD91" s="199" t="e">
        <f t="shared" si="14"/>
        <v>#N/A</v>
      </c>
      <c r="CE91" s="199" t="e">
        <f t="shared" si="15"/>
        <v>#N/A</v>
      </c>
      <c r="CF91" s="199" t="e">
        <f t="shared" si="16"/>
        <v>#N/A</v>
      </c>
      <c r="CG91" s="199" t="e">
        <f t="shared" si="17"/>
        <v>#N/A</v>
      </c>
      <c r="CH91" s="173" t="str">
        <f t="shared" si="18"/>
        <v/>
      </c>
      <c r="CI91" s="173" t="str">
        <f t="shared" si="19"/>
        <v/>
      </c>
      <c r="CJ91" s="92" t="str">
        <f t="shared" si="3"/>
        <v/>
      </c>
      <c r="CK91" s="196" t="e">
        <f t="shared" si="4"/>
        <v>#N/A</v>
      </c>
    </row>
    <row r="92" spans="2:89">
      <c r="B92" s="158" t="s">
        <v>239</v>
      </c>
      <c r="C92" s="114"/>
      <c r="D92" s="117" t="str">
        <f ca="1" xml:space="preserve"> TEXT(LOOKUP(D91, BK63:BK103, BP63:BP103), fmt_dec_1) &amp; "% (Std.: " &amp; TEXT(LOOKUP(D91, BK63:BK103, BV63:BV103), fmt_dec_1) &amp; "%)"</f>
        <v>95.3% (Std.: 83.6%)</v>
      </c>
      <c r="E92" s="116"/>
      <c r="F92" s="117" t="str">
        <f ca="1" xml:space="preserve"> TEXT(LOOKUP(F91, BK63:BK103, BV63:BV103), fmt_dec_1) &amp; "% (SBGx: " &amp; TEXT(LOOKUP(F91, BK63:BK103, BP63:BP103), fmt_dec_1) &amp; "%)"</f>
        <v>95.6% (SBGx: 98.9%)</v>
      </c>
      <c r="BH92" s="171">
        <f xml:space="preserve"> IF(AND(SUM($BH$73:$BH91) = 0, BO92 &lt; $C$97), BO92, 0)</f>
        <v>0</v>
      </c>
      <c r="BI92" s="171">
        <f xml:space="preserve"> IF(AND(SUM($BI$73:$BI91) = 0, BU92 &lt; $C$97), BU92, 0)</f>
        <v>0</v>
      </c>
      <c r="BJ92" s="171"/>
      <c r="BK92" s="165">
        <v>29</v>
      </c>
      <c r="BL92" s="178">
        <v>2.1280000000000001</v>
      </c>
      <c r="BM92" s="162">
        <f t="shared" si="5"/>
        <v>13.587433667081061</v>
      </c>
      <c r="BN92" s="166">
        <f t="shared" si="6"/>
        <v>9972.4611835497562</v>
      </c>
      <c r="BO92" s="166">
        <f t="shared" si="7"/>
        <v>0.13587433667081061</v>
      </c>
      <c r="BP92" s="166">
        <f t="shared" si="8"/>
        <v>99.724611835497541</v>
      </c>
      <c r="BQ92" s="160"/>
      <c r="BR92" s="178">
        <v>9.2789999999999999</v>
      </c>
      <c r="BS92" s="162">
        <f t="shared" si="0"/>
        <v>43.612048767120619</v>
      </c>
      <c r="BT92" s="166">
        <f t="shared" si="9"/>
        <v>8558.9221465359333</v>
      </c>
      <c r="BU92" s="166">
        <f t="shared" si="10"/>
        <v>0.50151850008188381</v>
      </c>
      <c r="BV92" s="166">
        <f t="shared" si="11"/>
        <v>98.423667738453688</v>
      </c>
      <c r="BW92" s="160"/>
      <c r="BX92" s="166">
        <f t="shared" si="12"/>
        <v>1413.539037013823</v>
      </c>
      <c r="BY92" s="166">
        <f t="shared" si="13"/>
        <v>16.515386082649751</v>
      </c>
      <c r="BZ92" s="171"/>
      <c r="CA92" s="171"/>
      <c r="CB92" s="171">
        <f t="shared" si="1"/>
        <v>0</v>
      </c>
      <c r="CC92" s="171">
        <f t="shared" si="2"/>
        <v>0</v>
      </c>
      <c r="CD92" s="199" t="e">
        <f t="shared" si="14"/>
        <v>#N/A</v>
      </c>
      <c r="CE92" s="199" t="e">
        <f t="shared" si="15"/>
        <v>#N/A</v>
      </c>
      <c r="CF92" s="199" t="e">
        <f t="shared" si="16"/>
        <v>#N/A</v>
      </c>
      <c r="CG92" s="199" t="e">
        <f t="shared" si="17"/>
        <v>#N/A</v>
      </c>
      <c r="CH92" s="173" t="str">
        <f t="shared" si="18"/>
        <v/>
      </c>
      <c r="CI92" s="173" t="str">
        <f t="shared" si="19"/>
        <v/>
      </c>
      <c r="CJ92" s="92" t="str">
        <f t="shared" si="3"/>
        <v/>
      </c>
      <c r="CK92" s="196" t="e">
        <f t="shared" si="4"/>
        <v>#N/A</v>
      </c>
    </row>
    <row r="93" spans="2:89">
      <c r="B93" s="118" t="s">
        <v>223</v>
      </c>
      <c r="C93" s="114"/>
      <c r="D93" s="119" t="str">
        <f ca="1" xml:space="preserve"> TEXT(LOOKUP(D91, BK63:BK103, BY63:BY103) / 100, fmt_pct_1) &amp; " resp. " &amp; TEXT(LOOKUP(D91, BK63:BK103, BX63:BX103),fmt_dec_0) &amp; " m³"</f>
        <v>31.1% resp. 2,261 m³</v>
      </c>
      <c r="E93" s="116"/>
      <c r="F93" s="119" t="str">
        <f ca="1" xml:space="preserve"> TEXT(LOOKUP(F91, BK63:BK103, BY63:BY103) / 100, fmt_pct_1) &amp; " resp. " &amp; TEXT(LOOKUP(F91, BK63:BK103, BX63:BX103), fmt_dec_0) &amp; " m³"</f>
        <v>19.0% resp. 1,580 m³</v>
      </c>
      <c r="BH93" s="171">
        <f xml:space="preserve"> IF(AND(SUM($BH$73:$BH92) = 0, BO93 &lt; $C$97), BO93, 0)</f>
        <v>0</v>
      </c>
      <c r="BI93" s="171">
        <f xml:space="preserve"> IF(AND(SUM($BI$73:$BI92) = 0, BU93 &lt; $C$97), BU93, 0)</f>
        <v>0</v>
      </c>
      <c r="BJ93" s="171"/>
      <c r="BK93" s="167">
        <v>30</v>
      </c>
      <c r="BL93" s="180">
        <v>1.5760000000000001</v>
      </c>
      <c r="BM93" s="163">
        <f t="shared" si="5"/>
        <v>10.062873806071311</v>
      </c>
      <c r="BN93" s="168">
        <f t="shared" si="6"/>
        <v>9982.5240573558276</v>
      </c>
      <c r="BO93" s="168">
        <f t="shared" si="7"/>
        <v>0.10062873806071311</v>
      </c>
      <c r="BP93" s="168">
        <f t="shared" si="8"/>
        <v>99.825240573558247</v>
      </c>
      <c r="BQ93" s="169"/>
      <c r="BR93" s="180">
        <v>7.4889999999999999</v>
      </c>
      <c r="BS93" s="163">
        <f t="shared" si="0"/>
        <v>35.198904323414837</v>
      </c>
      <c r="BT93" s="168">
        <f t="shared" si="9"/>
        <v>8594.1210508593485</v>
      </c>
      <c r="BU93" s="168">
        <f t="shared" si="10"/>
        <v>0.40477120887091583</v>
      </c>
      <c r="BV93" s="168">
        <f t="shared" si="11"/>
        <v>98.828438947324599</v>
      </c>
      <c r="BW93" s="169"/>
      <c r="BX93" s="168">
        <f t="shared" si="12"/>
        <v>1388.4030064964791</v>
      </c>
      <c r="BY93" s="168">
        <f t="shared" si="13"/>
        <v>16.155264724339077</v>
      </c>
      <c r="BZ93" s="171"/>
      <c r="CA93" s="171"/>
      <c r="CB93" s="171">
        <f t="shared" si="1"/>
        <v>0</v>
      </c>
      <c r="CC93" s="171">
        <f t="shared" si="2"/>
        <v>0</v>
      </c>
      <c r="CD93" s="199" t="e">
        <f t="shared" si="14"/>
        <v>#N/A</v>
      </c>
      <c r="CE93" s="199" t="e">
        <f t="shared" si="15"/>
        <v>#N/A</v>
      </c>
      <c r="CF93" s="199" t="e">
        <f t="shared" si="16"/>
        <v>#N/A</v>
      </c>
      <c r="CG93" s="199" t="e">
        <f t="shared" si="17"/>
        <v>#N/A</v>
      </c>
      <c r="CH93" s="173" t="str">
        <f t="shared" si="18"/>
        <v/>
      </c>
      <c r="CI93" s="173" t="str">
        <f t="shared" si="19"/>
        <v/>
      </c>
      <c r="CJ93" s="92" t="str">
        <f t="shared" si="3"/>
        <v/>
      </c>
      <c r="CK93" s="196" t="e">
        <f t="shared" si="4"/>
        <v>#N/A</v>
      </c>
    </row>
    <row r="94" spans="2:89">
      <c r="B94" s="131" t="str">
        <f ca="1" xml:space="preserve"> "Note, TGP(Standard) = " &amp; TEXT(BS104, fmt_dec_0) &amp; " m³ is surpassed by SBGx on day " &amp; BI68 &amp; " with " &amp; TEXT(LOOKUP(BI68, BK64:BK103, BN64:BN103), fmt_dec_0) &amp; " m³"</f>
        <v>Note, TGP(Standard) = 8,696 m³ is surpassed by SBGx on day 15 with 8,813 m³</v>
      </c>
      <c r="C94" s="116"/>
      <c r="D94" s="116"/>
      <c r="E94" s="116"/>
      <c r="F94" s="191"/>
      <c r="BH94" s="171">
        <f xml:space="preserve"> IF(AND(SUM($BH$73:$BH93) = 0, BO94 &lt; $C$97), BO94, 0)</f>
        <v>0</v>
      </c>
      <c r="BI94" s="171">
        <f xml:space="preserve"> IF(AND(SUM($BI$73:$BI93) = 0, BU94 &lt; $C$97), BU94, 0)</f>
        <v>0</v>
      </c>
      <c r="BJ94" s="171"/>
      <c r="BK94" s="165">
        <v>31</v>
      </c>
      <c r="BL94" s="178">
        <v>1.1120000000000001</v>
      </c>
      <c r="BM94" s="162">
        <f t="shared" si="5"/>
        <v>7.1002002997152918</v>
      </c>
      <c r="BN94" s="166">
        <f t="shared" si="6"/>
        <v>9989.6242576555433</v>
      </c>
      <c r="BO94" s="166">
        <f t="shared" si="7"/>
        <v>7.1002002997152924E-2</v>
      </c>
      <c r="BP94" s="166">
        <f t="shared" si="8"/>
        <v>99.896242576555395</v>
      </c>
      <c r="BQ94" s="160"/>
      <c r="BR94" s="178">
        <v>5.94</v>
      </c>
      <c r="BS94" s="162">
        <f t="shared" si="0"/>
        <v>27.918479327157719</v>
      </c>
      <c r="BT94" s="166">
        <f xml:space="preserve"> BT93 + BS94</f>
        <v>8622.0395301865065</v>
      </c>
      <c r="BU94" s="166">
        <f t="shared" si="10"/>
        <v>0.32104967027550274</v>
      </c>
      <c r="BV94" s="166">
        <f t="shared" si="11"/>
        <v>99.149488617600099</v>
      </c>
      <c r="BW94" s="160"/>
      <c r="BX94" s="166">
        <f t="shared" si="12"/>
        <v>1367.5847274690368</v>
      </c>
      <c r="BY94" s="166">
        <f t="shared" si="13"/>
        <v>15.861499157838518</v>
      </c>
      <c r="BZ94" s="171"/>
      <c r="CA94" s="171"/>
      <c r="CB94" s="171">
        <f t="shared" si="1"/>
        <v>0</v>
      </c>
      <c r="CC94" s="171">
        <f t="shared" si="2"/>
        <v>0</v>
      </c>
      <c r="CD94" s="199" t="e">
        <f t="shared" si="14"/>
        <v>#N/A</v>
      </c>
      <c r="CE94" s="199" t="e">
        <f t="shared" si="15"/>
        <v>#N/A</v>
      </c>
      <c r="CF94" s="199" t="e">
        <f t="shared" si="16"/>
        <v>#N/A</v>
      </c>
      <c r="CG94" s="199" t="e">
        <f t="shared" si="17"/>
        <v>#N/A</v>
      </c>
      <c r="CH94" s="173" t="str">
        <f t="shared" si="18"/>
        <v/>
      </c>
      <c r="CI94" s="173" t="str">
        <f t="shared" si="19"/>
        <v/>
      </c>
      <c r="CJ94" s="92" t="str">
        <f t="shared" si="3"/>
        <v/>
      </c>
      <c r="CK94" s="196" t="e">
        <f t="shared" si="4"/>
        <v>#N/A</v>
      </c>
    </row>
    <row r="95" spans="2:89">
      <c r="BH95" s="171">
        <f xml:space="preserve"> IF(AND(SUM($BH$73:$BH94) = 0, BO95 &lt; $C$97), BO95, 0)</f>
        <v>0</v>
      </c>
      <c r="BI95" s="171">
        <f xml:space="preserve"> IF(AND(SUM($BI$73:$BI94) = 0, BU95 &lt; $C$97), BU95, 0)</f>
        <v>0</v>
      </c>
      <c r="BJ95" s="171"/>
      <c r="BK95" s="165">
        <v>32</v>
      </c>
      <c r="BL95" s="178">
        <v>0.72699999999999998</v>
      </c>
      <c r="BM95" s="162">
        <f t="shared" si="5"/>
        <v>4.6419474981052309</v>
      </c>
      <c r="BN95" s="166">
        <f t="shared" si="6"/>
        <v>9994.2662051536481</v>
      </c>
      <c r="BO95" s="166">
        <f t="shared" si="7"/>
        <v>4.6419474981052311E-2</v>
      </c>
      <c r="BP95" s="166">
        <f t="shared" si="8"/>
        <v>99.942662051536445</v>
      </c>
      <c r="BQ95" s="160"/>
      <c r="BR95" s="178">
        <v>4.6390000000000002</v>
      </c>
      <c r="BS95" s="162">
        <f t="shared" si="0"/>
        <v>21.803674343212904</v>
      </c>
      <c r="BT95" s="166">
        <f t="shared" si="9"/>
        <v>8643.8432045297195</v>
      </c>
      <c r="BU95" s="166">
        <f t="shared" si="10"/>
        <v>0.25073222565792208</v>
      </c>
      <c r="BV95" s="166">
        <f t="shared" si="11"/>
        <v>99.400220843258026</v>
      </c>
      <c r="BW95" s="160"/>
      <c r="BX95" s="166">
        <f t="shared" si="12"/>
        <v>1350.4230006239286</v>
      </c>
      <c r="BY95" s="166">
        <f t="shared" si="13"/>
        <v>15.622946514303418</v>
      </c>
      <c r="BZ95" s="171"/>
      <c r="CA95" s="171"/>
      <c r="CB95" s="171">
        <f t="shared" si="1"/>
        <v>0</v>
      </c>
      <c r="CC95" s="171">
        <f t="shared" si="2"/>
        <v>0</v>
      </c>
      <c r="CD95" s="199" t="e">
        <f t="shared" si="14"/>
        <v>#N/A</v>
      </c>
      <c r="CE95" s="199" t="e">
        <f t="shared" si="15"/>
        <v>#N/A</v>
      </c>
      <c r="CF95" s="199" t="e">
        <f t="shared" si="16"/>
        <v>#N/A</v>
      </c>
      <c r="CG95" s="199" t="e">
        <f t="shared" si="17"/>
        <v>#N/A</v>
      </c>
      <c r="CH95" s="173" t="str">
        <f t="shared" si="18"/>
        <v/>
      </c>
      <c r="CI95" s="173" t="str">
        <f t="shared" si="19"/>
        <v/>
      </c>
      <c r="CJ95" s="92" t="str">
        <f t="shared" si="3"/>
        <v/>
      </c>
      <c r="CK95" s="196" t="e">
        <f t="shared" si="4"/>
        <v>#N/A</v>
      </c>
    </row>
    <row r="96" spans="2:89">
      <c r="B96" s="189" t="s">
        <v>257</v>
      </c>
      <c r="BH96" s="171">
        <f xml:space="preserve"> IF(AND(SUM($BH$73:$BH95) = 0, BO96 &lt; $C$97), BO96, 0)</f>
        <v>0</v>
      </c>
      <c r="BI96" s="171">
        <f xml:space="preserve"> IF(AND(SUM($BI$73:$BI95) = 0, BU96 &lt; $C$97), BU96, 0)</f>
        <v>0</v>
      </c>
      <c r="BJ96" s="171"/>
      <c r="BK96" s="165">
        <v>33</v>
      </c>
      <c r="BL96" s="178">
        <v>0.41599999999999998</v>
      </c>
      <c r="BM96" s="162">
        <f t="shared" si="5"/>
        <v>2.6561900401812597</v>
      </c>
      <c r="BN96" s="166">
        <f t="shared" si="6"/>
        <v>9996.9223951938293</v>
      </c>
      <c r="BO96" s="166">
        <f t="shared" si="7"/>
        <v>2.6561900401812596E-2</v>
      </c>
      <c r="BP96" s="166">
        <f t="shared" si="8"/>
        <v>99.969223951938261</v>
      </c>
      <c r="BQ96" s="160"/>
      <c r="BR96" s="178">
        <v>3.5470000000000002</v>
      </c>
      <c r="BS96" s="162">
        <f t="shared" si="0"/>
        <v>16.671186224482902</v>
      </c>
      <c r="BT96" s="166">
        <f t="shared" si="9"/>
        <v>8660.5143907542024</v>
      </c>
      <c r="BU96" s="166">
        <f t="shared" si="10"/>
        <v>0.19171097314262767</v>
      </c>
      <c r="BV96" s="166">
        <f t="shared" si="11"/>
        <v>99.59193181640066</v>
      </c>
      <c r="BW96" s="160"/>
      <c r="BX96" s="166">
        <f t="shared" si="12"/>
        <v>1336.4080044396269</v>
      </c>
      <c r="BY96" s="166">
        <f t="shared" si="13"/>
        <v>15.431046519203873</v>
      </c>
      <c r="BZ96" s="171"/>
      <c r="CA96" s="171"/>
      <c r="CB96" s="171">
        <f t="shared" si="1"/>
        <v>0</v>
      </c>
      <c r="CC96" s="171">
        <f t="shared" si="2"/>
        <v>0</v>
      </c>
      <c r="CD96" s="199" t="e">
        <f t="shared" si="14"/>
        <v>#N/A</v>
      </c>
      <c r="CE96" s="199" t="e">
        <f t="shared" si="15"/>
        <v>#N/A</v>
      </c>
      <c r="CF96" s="199" t="e">
        <f t="shared" si="16"/>
        <v>#N/A</v>
      </c>
      <c r="CG96" s="199" t="e">
        <f t="shared" si="17"/>
        <v>#N/A</v>
      </c>
      <c r="CH96" s="173" t="str">
        <f t="shared" si="18"/>
        <v/>
      </c>
      <c r="CI96" s="173" t="str">
        <f t="shared" si="19"/>
        <v/>
      </c>
      <c r="CJ96" s="92" t="str">
        <f t="shared" si="3"/>
        <v/>
      </c>
      <c r="CK96" s="196" t="e">
        <f t="shared" si="4"/>
        <v>#N/A</v>
      </c>
    </row>
    <row r="97" spans="1:89">
      <c r="B97" s="190" t="s">
        <v>256</v>
      </c>
      <c r="C97" s="787"/>
      <c r="D97" s="788"/>
      <c r="F97" s="107"/>
      <c r="J97" s="201" t="s">
        <v>268</v>
      </c>
      <c r="BH97" s="171">
        <f xml:space="preserve"> IF(AND(SUM($BH$73:$BH96) = 0, BO97 &lt; $C$97), BO97, 0)</f>
        <v>0</v>
      </c>
      <c r="BI97" s="171">
        <f xml:space="preserve"> IF(AND(SUM($BI$73:$BI96) = 0, BU97 &lt; $C$97), BU97, 0)</f>
        <v>0</v>
      </c>
      <c r="BJ97" s="171"/>
      <c r="BK97" s="165">
        <v>34</v>
      </c>
      <c r="BL97" s="178">
        <v>0.17199999999999999</v>
      </c>
      <c r="BM97" s="162">
        <f t="shared" si="5"/>
        <v>1.0982324204595593</v>
      </c>
      <c r="BN97" s="166">
        <f t="shared" si="6"/>
        <v>9998.020627614289</v>
      </c>
      <c r="BO97" s="166">
        <f t="shared" si="7"/>
        <v>1.0982324204595594E-2</v>
      </c>
      <c r="BP97" s="166">
        <f t="shared" si="8"/>
        <v>99.980206276142852</v>
      </c>
      <c r="BQ97" s="160"/>
      <c r="BR97" s="178">
        <v>2.6379999999999999</v>
      </c>
      <c r="BS97" s="162">
        <f t="shared" si="0"/>
        <v>12.398812872902703</v>
      </c>
      <c r="BT97" s="166">
        <f t="shared" si="9"/>
        <v>8672.9132036271058</v>
      </c>
      <c r="BU97" s="166">
        <f t="shared" si="10"/>
        <v>0.14258064481258859</v>
      </c>
      <c r="BV97" s="166">
        <f t="shared" si="11"/>
        <v>99.734512461213242</v>
      </c>
      <c r="BW97" s="160"/>
      <c r="BX97" s="166">
        <f t="shared" si="12"/>
        <v>1325.1074239871832</v>
      </c>
      <c r="BY97" s="166">
        <f t="shared" si="13"/>
        <v>15.278688865847394</v>
      </c>
      <c r="BZ97" s="171"/>
      <c r="CA97" s="171"/>
      <c r="CB97" s="171">
        <f t="shared" si="1"/>
        <v>0</v>
      </c>
      <c r="CC97" s="171">
        <f t="shared" si="2"/>
        <v>0</v>
      </c>
      <c r="CD97" s="199" t="e">
        <f t="shared" si="14"/>
        <v>#N/A</v>
      </c>
      <c r="CE97" s="199" t="e">
        <f t="shared" si="15"/>
        <v>#N/A</v>
      </c>
      <c r="CF97" s="199" t="e">
        <f t="shared" si="16"/>
        <v>#N/A</v>
      </c>
      <c r="CG97" s="199" t="e">
        <f t="shared" si="17"/>
        <v>#N/A</v>
      </c>
      <c r="CH97" s="173" t="str">
        <f t="shared" si="18"/>
        <v/>
      </c>
      <c r="CI97" s="173" t="str">
        <f t="shared" si="19"/>
        <v/>
      </c>
      <c r="CJ97" s="92" t="str">
        <f t="shared" si="3"/>
        <v/>
      </c>
      <c r="CK97" s="196" t="e">
        <f t="shared" si="4"/>
        <v>#N/A</v>
      </c>
    </row>
    <row r="98" spans="1:89">
      <c r="C98" s="785" t="s">
        <v>16</v>
      </c>
      <c r="D98" s="786"/>
      <c r="E98" s="150"/>
      <c r="F98" s="149" t="s">
        <v>215</v>
      </c>
      <c r="G98" s="104"/>
      <c r="J98" s="202" t="s">
        <v>266</v>
      </c>
      <c r="K98" s="203"/>
      <c r="L98" s="204"/>
      <c r="M98" s="206"/>
      <c r="N98" s="240" t="s">
        <v>290</v>
      </c>
      <c r="BH98" s="171">
        <f xml:space="preserve"> IF(AND(SUM($BH$73:$BH97) = 0, BO98 &lt; $C$97), BO98, 0)</f>
        <v>0</v>
      </c>
      <c r="BI98" s="171">
        <f xml:space="preserve"> IF(AND(SUM($BI$73:$BI97) = 0, BU98 &lt; $C$97), BU98, 0)</f>
        <v>0</v>
      </c>
      <c r="BJ98" s="171"/>
      <c r="BK98" s="165">
        <v>35</v>
      </c>
      <c r="BL98" s="178">
        <v>0.1</v>
      </c>
      <c r="BM98" s="162">
        <f t="shared" si="5"/>
        <v>0.63850722119741832</v>
      </c>
      <c r="BN98" s="166">
        <f t="shared" si="6"/>
        <v>9998.6591348354868</v>
      </c>
      <c r="BO98" s="166">
        <f t="shared" si="7"/>
        <v>6.3850722119741833E-3</v>
      </c>
      <c r="BP98" s="166">
        <f t="shared" si="8"/>
        <v>99.986591348354821</v>
      </c>
      <c r="BQ98" s="160"/>
      <c r="BR98" s="178">
        <v>1.889</v>
      </c>
      <c r="BS98" s="162">
        <f t="shared" si="0"/>
        <v>8.8784524324917395</v>
      </c>
      <c r="BT98" s="166">
        <f t="shared" si="9"/>
        <v>8681.7916560595968</v>
      </c>
      <c r="BU98" s="166">
        <f t="shared" si="10"/>
        <v>0.10209811904889304</v>
      </c>
      <c r="BV98" s="166">
        <f t="shared" si="11"/>
        <v>99.836610580262132</v>
      </c>
      <c r="BW98" s="160"/>
      <c r="BX98" s="166">
        <f t="shared" si="12"/>
        <v>1316.86747877589</v>
      </c>
      <c r="BY98" s="166">
        <f t="shared" si="13"/>
        <v>15.168153428984454</v>
      </c>
      <c r="BZ98" s="171"/>
      <c r="CA98" s="171"/>
      <c r="CB98" s="171">
        <f t="shared" si="1"/>
        <v>0</v>
      </c>
      <c r="CC98" s="171">
        <f t="shared" si="2"/>
        <v>0</v>
      </c>
      <c r="CD98" s="199" t="e">
        <f t="shared" si="14"/>
        <v>#N/A</v>
      </c>
      <c r="CE98" s="199" t="e">
        <f t="shared" si="15"/>
        <v>#N/A</v>
      </c>
      <c r="CF98" s="199" t="e">
        <f t="shared" si="16"/>
        <v>#N/A</v>
      </c>
      <c r="CG98" s="199" t="e">
        <f t="shared" si="17"/>
        <v>#N/A</v>
      </c>
      <c r="CH98" s="173" t="str">
        <f t="shared" si="18"/>
        <v/>
      </c>
      <c r="CI98" s="173" t="str">
        <f t="shared" si="19"/>
        <v/>
      </c>
      <c r="CJ98" s="92" t="str">
        <f t="shared" si="3"/>
        <v/>
      </c>
      <c r="CK98" s="196" t="e">
        <f t="shared" si="4"/>
        <v>#N/A</v>
      </c>
    </row>
    <row r="99" spans="1:89">
      <c r="C99" s="116"/>
      <c r="D99" s="151" t="str">
        <f ca="1" xml:space="preserve"> TEXT(SUMIF(BH74:BH103, "&gt; 0", BK74:BK103), fmt_dec_0) &amp; " (" &amp; TEXT(SUM(BH74:BH103), fmt_dec_2) &amp; "%, " &amp; TEXT(SUMIF(BH74:BH103, "&gt; 0", BM74:BM103), fmt_dec_1) &amp; " m³)"</f>
        <v>0 (0.00%, 0.0 m³)</v>
      </c>
      <c r="E99" s="152"/>
      <c r="F99" s="151" t="str">
        <f ca="1" xml:space="preserve"> TEXT(SUMIF(BI74:BI103, "&gt; 0", BK74:BK103), fmt_dec_0) &amp; " (" &amp; TEXT(SUM(BI74:BI103), fmt_dec_2) &amp; "%, " &amp; TEXT(SUMIF(BI74:BI103, "&gt; 0", BS74:BS103), fmt_dec_1) &amp; " m³)"</f>
        <v>0 (0.00%, 0.0 m³)</v>
      </c>
      <c r="J99" s="223" t="s">
        <v>285</v>
      </c>
      <c r="K99" s="116"/>
      <c r="L99" s="191"/>
      <c r="M99" s="205"/>
      <c r="N99" s="240" t="s">
        <v>291</v>
      </c>
      <c r="BH99" s="171">
        <f xml:space="preserve"> IF(AND(SUM($BH$73:$BH98) = 0, BO99 &lt; $C$97), BO99, 0)</f>
        <v>0</v>
      </c>
      <c r="BI99" s="171">
        <f xml:space="preserve"> IF(AND(SUM($BI$73:$BI98) = 0, BU99 &lt; $C$97), BU99, 0)</f>
        <v>0</v>
      </c>
      <c r="BJ99" s="171"/>
      <c r="BK99" s="165">
        <v>36</v>
      </c>
      <c r="BL99" s="178">
        <v>0.08</v>
      </c>
      <c r="BM99" s="162">
        <f t="shared" si="5"/>
        <v>0.51080577695793461</v>
      </c>
      <c r="BN99" s="166">
        <f t="shared" si="6"/>
        <v>9999.1699406124444</v>
      </c>
      <c r="BO99" s="166">
        <f t="shared" si="7"/>
        <v>5.1080577695793465E-3</v>
      </c>
      <c r="BP99" s="166">
        <f t="shared" si="8"/>
        <v>99.991699406124397</v>
      </c>
      <c r="BQ99" s="160"/>
      <c r="BR99" s="178">
        <v>1.286</v>
      </c>
      <c r="BS99" s="162">
        <f t="shared" si="0"/>
        <v>6.0443037735226977</v>
      </c>
      <c r="BT99" s="166">
        <f t="shared" si="9"/>
        <v>8687.835959833119</v>
      </c>
      <c r="BU99" s="166">
        <f t="shared" si="10"/>
        <v>6.9506713126985947E-2</v>
      </c>
      <c r="BV99" s="166">
        <f t="shared" si="11"/>
        <v>99.906117293389116</v>
      </c>
      <c r="BW99" s="160"/>
      <c r="BX99" s="166">
        <f t="shared" si="12"/>
        <v>1311.3339807793254</v>
      </c>
      <c r="BY99" s="166">
        <f t="shared" si="13"/>
        <v>15.093908158971663</v>
      </c>
      <c r="BZ99" s="171"/>
      <c r="CA99" s="171"/>
      <c r="CB99" s="171">
        <f t="shared" si="1"/>
        <v>0</v>
      </c>
      <c r="CC99" s="171">
        <f t="shared" si="2"/>
        <v>0</v>
      </c>
      <c r="CD99" s="199" t="e">
        <f t="shared" si="14"/>
        <v>#N/A</v>
      </c>
      <c r="CE99" s="199" t="e">
        <f t="shared" si="15"/>
        <v>#N/A</v>
      </c>
      <c r="CF99" s="199" t="e">
        <f t="shared" si="16"/>
        <v>#N/A</v>
      </c>
      <c r="CG99" s="199" t="e">
        <f t="shared" si="17"/>
        <v>#N/A</v>
      </c>
      <c r="CH99" s="173" t="str">
        <f t="shared" si="18"/>
        <v/>
      </c>
      <c r="CI99" s="173" t="str">
        <f t="shared" si="19"/>
        <v/>
      </c>
      <c r="CJ99" s="92" t="str">
        <f t="shared" si="3"/>
        <v/>
      </c>
      <c r="CK99" s="196" t="e">
        <f t="shared" si="4"/>
        <v>#N/A</v>
      </c>
    </row>
    <row r="100" spans="1:89">
      <c r="M100" s="200"/>
      <c r="BD100" s="122"/>
      <c r="BH100" s="171">
        <f xml:space="preserve"> IF(AND(SUM($BH$73:$BH99) = 0, BO100 &lt; $C$97), BO100, 0)</f>
        <v>0</v>
      </c>
      <c r="BI100" s="171">
        <f xml:space="preserve"> IF(AND(SUM($BI$73:$BI99) = 0, BU100 &lt; $C$97), BU100, 0)</f>
        <v>0</v>
      </c>
      <c r="BJ100" s="171"/>
      <c r="BK100" s="165">
        <v>37</v>
      </c>
      <c r="BL100" s="178">
        <v>0.06</v>
      </c>
      <c r="BM100" s="162">
        <f t="shared" si="5"/>
        <v>0.3831043327184509</v>
      </c>
      <c r="BN100" s="166">
        <f t="shared" si="6"/>
        <v>9999.5530449451635</v>
      </c>
      <c r="BO100" s="166">
        <f t="shared" si="7"/>
        <v>3.8310433271845088E-3</v>
      </c>
      <c r="BP100" s="166">
        <f t="shared" si="8"/>
        <v>99.995530449451579</v>
      </c>
      <c r="BQ100" s="160"/>
      <c r="BR100" s="178">
        <v>0.81699999999999995</v>
      </c>
      <c r="BS100" s="162">
        <f t="shared" si="0"/>
        <v>3.8399659276578877</v>
      </c>
      <c r="BT100" s="166">
        <f t="shared" si="9"/>
        <v>8691.6759257607773</v>
      </c>
      <c r="BU100" s="166">
        <f t="shared" si="10"/>
        <v>4.4157841854391533E-2</v>
      </c>
      <c r="BV100" s="166">
        <f t="shared" si="11"/>
        <v>99.950275135243501</v>
      </c>
      <c r="BW100" s="160"/>
      <c r="BX100" s="166">
        <f t="shared" si="12"/>
        <v>1307.8771191843862</v>
      </c>
      <c r="BY100" s="166">
        <f t="shared" si="13"/>
        <v>15.047467604125018</v>
      </c>
      <c r="BZ100" s="171"/>
      <c r="CA100" s="171"/>
      <c r="CB100" s="171">
        <f t="shared" si="1"/>
        <v>0</v>
      </c>
      <c r="CC100" s="171">
        <f t="shared" si="2"/>
        <v>0</v>
      </c>
      <c r="CD100" s="199" t="e">
        <f t="shared" si="14"/>
        <v>#N/A</v>
      </c>
      <c r="CE100" s="199" t="e">
        <f t="shared" si="15"/>
        <v>#N/A</v>
      </c>
      <c r="CF100" s="199" t="e">
        <f t="shared" si="16"/>
        <v>#N/A</v>
      </c>
      <c r="CG100" s="199" t="e">
        <f t="shared" si="17"/>
        <v>#N/A</v>
      </c>
      <c r="CH100" s="173" t="str">
        <f t="shared" si="18"/>
        <v/>
      </c>
      <c r="CI100" s="173" t="str">
        <f t="shared" si="19"/>
        <v/>
      </c>
      <c r="CJ100" s="92" t="str">
        <f t="shared" si="3"/>
        <v/>
      </c>
      <c r="CK100" s="196" t="e">
        <f t="shared" si="4"/>
        <v>#N/A</v>
      </c>
    </row>
    <row r="101" spans="1:89">
      <c r="B101" s="183" t="str">
        <f ca="1" xml:space="preserve"> "The calculation shows that with SBGx a recovery rate of " &amp; TEXT(BI66, fmt_dec_1) &amp; "% is reached on day " &amp; TEXT(D91, fmt_dec_0) &amp; ", while " &amp; TEXT(F91, fmt_dec_0) &amp; " days are needed with the Standard additive."</f>
        <v>The calculation shows that with SBGx a recovery rate of 95.0% is reached on day 19, while 25 days are needed with the Standard additive.</v>
      </c>
      <c r="BH101" s="171">
        <f xml:space="preserve"> IF(AND(SUM($BH$73:$BH100) = 0, BO101 &lt; $C$97), BO101, 0)</f>
        <v>0</v>
      </c>
      <c r="BI101" s="171">
        <f xml:space="preserve"> IF(AND(SUM($BI$73:$BI100) = 0, BU101 &lt; $C$97), BU101, 0)</f>
        <v>0</v>
      </c>
      <c r="BJ101" s="171"/>
      <c r="BK101" s="165">
        <v>38</v>
      </c>
      <c r="BL101" s="178">
        <v>0.04</v>
      </c>
      <c r="BM101" s="162">
        <f t="shared" si="5"/>
        <v>0.2554028884789673</v>
      </c>
      <c r="BN101" s="166">
        <f t="shared" si="6"/>
        <v>9999.8084478336423</v>
      </c>
      <c r="BO101" s="166">
        <f t="shared" si="7"/>
        <v>2.5540288847896732E-3</v>
      </c>
      <c r="BP101" s="166">
        <f t="shared" si="8"/>
        <v>99.998084478336366</v>
      </c>
      <c r="BQ101" s="160"/>
      <c r="BR101" s="178">
        <v>0.47599999999999998</v>
      </c>
      <c r="BS101" s="162">
        <f t="shared" si="0"/>
        <v>2.2372384107284637</v>
      </c>
      <c r="BT101" s="166">
        <f t="shared" si="9"/>
        <v>8693.9131641715067</v>
      </c>
      <c r="BU101" s="166">
        <f t="shared" si="10"/>
        <v>2.5727212634871936E-2</v>
      </c>
      <c r="BV101" s="166">
        <f t="shared" si="11"/>
        <v>99.976002347878378</v>
      </c>
      <c r="BW101" s="160"/>
      <c r="BX101" s="166">
        <f t="shared" si="12"/>
        <v>1305.8952836621356</v>
      </c>
      <c r="BY101" s="166">
        <f t="shared" si="13"/>
        <v>15.02079971357273</v>
      </c>
      <c r="BZ101" s="171"/>
      <c r="CA101" s="171"/>
      <c r="CB101" s="171">
        <f t="shared" si="1"/>
        <v>0</v>
      </c>
      <c r="CC101" s="171">
        <f t="shared" si="2"/>
        <v>0</v>
      </c>
      <c r="CD101" s="199" t="e">
        <f t="shared" si="14"/>
        <v>#N/A</v>
      </c>
      <c r="CE101" s="199" t="e">
        <f xml:space="preserve"> IF(BK101 = $D$91, BT101, NA())</f>
        <v>#N/A</v>
      </c>
      <c r="CF101" s="199" t="e">
        <f t="shared" si="16"/>
        <v>#N/A</v>
      </c>
      <c r="CG101" s="199" t="e">
        <f t="shared" si="17"/>
        <v>#N/A</v>
      </c>
      <c r="CH101" s="173" t="str">
        <f t="shared" si="18"/>
        <v/>
      </c>
      <c r="CI101" s="173" t="str">
        <f t="shared" si="19"/>
        <v/>
      </c>
      <c r="CJ101" s="92" t="str">
        <f t="shared" si="3"/>
        <v/>
      </c>
      <c r="CK101" s="196" t="e">
        <f t="shared" si="4"/>
        <v>#N/A</v>
      </c>
    </row>
    <row r="102" spans="1:89">
      <c r="B102" s="125" t="str">
        <f ca="1" xml:space="preserve"> "The performance advantage of SBGx, compared to the Standard additive, is " &amp; TEXT(LOOKUP(D91, BK63:BK103, BY63:BY103) / 100, fmt_pct_1) &amp; " on day " &amp; TEXT(D91, fmt_dec_0) &amp; ", on day " &amp; TEXT(F91, fmt_dec_0) &amp; " it is significantly lower, but still " &amp; TEXT(LOOKUP(F91, BK63:BK103, BY63:BY103) / 100, fmt_pct_1) &amp; "."</f>
        <v>The performance advantage of SBGx, compared to the Standard additive, is 31.1% on day 19, on day 25 it is significantly lower, but still 19.0%.</v>
      </c>
      <c r="BH102" s="171">
        <f xml:space="preserve"> IF(AND(SUM($BH$73:$BH101) = 0, BO102 &lt; $C$97), BO102, 0)</f>
        <v>0</v>
      </c>
      <c r="BI102" s="171">
        <f xml:space="preserve"> IF(AND(SUM($BI$73:$BI101) = 0, BU102 &lt; $C$97), BU102, 0)</f>
        <v>0</v>
      </c>
      <c r="BJ102" s="171"/>
      <c r="BK102" s="165">
        <v>39</v>
      </c>
      <c r="BL102" s="178">
        <v>0.02</v>
      </c>
      <c r="BM102" s="162">
        <f t="shared" si="5"/>
        <v>0.12770144423948365</v>
      </c>
      <c r="BN102" s="166">
        <f t="shared" si="6"/>
        <v>9999.9361492778826</v>
      </c>
      <c r="BO102" s="166">
        <f t="shared" si="7"/>
        <v>1.2770144423948366E-3</v>
      </c>
      <c r="BP102" s="166">
        <f t="shared" si="8"/>
        <v>99.99936149277876</v>
      </c>
      <c r="BQ102" s="160"/>
      <c r="BR102" s="178">
        <v>0.26200000000000001</v>
      </c>
      <c r="BS102" s="162">
        <f t="shared" si="0"/>
        <v>1.2314211420396166</v>
      </c>
      <c r="BT102" s="166">
        <f t="shared" si="9"/>
        <v>8695.1445853135465</v>
      </c>
      <c r="BU102" s="166">
        <f t="shared" si="10"/>
        <v>1.4160776702387495E-2</v>
      </c>
      <c r="BV102" s="166">
        <f t="shared" si="11"/>
        <v>99.990163124580761</v>
      </c>
      <c r="BW102" s="160"/>
      <c r="BX102" s="166">
        <f t="shared" si="12"/>
        <v>1304.7915639643361</v>
      </c>
      <c r="BY102" s="166">
        <f t="shared" si="13"/>
        <v>15.005978924929922</v>
      </c>
      <c r="BZ102" s="171"/>
      <c r="CA102" s="171"/>
      <c r="CB102" s="171">
        <f t="shared" si="1"/>
        <v>0</v>
      </c>
      <c r="CC102" s="171">
        <f t="shared" si="2"/>
        <v>0</v>
      </c>
      <c r="CD102" s="199" t="e">
        <f t="shared" si="14"/>
        <v>#N/A</v>
      </c>
      <c r="CE102" s="199" t="e">
        <f t="shared" si="15"/>
        <v>#N/A</v>
      </c>
      <c r="CF102" s="199" t="e">
        <f t="shared" si="16"/>
        <v>#N/A</v>
      </c>
      <c r="CG102" s="199" t="e">
        <f t="shared" si="17"/>
        <v>#N/A</v>
      </c>
      <c r="CH102" s="173" t="str">
        <f t="shared" si="18"/>
        <v/>
      </c>
      <c r="CI102" s="173" t="str">
        <f t="shared" si="19"/>
        <v/>
      </c>
      <c r="CJ102" s="92" t="str">
        <f t="shared" si="3"/>
        <v/>
      </c>
      <c r="CK102" s="196" t="e">
        <f t="shared" si="4"/>
        <v>#N/A</v>
      </c>
    </row>
    <row r="103" spans="1:89">
      <c r="BH103" s="171">
        <f xml:space="preserve"> IF(AND(SUM($BH$73:$BH102) = 0, BO103 &lt; $C$97), BO103, 0)</f>
        <v>0</v>
      </c>
      <c r="BI103" s="171">
        <f xml:space="preserve"> IF(AND(SUM($BI$73:$BI102) = 0, BU103 &lt; $C$97), BU103, 0)</f>
        <v>0</v>
      </c>
      <c r="BJ103" s="171"/>
      <c r="BK103" s="167">
        <v>40</v>
      </c>
      <c r="BL103" s="180">
        <v>0.01</v>
      </c>
      <c r="BM103" s="163">
        <f t="shared" si="5"/>
        <v>6.3850722119741826E-2</v>
      </c>
      <c r="BN103" s="168">
        <f t="shared" si="6"/>
        <v>10000.000000000002</v>
      </c>
      <c r="BO103" s="168">
        <f t="shared" si="7"/>
        <v>6.3850722119741831E-4</v>
      </c>
      <c r="BP103" s="168">
        <f t="shared" si="8"/>
        <v>99.999999999999957</v>
      </c>
      <c r="BQ103" s="169"/>
      <c r="BR103" s="180">
        <v>0.182</v>
      </c>
      <c r="BS103" s="163">
        <f t="shared" si="0"/>
        <v>0.85541468645500074</v>
      </c>
      <c r="BT103" s="168">
        <f t="shared" si="9"/>
        <v>8696.0000000000018</v>
      </c>
      <c r="BU103" s="168">
        <f t="shared" si="10"/>
        <v>9.8368754192157386E-3</v>
      </c>
      <c r="BV103" s="168">
        <f t="shared" si="11"/>
        <v>99.999999999999972</v>
      </c>
      <c r="BW103" s="169"/>
      <c r="BX103" s="168">
        <f t="shared" si="12"/>
        <v>1304</v>
      </c>
      <c r="BY103" s="168">
        <f t="shared" si="13"/>
        <v>14.995400183992638</v>
      </c>
      <c r="BZ103" s="171"/>
      <c r="CA103" s="171"/>
      <c r="CB103" s="171">
        <f t="shared" si="1"/>
        <v>0</v>
      </c>
      <c r="CC103" s="171">
        <f t="shared" si="2"/>
        <v>0</v>
      </c>
      <c r="CD103" s="199" t="e">
        <f t="shared" si="14"/>
        <v>#N/A</v>
      </c>
      <c r="CE103" s="199" t="e">
        <f t="shared" si="15"/>
        <v>#N/A</v>
      </c>
      <c r="CF103" s="199" t="e">
        <f t="shared" si="16"/>
        <v>#N/A</v>
      </c>
      <c r="CG103" s="199" t="e">
        <f t="shared" si="17"/>
        <v>#N/A</v>
      </c>
      <c r="CH103" s="173" t="str">
        <f t="shared" si="18"/>
        <v/>
      </c>
      <c r="CI103" s="173" t="str">
        <f t="shared" si="19"/>
        <v/>
      </c>
      <c r="CJ103" s="92" t="str">
        <f xml:space="preserve"> IF(BK103 = $BI$68, "Day " &amp; BK103 &amp; ": " &amp; TEXT(BN103, "#,##0.0") &amp; " m³ (" &amp; TEXT(BP103, "0.0") &amp; "%)
TGP(Standard) surpassed", "")</f>
        <v/>
      </c>
      <c r="CK103" s="196">
        <f t="shared" si="4"/>
        <v>8813.1172369493925</v>
      </c>
    </row>
    <row r="104" spans="1:89">
      <c r="B104" s="187" t="s">
        <v>248</v>
      </c>
      <c r="BH104" s="171"/>
      <c r="BI104" s="171"/>
      <c r="BJ104" s="171"/>
      <c r="BK104" s="170"/>
      <c r="BL104" s="182">
        <f xml:space="preserve"> SUM(BL64:BL103)</f>
        <v>1566.1529999999998</v>
      </c>
      <c r="BM104" s="162">
        <f xml:space="preserve"> BI62</f>
        <v>10000</v>
      </c>
      <c r="BN104" s="170"/>
      <c r="BO104" s="160"/>
      <c r="BP104" s="160"/>
      <c r="BQ104" s="160"/>
      <c r="BR104" s="166">
        <f xml:space="preserve"> SUM(BR64:BR103)</f>
        <v>1850.1810000000003</v>
      </c>
      <c r="BS104" s="162">
        <f xml:space="preserve"> ROUND(BM104 / (1 + BI64 / 100), 0)</f>
        <v>8696</v>
      </c>
      <c r="BT104" s="160"/>
      <c r="BU104" s="160"/>
      <c r="BV104" s="160"/>
      <c r="BW104" s="160"/>
      <c r="BX104" s="160"/>
      <c r="BY104" s="160"/>
      <c r="BZ104" s="175"/>
      <c r="CA104" s="171"/>
      <c r="CB104" s="171"/>
      <c r="CC104" s="171"/>
      <c r="CD104" s="171"/>
      <c r="CE104" s="171"/>
      <c r="CF104" s="171"/>
      <c r="CG104" s="171"/>
      <c r="CH104" s="171"/>
      <c r="CI104" s="171"/>
    </row>
    <row r="105" spans="1:89">
      <c r="B105" s="183" t="s">
        <v>243</v>
      </c>
      <c r="C105" s="112"/>
      <c r="D105" s="113"/>
      <c r="E105" s="112"/>
      <c r="F105" s="93"/>
      <c r="BH105" s="171"/>
      <c r="BI105" s="171"/>
      <c r="BJ105" s="171"/>
      <c r="BK105" s="171"/>
      <c r="BL105" s="179"/>
      <c r="BM105" s="181"/>
      <c r="BN105" s="171"/>
      <c r="BO105" s="171"/>
      <c r="BP105" s="171"/>
      <c r="BQ105" s="171"/>
      <c r="BR105" s="171"/>
      <c r="BS105" s="181"/>
      <c r="BT105" s="171"/>
      <c r="BU105" s="171"/>
      <c r="BV105" s="171"/>
      <c r="BW105" s="171"/>
      <c r="BX105" s="171"/>
      <c r="BY105" s="171"/>
      <c r="BZ105" s="171"/>
      <c r="CA105" s="171"/>
      <c r="CB105" s="171"/>
      <c r="CC105" s="171"/>
      <c r="CD105" s="171"/>
      <c r="CE105" s="171"/>
      <c r="CF105" s="171"/>
      <c r="CG105" s="171"/>
      <c r="CH105" s="171"/>
      <c r="CI105" s="171"/>
    </row>
    <row r="106" spans="1:89">
      <c r="B106" s="111" t="s">
        <v>244</v>
      </c>
      <c r="BH106" s="171"/>
      <c r="BI106" s="171"/>
      <c r="BJ106" s="171"/>
      <c r="BK106" s="171"/>
      <c r="BL106" s="179"/>
      <c r="BM106" s="171"/>
      <c r="BN106" s="171"/>
      <c r="BO106" s="171"/>
      <c r="BP106" s="171"/>
      <c r="BQ106" s="171"/>
      <c r="BR106" s="186"/>
      <c r="BS106" s="171"/>
      <c r="BT106" s="171"/>
      <c r="BU106" s="171"/>
      <c r="BV106" s="171"/>
      <c r="BW106" s="171"/>
      <c r="BX106" s="171"/>
      <c r="BY106" s="171"/>
      <c r="BZ106" s="171"/>
      <c r="CA106" s="171"/>
      <c r="CB106" s="171"/>
      <c r="CC106" s="171"/>
      <c r="CD106" s="171"/>
      <c r="CE106" s="171"/>
      <c r="CF106" s="171"/>
      <c r="CG106" s="171"/>
      <c r="CH106" s="171"/>
      <c r="CI106" s="171"/>
    </row>
    <row r="107" spans="1:89">
      <c r="BH107" s="159"/>
      <c r="BI107" s="159"/>
      <c r="BJ107" s="159"/>
      <c r="BK107" s="159"/>
      <c r="BL107" s="159"/>
      <c r="BM107" s="159"/>
      <c r="BN107" s="159"/>
      <c r="BO107" s="159"/>
      <c r="BP107" s="159"/>
      <c r="BQ107" s="159"/>
      <c r="BR107" s="186"/>
      <c r="BS107" s="159"/>
      <c r="BT107" s="159"/>
      <c r="BU107" s="159"/>
      <c r="BV107" s="159"/>
      <c r="BW107" s="159"/>
      <c r="BX107" s="159"/>
      <c r="BY107" s="159"/>
      <c r="BZ107" s="159"/>
      <c r="CA107" s="159"/>
      <c r="CB107" s="159"/>
      <c r="CC107" s="159"/>
      <c r="CD107" s="159"/>
      <c r="CE107" s="159"/>
      <c r="CF107" s="159"/>
      <c r="CG107" s="159"/>
      <c r="CH107" s="159"/>
      <c r="CI107" s="159"/>
    </row>
    <row r="108" spans="1:89" s="76" customFormat="1">
      <c r="A108" s="89"/>
      <c r="B108" s="126" t="s">
        <v>284</v>
      </c>
      <c r="C108" s="232"/>
      <c r="D108" s="232"/>
      <c r="E108" s="232"/>
      <c r="F108" s="232"/>
      <c r="G108" s="232"/>
      <c r="H108" s="232"/>
      <c r="I108" s="232"/>
      <c r="J108" s="232"/>
      <c r="K108" s="232"/>
      <c r="L108" s="232"/>
      <c r="M108" s="232"/>
      <c r="N108" s="232"/>
      <c r="O108" s="232"/>
      <c r="P108" s="232"/>
      <c r="Q108" s="232"/>
      <c r="R108" s="89"/>
      <c r="S108" s="89"/>
      <c r="T108" s="89"/>
      <c r="BR108" s="186"/>
    </row>
    <row r="109" spans="1:89" s="76" customFormat="1">
      <c r="A109" s="89"/>
      <c r="B109" s="232" t="s">
        <v>224</v>
      </c>
      <c r="C109" s="232"/>
      <c r="D109" s="232"/>
      <c r="E109" s="232"/>
      <c r="F109" s="232"/>
      <c r="G109" s="232"/>
      <c r="H109" s="232"/>
      <c r="I109" s="232"/>
      <c r="J109" s="232"/>
      <c r="K109" s="232"/>
      <c r="L109" s="232"/>
      <c r="M109" s="232"/>
      <c r="N109" s="232"/>
      <c r="O109" s="232"/>
      <c r="P109" s="232"/>
      <c r="Q109" s="232"/>
      <c r="R109" s="89"/>
      <c r="S109" s="89"/>
      <c r="BR109" s="186"/>
    </row>
    <row r="110" spans="1:89" s="76" customFormat="1">
      <c r="A110" s="89"/>
      <c r="B110" s="232" t="s">
        <v>229</v>
      </c>
      <c r="C110" s="232"/>
      <c r="D110" s="232"/>
      <c r="E110" s="232"/>
      <c r="F110" s="232"/>
      <c r="G110" s="232"/>
      <c r="H110" s="232"/>
      <c r="I110" s="232"/>
      <c r="J110" s="232"/>
      <c r="K110" s="232"/>
      <c r="L110" s="232"/>
      <c r="M110" s="232"/>
      <c r="N110" s="232"/>
      <c r="O110" s="232"/>
      <c r="P110" s="232"/>
      <c r="Q110" s="232"/>
      <c r="BR110" s="186"/>
    </row>
    <row r="111" spans="1:89" s="76" customFormat="1">
      <c r="A111" s="89"/>
      <c r="B111" s="232"/>
      <c r="C111" s="232"/>
      <c r="D111" s="232"/>
      <c r="E111" s="232"/>
      <c r="F111" s="232"/>
      <c r="G111" s="232"/>
      <c r="H111" s="232"/>
      <c r="I111" s="232"/>
      <c r="J111" s="232"/>
      <c r="K111" s="232"/>
      <c r="L111" s="232"/>
      <c r="M111" s="232"/>
      <c r="N111" s="232"/>
      <c r="O111" s="232"/>
      <c r="P111" s="232"/>
      <c r="Q111" s="232"/>
      <c r="BR111" s="186"/>
    </row>
    <row r="112" spans="1:89" s="76" customFormat="1">
      <c r="A112" s="89"/>
      <c r="B112" s="232" t="s">
        <v>221</v>
      </c>
      <c r="C112" s="232"/>
      <c r="D112" s="232"/>
      <c r="E112" s="232"/>
      <c r="F112" s="232"/>
      <c r="G112" s="232"/>
      <c r="H112" s="232"/>
      <c r="I112" s="232"/>
      <c r="J112" s="232"/>
      <c r="K112" s="232"/>
      <c r="L112" s="232"/>
      <c r="M112" s="232"/>
      <c r="N112" s="232"/>
      <c r="O112" s="232"/>
      <c r="P112" s="232"/>
      <c r="Q112" s="232"/>
      <c r="BR112" s="186"/>
    </row>
    <row r="113" spans="1:70" s="76" customFormat="1">
      <c r="A113" s="89"/>
      <c r="B113" s="232" t="s">
        <v>249</v>
      </c>
      <c r="C113" s="232"/>
      <c r="D113" s="232"/>
      <c r="E113" s="232"/>
      <c r="F113" s="232"/>
      <c r="G113" s="232"/>
      <c r="H113" s="232"/>
      <c r="I113" s="232"/>
      <c r="J113" s="232"/>
      <c r="K113" s="232"/>
      <c r="L113" s="232"/>
      <c r="M113" s="232"/>
      <c r="N113" s="232"/>
      <c r="O113" s="232"/>
      <c r="P113" s="232"/>
      <c r="Q113" s="232"/>
      <c r="BR113" s="186"/>
    </row>
    <row r="114" spans="1:70" s="76" customFormat="1">
      <c r="A114" s="89"/>
      <c r="B114" s="232" t="s">
        <v>225</v>
      </c>
      <c r="C114" s="232"/>
      <c r="D114" s="232"/>
      <c r="E114" s="232"/>
      <c r="F114" s="232"/>
      <c r="G114" s="232"/>
      <c r="H114" s="232"/>
      <c r="I114" s="232"/>
      <c r="J114" s="232"/>
      <c r="K114" s="232"/>
      <c r="L114" s="232"/>
      <c r="M114" s="232"/>
      <c r="N114" s="232"/>
      <c r="O114" s="232"/>
      <c r="P114" s="232"/>
      <c r="Q114" s="232"/>
      <c r="BR114" s="186"/>
    </row>
    <row r="115" spans="1:70" s="76" customFormat="1">
      <c r="B115" s="232" t="s">
        <v>230</v>
      </c>
      <c r="C115" s="232"/>
      <c r="D115" s="232"/>
      <c r="E115" s="232"/>
      <c r="F115" s="232"/>
      <c r="G115" s="232"/>
      <c r="H115" s="232"/>
      <c r="I115" s="232"/>
      <c r="J115" s="232"/>
      <c r="K115" s="232"/>
      <c r="L115" s="232"/>
      <c r="M115" s="232"/>
      <c r="N115" s="232"/>
      <c r="O115" s="232"/>
      <c r="BR115" s="186"/>
    </row>
    <row r="116" spans="1:70">
      <c r="A116" s="76"/>
      <c r="B116" s="232"/>
      <c r="C116" s="232"/>
      <c r="D116" s="232"/>
      <c r="E116" s="232"/>
      <c r="F116" s="232"/>
      <c r="G116" s="232"/>
      <c r="H116" s="232"/>
      <c r="I116" s="232"/>
      <c r="J116" s="232"/>
      <c r="K116" s="232"/>
      <c r="L116" s="232"/>
      <c r="M116" s="232"/>
      <c r="N116" s="232"/>
      <c r="O116" s="232"/>
      <c r="P116" s="76"/>
      <c r="Q116" s="76"/>
      <c r="R116" s="76"/>
      <c r="S116" s="76"/>
      <c r="T116" s="76"/>
      <c r="BG116" s="128"/>
      <c r="BH116" s="128"/>
      <c r="BI116" s="128"/>
      <c r="BJ116" s="128"/>
      <c r="BK116" s="128"/>
      <c r="BL116" s="128"/>
      <c r="BM116" s="128"/>
      <c r="BN116" s="128"/>
      <c r="BR116" s="186"/>
    </row>
    <row r="117" spans="1:70">
      <c r="A117" s="76"/>
      <c r="B117" s="43" t="s">
        <v>227</v>
      </c>
      <c r="C117" s="232"/>
      <c r="D117" s="232"/>
      <c r="E117" s="232"/>
      <c r="F117" s="232"/>
      <c r="G117" s="232"/>
      <c r="H117" s="232"/>
      <c r="I117" s="232"/>
      <c r="J117" s="232"/>
      <c r="K117" s="232"/>
      <c r="L117" s="232"/>
      <c r="M117" s="232"/>
      <c r="N117" s="232"/>
      <c r="O117" s="232"/>
      <c r="P117" s="76"/>
      <c r="Q117" s="76"/>
      <c r="R117" s="76"/>
      <c r="S117" s="76"/>
      <c r="BG117" s="225"/>
      <c r="BH117" s="225"/>
      <c r="BI117" s="225"/>
      <c r="BJ117" s="226"/>
      <c r="BK117" s="225"/>
      <c r="BL117" s="128"/>
      <c r="BM117" s="128"/>
      <c r="BN117" s="128"/>
      <c r="BR117" s="186"/>
    </row>
    <row r="118" spans="1:70">
      <c r="A118" s="76"/>
      <c r="B118" s="232"/>
      <c r="C118" s="232"/>
      <c r="D118" s="232"/>
      <c r="E118" s="232"/>
      <c r="F118" s="232"/>
      <c r="G118" s="232"/>
      <c r="H118" s="232"/>
      <c r="I118" s="232"/>
      <c r="J118" s="232"/>
      <c r="K118" s="232"/>
      <c r="L118" s="232"/>
      <c r="M118" s="232"/>
      <c r="N118" s="232"/>
      <c r="O118" s="232"/>
      <c r="P118" s="76"/>
      <c r="Q118" s="76"/>
      <c r="BG118" s="128"/>
      <c r="BH118" s="225"/>
      <c r="BI118" s="225"/>
      <c r="BJ118" s="225"/>
      <c r="BK118" s="225"/>
      <c r="BL118" s="225"/>
      <c r="BM118" s="227" t="s">
        <v>276</v>
      </c>
      <c r="BN118" s="128"/>
      <c r="BR118" s="186"/>
    </row>
    <row r="119" spans="1:70">
      <c r="A119" s="76"/>
      <c r="B119" s="244" t="s">
        <v>296</v>
      </c>
      <c r="C119" s="232"/>
      <c r="D119" s="232"/>
      <c r="E119" s="232"/>
      <c r="F119" s="232"/>
      <c r="G119" s="232"/>
      <c r="H119" s="232"/>
      <c r="I119" s="232"/>
      <c r="J119" s="232"/>
      <c r="K119" s="232"/>
      <c r="L119" s="232"/>
      <c r="M119" s="232"/>
      <c r="N119" s="232"/>
      <c r="O119" s="232"/>
      <c r="P119" s="76"/>
      <c r="Q119" s="76"/>
      <c r="BG119" s="128"/>
      <c r="BH119" s="225"/>
      <c r="BI119" s="225"/>
      <c r="BJ119" s="225"/>
      <c r="BK119" s="227" t="s">
        <v>278</v>
      </c>
      <c r="BL119" s="225">
        <f xml:space="preserve"> L124 / (1 - L123 / 100)</f>
        <v>1499.9999999999986</v>
      </c>
      <c r="BM119" s="225">
        <v>1</v>
      </c>
      <c r="BN119" s="128"/>
      <c r="BR119" s="186"/>
    </row>
    <row r="120" spans="1:70">
      <c r="A120" s="76"/>
      <c r="B120" s="77" t="s">
        <v>275</v>
      </c>
      <c r="C120" s="76"/>
      <c r="D120" s="76"/>
      <c r="E120" s="76"/>
      <c r="F120" s="76"/>
      <c r="G120" s="76"/>
      <c r="H120" s="76"/>
      <c r="I120" s="76"/>
      <c r="J120" s="76"/>
      <c r="K120" s="76"/>
      <c r="L120" s="76"/>
      <c r="M120" s="76"/>
      <c r="N120" s="76"/>
      <c r="O120" s="76"/>
      <c r="P120" s="76"/>
      <c r="Q120" s="76"/>
      <c r="BG120" s="128"/>
      <c r="BH120" s="228" t="s">
        <v>286</v>
      </c>
      <c r="BI120" s="225"/>
      <c r="BJ120" s="225"/>
      <c r="BK120" s="227" t="s">
        <v>279</v>
      </c>
      <c r="BL120" s="225">
        <f xml:space="preserve"> BL119 * (1 - L123 / 100)</f>
        <v>75</v>
      </c>
      <c r="BM120" s="225">
        <f xml:space="preserve"> BM119</f>
        <v>1</v>
      </c>
      <c r="BN120" s="128"/>
      <c r="BR120" s="186"/>
    </row>
    <row r="121" spans="1:70" ht="15" customHeight="1">
      <c r="A121" s="76"/>
      <c r="B121" s="76"/>
      <c r="C121" s="76"/>
      <c r="D121" s="217"/>
      <c r="E121" s="217"/>
      <c r="F121" s="217"/>
      <c r="G121" s="76"/>
      <c r="H121" s="76"/>
      <c r="I121" s="76"/>
      <c r="J121" s="76"/>
      <c r="K121" s="76"/>
      <c r="L121" s="76"/>
      <c r="M121" s="76"/>
      <c r="N121" s="76"/>
      <c r="O121" s="76"/>
      <c r="P121" s="76"/>
      <c r="Q121" s="76"/>
      <c r="BG121" s="128"/>
      <c r="BH121" s="225"/>
      <c r="BI121" s="225"/>
      <c r="BJ121" s="229" t="s">
        <v>281</v>
      </c>
      <c r="BK121" s="225"/>
      <c r="BL121" s="225"/>
      <c r="BM121" s="225"/>
      <c r="BN121" s="128"/>
      <c r="BR121" s="186"/>
    </row>
    <row r="122" spans="1:70" ht="15" customHeight="1">
      <c r="A122" s="76"/>
      <c r="B122" s="78" t="s">
        <v>262</v>
      </c>
      <c r="C122" s="79">
        <v>10</v>
      </c>
      <c r="D122" s="217"/>
      <c r="E122" s="242" t="s">
        <v>294</v>
      </c>
      <c r="F122" s="217"/>
      <c r="G122" s="76" t="str">
        <f ca="1" xml:space="preserve"> "Consequence of additive underdosing; H₂S content increase if neglecting a " &amp;  TEXT(BH128 - 1, fmt_pct_1) &amp; " increase in gas and H₂S production."</f>
        <v>Consequence of additive underdosing; H₂S content increase if neglecting a 10.0% increase in gas and H₂S production.</v>
      </c>
      <c r="H122" s="76"/>
      <c r="I122" s="76"/>
      <c r="J122" s="76"/>
      <c r="K122" s="76"/>
      <c r="L122" s="76"/>
      <c r="M122" s="217"/>
      <c r="N122" s="217"/>
      <c r="O122" s="217"/>
      <c r="P122" s="76"/>
      <c r="Q122" s="76"/>
      <c r="BG122" s="128"/>
      <c r="BH122" s="230">
        <f xml:space="preserve"> IFERROR(1 + IF(C122 &lt; 0, 0, C122) / 100, 1)</f>
        <v>1.1000000000000001</v>
      </c>
      <c r="BI122" s="231" t="s">
        <v>287</v>
      </c>
      <c r="BJ122" s="225"/>
      <c r="BK122" s="227" t="s">
        <v>277</v>
      </c>
      <c r="BL122" s="225">
        <f xml:space="preserve"> BL119 * (BH122 - 1)</f>
        <v>150</v>
      </c>
      <c r="BM122" s="225">
        <f xml:space="preserve"> BH122 - 1</f>
        <v>0.10000000000000009</v>
      </c>
      <c r="BN122" s="128"/>
      <c r="BR122" s="186"/>
    </row>
    <row r="123" spans="1:70" ht="15" customHeight="1">
      <c r="B123" s="80" t="s">
        <v>299</v>
      </c>
      <c r="C123" s="81"/>
      <c r="D123" s="217"/>
      <c r="E123" s="241" t="s">
        <v>295</v>
      </c>
      <c r="F123" s="217"/>
      <c r="G123" s="82" t="s">
        <v>293</v>
      </c>
      <c r="H123" s="82"/>
      <c r="I123" s="82"/>
      <c r="J123" s="82"/>
      <c r="K123" s="78"/>
      <c r="L123" s="79">
        <v>95</v>
      </c>
      <c r="M123" s="217"/>
      <c r="N123" s="217"/>
      <c r="O123" s="217"/>
      <c r="P123" s="217"/>
      <c r="Q123" s="217"/>
      <c r="R123" s="217"/>
      <c r="BG123" s="128"/>
      <c r="BH123" s="225"/>
      <c r="BI123" s="225"/>
      <c r="BJ123" s="225"/>
      <c r="BK123" s="227" t="s">
        <v>280</v>
      </c>
      <c r="BL123" s="225">
        <f xml:space="preserve"> IF(BL122, (BL120 + BL122) / (BM120 + BM122), 0)</f>
        <v>204.54545454545453</v>
      </c>
      <c r="BM123" s="225">
        <f xml:space="preserve"> BM119</f>
        <v>1</v>
      </c>
      <c r="BN123" s="128"/>
      <c r="BR123" s="186"/>
    </row>
    <row r="124" spans="1:70" ht="15" customHeight="1">
      <c r="B124" s="80" t="str">
        <f xml:space="preserve"> "RD after shortening [day]" &amp; IF(BH125 = 1, "", " ²")</f>
        <v>RD after shortening [day]</v>
      </c>
      <c r="C124" s="81"/>
      <c r="D124" s="217"/>
      <c r="E124" s="243" t="s">
        <v>118</v>
      </c>
      <c r="F124" s="217"/>
      <c r="G124" s="83" t="s">
        <v>292</v>
      </c>
      <c r="H124" s="83"/>
      <c r="I124" s="83"/>
      <c r="J124" s="83"/>
      <c r="K124" s="80"/>
      <c r="L124" s="79">
        <v>75</v>
      </c>
      <c r="M124" s="218" t="str">
        <f ca="1" xml:space="preserve"> IF(BL119 &gt; L124, " → H₂S content in crude biogas (Before any treatment) = " &amp; TEXT(BL119, fmt_dec_0) &amp; " ppm", "")</f>
        <v xml:space="preserve"> → H₂S content in crude biogas (Before any treatment) = 1,500 ppm</v>
      </c>
      <c r="N124" s="217"/>
      <c r="O124" s="217"/>
      <c r="P124" s="217"/>
      <c r="Q124" s="217"/>
      <c r="R124" s="217"/>
      <c r="BG124" s="128"/>
      <c r="BH124" s="225"/>
      <c r="BI124" s="225"/>
      <c r="BJ124" s="229" t="s">
        <v>282</v>
      </c>
      <c r="BK124" s="225"/>
      <c r="BL124" s="225"/>
      <c r="BM124" s="225"/>
      <c r="BN124" s="128"/>
      <c r="BR124" s="186"/>
    </row>
    <row r="125" spans="1:70" ht="15" customHeight="1">
      <c r="B125" s="193" t="s">
        <v>226</v>
      </c>
      <c r="C125" s="193" t="str">
        <f xml:space="preserve"> IF(BH125 = 1, "", "² Equals gas volume/substrate increase by " &amp; TEXT(BH125 - 1, fmt_pct_1))</f>
        <v/>
      </c>
      <c r="F125" s="128"/>
      <c r="G125" s="84" t="str">
        <f ca="1" xml:space="preserve"> "H₂S content increase caused by volume increase by " &amp; IFERROR(TEXT(C122, fmt_dec_1), 0) &amp; "% [ppm]"</f>
        <v>H₂S content increase caused by volume increase by 10.0% [ppm]</v>
      </c>
      <c r="H125" s="85"/>
      <c r="I125" s="85"/>
      <c r="J125" s="85"/>
      <c r="K125" s="86"/>
      <c r="L125" s="87">
        <f xml:space="preserve"> IF(BL123 = 0, "", BL123)</f>
        <v>204.54545454545453</v>
      </c>
      <c r="M125" s="217"/>
      <c r="N125" s="217"/>
      <c r="O125" s="217"/>
      <c r="P125" s="217"/>
      <c r="Q125" s="217"/>
      <c r="R125" s="217"/>
      <c r="BG125" s="128"/>
      <c r="BH125" s="230">
        <f xml:space="preserve"> IFERROR(IF(C123 &lt; C124, 1, C123 / C124), 1)</f>
        <v>1</v>
      </c>
      <c r="BI125" s="231" t="s">
        <v>287</v>
      </c>
      <c r="BJ125" s="225"/>
      <c r="BK125" s="227" t="s">
        <v>277</v>
      </c>
      <c r="BL125" s="225">
        <f xml:space="preserve"> BL119 * (BH125 - 1)</f>
        <v>0</v>
      </c>
      <c r="BM125" s="225">
        <f xml:space="preserve"> BH125 - 1</f>
        <v>0</v>
      </c>
      <c r="BN125" s="128"/>
      <c r="BR125" s="186"/>
    </row>
    <row r="126" spans="1:70" ht="15" customHeight="1">
      <c r="B126" s="43" t="s">
        <v>289</v>
      </c>
      <c r="C126" s="200"/>
      <c r="D126" s="128"/>
      <c r="E126" s="128"/>
      <c r="F126" s="217"/>
      <c r="G126" s="84" t="str">
        <f xml:space="preserve"> "H₂S cont. incr. caused by RD shortening " &amp; IF(L126 &lt;&gt; "", "from " &amp; TEXT(C123, fmt_dec_0) &amp; " to " &amp; TEXT(C124, fmt_dec_0) &amp; " days [ppm]", "")</f>
        <v xml:space="preserve">H₂S cont. incr. caused by RD shortening </v>
      </c>
      <c r="H126" s="85"/>
      <c r="I126" s="85"/>
      <c r="J126" s="85"/>
      <c r="K126" s="86"/>
      <c r="L126" s="87" t="str">
        <f xml:space="preserve"> IF(BL126 = 0, "", BL126)</f>
        <v/>
      </c>
      <c r="M126" s="217"/>
      <c r="N126" s="217"/>
      <c r="O126" s="217"/>
      <c r="P126" s="217"/>
      <c r="Q126" s="217"/>
      <c r="R126" s="217"/>
      <c r="BG126" s="128"/>
      <c r="BH126" s="225"/>
      <c r="BI126" s="225"/>
      <c r="BJ126" s="225"/>
      <c r="BK126" s="227" t="s">
        <v>280</v>
      </c>
      <c r="BL126" s="225">
        <f xml:space="preserve"> IF(BL125, (BL120 + BL125) / (BM120 + BM125), 0)</f>
        <v>0</v>
      </c>
      <c r="BM126" s="225">
        <f xml:space="preserve"> BM119</f>
        <v>1</v>
      </c>
      <c r="BN126" s="128"/>
      <c r="BR126" s="186"/>
    </row>
    <row r="127" spans="1:70" ht="15" customHeight="1">
      <c r="B127" s="238" t="s">
        <v>297</v>
      </c>
      <c r="C127" s="237" t="str">
        <f ca="1" xml:space="preserve"> IF(BH128 &lt;= 1, "", "+ " &amp; TEXT((BH128 - 1) * 100, fmt_dec_1) &amp; "  (= " &amp; TEXT(BH128, fmt_dec_1) &amp; " x)")</f>
        <v>+ 10.0  (= 1.1 x)</v>
      </c>
      <c r="D127" s="217"/>
      <c r="E127" s="233"/>
      <c r="F127" s="220"/>
      <c r="G127" s="131" t="s">
        <v>261</v>
      </c>
      <c r="H127" s="132"/>
      <c r="I127" s="132"/>
      <c r="J127" s="132"/>
      <c r="K127" s="133"/>
      <c r="L127" s="134">
        <f xml:space="preserve"> IF(BL129 = 0, L124, BL129)</f>
        <v>204.54545454545453</v>
      </c>
      <c r="M127" s="219" t="str">
        <f ca="1">IFERROR( "+ " &amp; TEXT( L127 / L124 - 1, fmt_pct_1) &amp; "  (= " &amp; TEXT( L127 / L124, fmt_dec_1) &amp; " x)", "")</f>
        <v>+ 172.7%  (= 2.7 x)</v>
      </c>
      <c r="N127" s="220"/>
      <c r="O127" s="220"/>
      <c r="P127" s="217"/>
      <c r="Q127" s="217"/>
      <c r="R127" s="217"/>
      <c r="BG127" s="128"/>
      <c r="BH127" s="225"/>
      <c r="BI127" s="225"/>
      <c r="BJ127" s="229" t="s">
        <v>283</v>
      </c>
      <c r="BK127" s="225"/>
      <c r="BL127" s="225"/>
      <c r="BM127" s="225"/>
      <c r="BN127" s="128"/>
      <c r="BR127" s="186"/>
    </row>
    <row r="128" spans="1:70" ht="15" customHeight="1">
      <c r="B128" s="236" t="s">
        <v>288</v>
      </c>
      <c r="C128" s="245"/>
      <c r="D128" s="220"/>
      <c r="E128" s="224"/>
      <c r="F128" s="220"/>
      <c r="G128" s="75"/>
      <c r="H128" s="75"/>
      <c r="I128" s="75"/>
      <c r="J128" s="75"/>
      <c r="K128" s="75"/>
      <c r="L128" s="222"/>
      <c r="M128" s="220"/>
      <c r="N128" s="220"/>
      <c r="O128" s="220"/>
      <c r="P128" s="217"/>
      <c r="Q128" s="217"/>
      <c r="R128" s="217"/>
      <c r="BG128" s="128"/>
      <c r="BH128" s="230">
        <f xml:space="preserve"> BH122 * BH125</f>
        <v>1.1000000000000001</v>
      </c>
      <c r="BI128" s="231" t="s">
        <v>287</v>
      </c>
      <c r="BJ128" s="225"/>
      <c r="BK128" s="227" t="s">
        <v>277</v>
      </c>
      <c r="BL128" s="225">
        <f xml:space="preserve"> BL119 * (BH128 - 1)</f>
        <v>150</v>
      </c>
      <c r="BM128" s="225">
        <f xml:space="preserve"> BH128 - 1</f>
        <v>0.10000000000000009</v>
      </c>
      <c r="BN128" s="128"/>
      <c r="BR128" s="186"/>
    </row>
    <row r="129" spans="2:70" ht="15" customHeight="1">
      <c r="B129" s="239" t="s">
        <v>298</v>
      </c>
      <c r="C129" s="192" t="str">
        <f ca="1" xml:space="preserve"> IF(OR(BH128 &lt;= 1, BH125 &gt; 1), "", "- " &amp; TEXT((1 - 1 / BH128) * 100, fmt_dec_1))</f>
        <v>- 9.1</v>
      </c>
      <c r="D129" s="234"/>
      <c r="E129" s="235" t="str">
        <f ca="1" xml:space="preserve"> IF(C129 = "", "", "≙ " &amp; TEXT((BH128 - 1), fmt_pct_1) &amp; " RD increase")</f>
        <v>≙ 10.0% RD increase</v>
      </c>
      <c r="F129" s="220"/>
      <c r="M129" s="217"/>
      <c r="N129" s="217"/>
      <c r="O129" s="217"/>
      <c r="P129" s="128"/>
      <c r="Q129" s="128"/>
      <c r="R129" s="128"/>
      <c r="BG129" s="128"/>
      <c r="BH129" s="225"/>
      <c r="BI129" s="225"/>
      <c r="BJ129" s="225"/>
      <c r="BK129" s="227" t="s">
        <v>280</v>
      </c>
      <c r="BL129" s="225">
        <f xml:space="preserve"> IF(BL128, (BL120 + BL128) / (BM120 + BM128), 0)</f>
        <v>204.54545454545453</v>
      </c>
      <c r="BM129" s="225">
        <f xml:space="preserve"> BM119</f>
        <v>1</v>
      </c>
      <c r="BN129" s="128"/>
      <c r="BR129" s="186"/>
    </row>
    <row r="130" spans="2:70" ht="15" customHeight="1">
      <c r="B130" s="94"/>
      <c r="C130" s="94"/>
      <c r="D130" s="221"/>
      <c r="E130" s="221"/>
      <c r="F130" s="221"/>
      <c r="G130" s="82"/>
      <c r="H130" s="82"/>
      <c r="I130" s="82"/>
      <c r="J130" s="82"/>
      <c r="K130" s="82"/>
      <c r="L130" s="82"/>
      <c r="M130" s="221"/>
      <c r="N130" s="221"/>
      <c r="O130" s="221"/>
      <c r="P130" s="128"/>
      <c r="Q130" s="128"/>
      <c r="R130" s="128"/>
      <c r="BG130" s="128"/>
      <c r="BH130" s="225"/>
      <c r="BI130" s="225"/>
      <c r="BJ130" s="225"/>
      <c r="BK130" s="225"/>
      <c r="BL130" s="225"/>
      <c r="BM130" s="225"/>
      <c r="BN130" s="128"/>
      <c r="BR130" s="186"/>
    </row>
    <row r="131" spans="2:70" ht="15" customHeight="1">
      <c r="P131" s="128"/>
      <c r="Q131" s="128"/>
      <c r="R131" s="128"/>
      <c r="BR131" s="186"/>
    </row>
    <row r="132" spans="2:70" ht="15" customHeight="1">
      <c r="F132" s="240"/>
      <c r="G132" s="240"/>
      <c r="H132" s="240"/>
      <c r="I132" s="240"/>
      <c r="M132" s="128"/>
      <c r="N132" s="128"/>
      <c r="O132" s="128"/>
      <c r="P132" s="128"/>
      <c r="Q132" s="128"/>
      <c r="R132" s="128"/>
      <c r="BR132" s="186"/>
    </row>
    <row r="133" spans="2:70" ht="15" customHeight="1">
      <c r="F133" s="240"/>
      <c r="G133" s="240"/>
      <c r="H133" s="240"/>
      <c r="I133" s="240"/>
      <c r="BR133" s="186"/>
    </row>
    <row r="134" spans="2:70" ht="15" customHeight="1">
      <c r="F134" s="240"/>
      <c r="G134" s="240"/>
      <c r="H134" s="240"/>
      <c r="I134" s="240"/>
      <c r="BR134" s="186"/>
    </row>
    <row r="135" spans="2:70" ht="15" customHeight="1">
      <c r="F135" s="240"/>
      <c r="G135" s="240"/>
      <c r="H135" s="240"/>
      <c r="I135" s="240"/>
      <c r="BR135" s="186"/>
    </row>
    <row r="136" spans="2:70">
      <c r="F136" s="240"/>
      <c r="G136" s="240"/>
      <c r="H136" s="240"/>
      <c r="I136" s="240"/>
      <c r="BR136" s="186"/>
    </row>
    <row r="137" spans="2:70">
      <c r="F137" s="240"/>
      <c r="G137" s="240"/>
      <c r="H137" s="240"/>
      <c r="I137" s="240"/>
      <c r="BR137" s="186"/>
    </row>
    <row r="138" spans="2:70">
      <c r="BR138" s="186"/>
    </row>
    <row r="139" spans="2:70">
      <c r="BR139" s="186"/>
    </row>
    <row r="140" spans="2:70">
      <c r="BR140" s="186"/>
    </row>
    <row r="141" spans="2:70">
      <c r="BR141" s="186"/>
    </row>
    <row r="142" spans="2:70">
      <c r="BR142" s="186"/>
    </row>
    <row r="143" spans="2:70">
      <c r="BR143" s="186"/>
    </row>
    <row r="144" spans="2:70">
      <c r="BR144" s="186"/>
    </row>
    <row r="145" spans="70:70">
      <c r="BR145" s="186"/>
    </row>
  </sheetData>
  <sheetProtection sheet="1" objects="1" scenarios="1" selectLockedCells="1"/>
  <mergeCells count="9">
    <mergeCell ref="C98:D98"/>
    <mergeCell ref="C97:D97"/>
    <mergeCell ref="C89:D89"/>
    <mergeCell ref="N7:S7"/>
    <mergeCell ref="N6:S6"/>
    <mergeCell ref="C39:Q39"/>
    <mergeCell ref="M21:N21"/>
    <mergeCell ref="M22:N22"/>
    <mergeCell ref="C90:D90"/>
  </mergeCells>
  <dataValidations count="3">
    <dataValidation type="custom" allowBlank="1" showInputMessage="1" showErrorMessage="1" sqref="M21:O22 C39:Q39 T7 N6:O7 C90">
      <formula1>"&lt; 0 &gt; 0"</formula1>
    </dataValidation>
    <dataValidation type="custom" allowBlank="1" showInputMessage="1" showErrorMessage="1" sqref="C126">
      <formula1>"&gt; 1 &lt; 1"</formula1>
    </dataValidation>
    <dataValidation type="custom" allowBlank="1" showInputMessage="1" showErrorMessage="1" sqref="M100 L128">
      <formula1>"&lt; 1 &gt; 1"</formula1>
    </dataValidation>
  </dataValidations>
  <hyperlinks>
    <hyperlink ref="N6" r:id="rId1"/>
    <hyperlink ref="M22" r:id="rId2"/>
    <hyperlink ref="M21" r:id="rId3"/>
    <hyperlink ref="N7" r:id="rId4"/>
    <hyperlink ref="C39" r:id="rId5"/>
  </hyperlinks>
  <pageMargins left="0.7" right="0.7" top="0.75" bottom="0.75" header="0.3" footer="0.3"/>
  <pageSetup paperSize="9" scale="95" orientation="landscape" r:id="rId6"/>
  <drawing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1"/>
  <sheetViews>
    <sheetView topLeftCell="A128" zoomScaleNormal="100" workbookViewId="0">
      <selection activeCell="O343" sqref="O343"/>
    </sheetView>
  </sheetViews>
  <sheetFormatPr defaultRowHeight="15"/>
  <cols>
    <col min="1" max="1" width="1.625" style="44" customWidth="1"/>
    <col min="2" max="2" width="2.125" style="45" customWidth="1"/>
    <col min="3" max="3" width="10.125" style="45" customWidth="1"/>
    <col min="4" max="4" width="16.25" style="45" customWidth="1"/>
    <col min="5" max="5" width="0.125" style="45" customWidth="1"/>
    <col min="6" max="6" width="26.75" style="45" customWidth="1"/>
    <col min="7" max="7" width="12.625" style="45" customWidth="1"/>
    <col min="8" max="8" width="10.625" style="45" customWidth="1"/>
    <col min="9" max="9" width="0.875" style="45" customWidth="1"/>
    <col min="10" max="10" width="12.625" style="45" customWidth="1"/>
    <col min="11" max="11" width="0.125" style="45" customWidth="1"/>
    <col min="12" max="12" width="11.25" style="45" customWidth="1"/>
    <col min="13" max="13" width="0.875" style="45" customWidth="1"/>
    <col min="14" max="14" width="19.25" style="45" customWidth="1"/>
    <col min="15" max="15" width="14" style="45" customWidth="1"/>
    <col min="16" max="16" width="24.375" style="45" customWidth="1"/>
    <col min="17" max="17" width="9" style="45"/>
    <col min="18" max="18" width="129.75" style="45" customWidth="1"/>
    <col min="19" max="16384" width="9" style="45"/>
  </cols>
  <sheetData>
    <row r="1" spans="1:28">
      <c r="B1" s="328" t="s">
        <v>439</v>
      </c>
      <c r="P1" s="328" t="s">
        <v>440</v>
      </c>
      <c r="Q1" s="328" t="s">
        <v>441</v>
      </c>
    </row>
    <row r="2" spans="1:28" s="63" customFormat="1">
      <c r="A2" s="326"/>
      <c r="B2" s="323">
        <v>1.5</v>
      </c>
      <c r="C2" s="323">
        <v>9.5</v>
      </c>
      <c r="D2" s="323">
        <v>15.63</v>
      </c>
      <c r="E2" s="323">
        <v>0.08</v>
      </c>
      <c r="F2" s="323">
        <v>26.13</v>
      </c>
      <c r="G2" s="323">
        <v>12</v>
      </c>
      <c r="H2" s="323">
        <v>10</v>
      </c>
      <c r="I2" s="323">
        <v>0.54</v>
      </c>
      <c r="J2" s="323">
        <v>12</v>
      </c>
      <c r="K2" s="323">
        <v>0.08</v>
      </c>
      <c r="L2" s="323">
        <v>10.63</v>
      </c>
      <c r="P2" s="63">
        <f>SUM(B2:O2)</f>
        <v>98.09</v>
      </c>
      <c r="Q2" s="63">
        <f xml:space="preserve"> P2 - 'RIIC Calculator Standard'!Q1</f>
        <v>0</v>
      </c>
    </row>
    <row r="3" spans="1:28" s="63" customFormat="1">
      <c r="A3" s="326"/>
      <c r="C3" s="324">
        <f xml:space="preserve"> C2</f>
        <v>9.5</v>
      </c>
      <c r="D3" s="324">
        <f t="shared" ref="D3:L4" si="0" xml:space="preserve"> D2</f>
        <v>15.63</v>
      </c>
      <c r="E3" s="324">
        <f t="shared" si="0"/>
        <v>0.08</v>
      </c>
      <c r="F3" s="324">
        <f t="shared" si="0"/>
        <v>26.13</v>
      </c>
      <c r="G3" s="324">
        <f t="shared" si="0"/>
        <v>12</v>
      </c>
      <c r="H3" s="324">
        <f t="shared" si="0"/>
        <v>10</v>
      </c>
      <c r="I3" s="324">
        <f t="shared" si="0"/>
        <v>0.54</v>
      </c>
      <c r="J3" s="324">
        <f t="shared" si="0"/>
        <v>12</v>
      </c>
      <c r="K3" s="324">
        <f t="shared" si="0"/>
        <v>0.08</v>
      </c>
      <c r="L3" s="324">
        <f t="shared" si="0"/>
        <v>10.63</v>
      </c>
      <c r="M3" s="324">
        <v>0.54</v>
      </c>
      <c r="N3" s="324">
        <v>18.63</v>
      </c>
      <c r="O3" s="324">
        <v>13.33</v>
      </c>
      <c r="P3" s="63">
        <f>SUM(B3:O3)</f>
        <v>129.09</v>
      </c>
      <c r="Q3" s="63">
        <f xml:space="preserve"> P3 - 'RIIC Calculator Standard'!Q2</f>
        <v>0</v>
      </c>
    </row>
    <row r="4" spans="1:28" s="63" customFormat="1">
      <c r="A4" s="326"/>
      <c r="D4" s="325">
        <f xml:space="preserve"> D3</f>
        <v>15.63</v>
      </c>
      <c r="E4" s="325">
        <f t="shared" si="0"/>
        <v>0.08</v>
      </c>
      <c r="F4" s="325">
        <f t="shared" si="0"/>
        <v>26.13</v>
      </c>
      <c r="G4" s="325">
        <f t="shared" si="0"/>
        <v>12</v>
      </c>
      <c r="H4" s="325">
        <f t="shared" si="0"/>
        <v>10</v>
      </c>
      <c r="I4" s="325">
        <f t="shared" si="0"/>
        <v>0.54</v>
      </c>
      <c r="J4" s="325">
        <f t="shared" si="0"/>
        <v>12</v>
      </c>
      <c r="K4" s="325">
        <f t="shared" si="0"/>
        <v>0.08</v>
      </c>
      <c r="L4" s="325">
        <f t="shared" si="0"/>
        <v>10.63</v>
      </c>
      <c r="M4" s="325">
        <f xml:space="preserve"> M3</f>
        <v>0.54</v>
      </c>
      <c r="N4" s="325">
        <f xml:space="preserve"> N3</f>
        <v>18.63</v>
      </c>
      <c r="P4" s="63">
        <f>SUM(B4:O4)</f>
        <v>106.26</v>
      </c>
      <c r="Q4" s="63">
        <f xml:space="preserve"> P4 - 'RIIC Calculator Standard'!Q3</f>
        <v>4.9999999999997158E-2</v>
      </c>
    </row>
    <row r="7" spans="1:28">
      <c r="C7" s="35" t="s">
        <v>427</v>
      </c>
    </row>
    <row r="8" spans="1:28">
      <c r="C8" s="287" t="s">
        <v>399</v>
      </c>
      <c r="D8" s="307" t="s">
        <v>416</v>
      </c>
    </row>
    <row r="9" spans="1:28">
      <c r="C9" s="286" t="s">
        <v>398</v>
      </c>
      <c r="D9" s="307" t="s">
        <v>417</v>
      </c>
    </row>
    <row r="10" spans="1:28" ht="15" customHeight="1">
      <c r="C10" s="286" t="s">
        <v>404</v>
      </c>
      <c r="D10" s="307" t="s">
        <v>418</v>
      </c>
      <c r="M10" s="285"/>
      <c r="N10" s="48"/>
      <c r="O10" s="47"/>
      <c r="P10" s="47"/>
      <c r="Q10" s="47"/>
      <c r="R10" s="47"/>
      <c r="S10" s="47"/>
      <c r="T10" s="48"/>
      <c r="U10" s="48"/>
      <c r="V10" s="48"/>
      <c r="W10" s="48"/>
      <c r="X10" s="48"/>
      <c r="Y10" s="48"/>
      <c r="Z10" s="48"/>
    </row>
    <row r="11" spans="1:28" ht="15" customHeight="1">
      <c r="C11" s="286" t="s">
        <v>405</v>
      </c>
      <c r="D11" s="307" t="s">
        <v>419</v>
      </c>
      <c r="M11" s="285"/>
      <c r="O11" s="46"/>
      <c r="P11" s="46"/>
      <c r="Q11" s="46"/>
      <c r="R11" s="46"/>
      <c r="S11" s="46"/>
      <c r="V11" s="48"/>
      <c r="W11" s="48"/>
      <c r="X11" s="48"/>
      <c r="Y11" s="48"/>
      <c r="Z11" s="48"/>
    </row>
    <row r="12" spans="1:28" ht="15" customHeight="1">
      <c r="C12" s="286" t="s">
        <v>406</v>
      </c>
      <c r="D12" s="307" t="s">
        <v>420</v>
      </c>
      <c r="M12" s="285"/>
      <c r="O12" s="46"/>
      <c r="P12" s="46"/>
      <c r="Q12" s="46"/>
      <c r="R12" s="46"/>
      <c r="S12" s="46"/>
      <c r="V12" s="48"/>
      <c r="W12" s="48"/>
      <c r="X12" s="48"/>
      <c r="Y12" s="48"/>
      <c r="Z12" s="48"/>
    </row>
    <row r="13" spans="1:28" ht="15" customHeight="1">
      <c r="M13" s="285"/>
      <c r="O13" s="46"/>
      <c r="P13" s="46"/>
      <c r="Q13" s="46"/>
      <c r="R13" s="46"/>
      <c r="S13" s="46"/>
      <c r="V13" s="48"/>
      <c r="W13" s="48"/>
      <c r="X13" s="48"/>
      <c r="Y13" s="48"/>
      <c r="Z13" s="48"/>
    </row>
    <row r="14" spans="1:28" ht="15" customHeight="1">
      <c r="M14" s="285"/>
      <c r="X14" s="48"/>
      <c r="Y14" s="48"/>
      <c r="Z14" s="48"/>
      <c r="AA14" s="48"/>
      <c r="AB14" s="48"/>
    </row>
    <row r="15" spans="1:28" ht="15" customHeight="1">
      <c r="B15" s="295"/>
      <c r="C15" s="294" t="s">
        <v>432</v>
      </c>
      <c r="D15" s="294" t="s">
        <v>399</v>
      </c>
      <c r="E15" s="295"/>
      <c r="F15" s="295"/>
      <c r="G15" s="295"/>
      <c r="H15" s="295"/>
      <c r="I15" s="295"/>
      <c r="J15" s="295"/>
      <c r="K15" s="295"/>
      <c r="L15" s="295"/>
      <c r="M15" s="322"/>
      <c r="N15" s="295"/>
      <c r="O15" s="295"/>
      <c r="R15" s="294" t="s">
        <v>436</v>
      </c>
      <c r="X15" s="48"/>
      <c r="Y15" s="48"/>
      <c r="Z15" s="48"/>
      <c r="AA15" s="48"/>
      <c r="AB15" s="48"/>
    </row>
    <row r="16" spans="1:28" ht="15" customHeight="1">
      <c r="B16" s="295"/>
      <c r="C16" s="812" t="s">
        <v>446</v>
      </c>
      <c r="D16" s="806"/>
      <c r="E16" s="806"/>
      <c r="F16" s="806"/>
      <c r="G16" s="806"/>
      <c r="H16" s="806"/>
      <c r="I16" s="806"/>
      <c r="J16" s="806"/>
      <c r="K16" s="806"/>
      <c r="L16" s="806"/>
      <c r="M16" s="806"/>
      <c r="N16" s="806"/>
      <c r="O16" s="806"/>
      <c r="R16" s="810" t="s">
        <v>438</v>
      </c>
      <c r="X16" s="48"/>
      <c r="Y16" s="48"/>
      <c r="Z16" s="48"/>
      <c r="AA16" s="48"/>
      <c r="AB16" s="48"/>
    </row>
    <row r="17" spans="2:28" ht="15" customHeight="1">
      <c r="B17" s="295"/>
      <c r="C17" s="806"/>
      <c r="D17" s="806"/>
      <c r="E17" s="806"/>
      <c r="F17" s="806"/>
      <c r="G17" s="806"/>
      <c r="H17" s="806"/>
      <c r="I17" s="806"/>
      <c r="J17" s="806"/>
      <c r="K17" s="806"/>
      <c r="L17" s="806"/>
      <c r="M17" s="806"/>
      <c r="N17" s="806"/>
      <c r="O17" s="806"/>
      <c r="P17" s="327"/>
      <c r="R17" s="811"/>
      <c r="X17" s="48"/>
      <c r="Y17" s="48"/>
      <c r="Z17" s="48"/>
      <c r="AA17" s="48"/>
      <c r="AB17" s="48"/>
    </row>
    <row r="18" spans="2:28" ht="15" customHeight="1">
      <c r="B18" s="295"/>
      <c r="C18" s="806"/>
      <c r="D18" s="806"/>
      <c r="E18" s="806"/>
      <c r="F18" s="806"/>
      <c r="G18" s="806"/>
      <c r="H18" s="806"/>
      <c r="I18" s="806"/>
      <c r="J18" s="806"/>
      <c r="K18" s="806"/>
      <c r="L18" s="806"/>
      <c r="M18" s="806"/>
      <c r="N18" s="806"/>
      <c r="O18" s="806"/>
      <c r="P18" s="327"/>
      <c r="R18" s="811"/>
      <c r="X18" s="48"/>
      <c r="Y18" s="48"/>
      <c r="Z18" s="48"/>
      <c r="AA18" s="48"/>
      <c r="AB18" s="48"/>
    </row>
    <row r="19" spans="2:28" ht="15" customHeight="1">
      <c r="B19" s="295"/>
      <c r="C19" s="806"/>
      <c r="D19" s="806"/>
      <c r="E19" s="806"/>
      <c r="F19" s="806"/>
      <c r="G19" s="806"/>
      <c r="H19" s="806"/>
      <c r="I19" s="806"/>
      <c r="J19" s="806"/>
      <c r="K19" s="806"/>
      <c r="L19" s="806"/>
      <c r="M19" s="806"/>
      <c r="N19" s="806"/>
      <c r="O19" s="806"/>
      <c r="P19" s="327"/>
      <c r="R19" s="811"/>
      <c r="X19" s="48"/>
      <c r="Y19" s="48"/>
      <c r="Z19" s="48"/>
      <c r="AA19" s="48"/>
      <c r="AB19" s="48"/>
    </row>
    <row r="20" spans="2:28" ht="15" customHeight="1">
      <c r="B20" s="295"/>
      <c r="C20" s="806"/>
      <c r="D20" s="806"/>
      <c r="E20" s="806"/>
      <c r="F20" s="806"/>
      <c r="G20" s="806"/>
      <c r="H20" s="806"/>
      <c r="I20" s="806"/>
      <c r="J20" s="806"/>
      <c r="K20" s="806"/>
      <c r="L20" s="806"/>
      <c r="M20" s="806"/>
      <c r="N20" s="806"/>
      <c r="O20" s="806"/>
      <c r="P20" s="327"/>
      <c r="R20" s="811"/>
      <c r="X20" s="48"/>
      <c r="Y20" s="48"/>
      <c r="Z20" s="48"/>
      <c r="AA20" s="48"/>
      <c r="AB20" s="48"/>
    </row>
    <row r="21" spans="2:28" ht="15" customHeight="1">
      <c r="B21" s="295"/>
      <c r="C21" s="806"/>
      <c r="D21" s="806"/>
      <c r="E21" s="806"/>
      <c r="F21" s="806"/>
      <c r="G21" s="806"/>
      <c r="H21" s="806"/>
      <c r="I21" s="806"/>
      <c r="J21" s="806"/>
      <c r="K21" s="806"/>
      <c r="L21" s="806"/>
      <c r="M21" s="806"/>
      <c r="N21" s="806"/>
      <c r="O21" s="806"/>
      <c r="P21" s="327"/>
      <c r="R21" s="811"/>
      <c r="X21" s="48"/>
      <c r="Y21" s="48"/>
      <c r="Z21" s="48"/>
      <c r="AA21" s="48"/>
      <c r="AB21" s="48"/>
    </row>
    <row r="22" spans="2:28" ht="15" customHeight="1">
      <c r="B22" s="295"/>
      <c r="C22" s="806"/>
      <c r="D22" s="806"/>
      <c r="E22" s="806"/>
      <c r="F22" s="806"/>
      <c r="G22" s="806"/>
      <c r="H22" s="806"/>
      <c r="I22" s="806"/>
      <c r="J22" s="806"/>
      <c r="K22" s="806"/>
      <c r="L22" s="806"/>
      <c r="M22" s="806"/>
      <c r="N22" s="806"/>
      <c r="O22" s="806"/>
      <c r="P22" s="327"/>
      <c r="R22" s="811"/>
      <c r="X22" s="48"/>
      <c r="Y22" s="48"/>
      <c r="Z22" s="48"/>
      <c r="AA22" s="48"/>
      <c r="AB22" s="48"/>
    </row>
    <row r="23" spans="2:28" ht="15" customHeight="1">
      <c r="B23" s="295"/>
      <c r="C23" s="806"/>
      <c r="D23" s="806"/>
      <c r="E23" s="806"/>
      <c r="F23" s="806"/>
      <c r="G23" s="806"/>
      <c r="H23" s="806"/>
      <c r="I23" s="806"/>
      <c r="J23" s="806"/>
      <c r="K23" s="806"/>
      <c r="L23" s="806"/>
      <c r="M23" s="806"/>
      <c r="N23" s="806"/>
      <c r="O23" s="806"/>
      <c r="P23" s="327"/>
      <c r="R23" s="811"/>
      <c r="X23" s="48"/>
      <c r="Y23" s="48"/>
      <c r="Z23" s="48"/>
      <c r="AA23" s="48"/>
      <c r="AB23" s="48"/>
    </row>
    <row r="24" spans="2:28" ht="15" customHeight="1">
      <c r="B24" s="295"/>
      <c r="C24" s="806"/>
      <c r="D24" s="806"/>
      <c r="E24" s="806"/>
      <c r="F24" s="806"/>
      <c r="G24" s="806"/>
      <c r="H24" s="806"/>
      <c r="I24" s="806"/>
      <c r="J24" s="806"/>
      <c r="K24" s="806"/>
      <c r="L24" s="806"/>
      <c r="M24" s="806"/>
      <c r="N24" s="806"/>
      <c r="O24" s="806"/>
      <c r="P24" s="327"/>
      <c r="R24" s="811"/>
      <c r="X24" s="48"/>
      <c r="Y24" s="48"/>
      <c r="Z24" s="48"/>
      <c r="AA24" s="48"/>
      <c r="AB24" s="48"/>
    </row>
    <row r="25" spans="2:28" ht="15" customHeight="1">
      <c r="B25" s="295"/>
      <c r="C25" s="806"/>
      <c r="D25" s="806"/>
      <c r="E25" s="806"/>
      <c r="F25" s="806"/>
      <c r="G25" s="806"/>
      <c r="H25" s="806"/>
      <c r="I25" s="806"/>
      <c r="J25" s="806"/>
      <c r="K25" s="806"/>
      <c r="L25" s="806"/>
      <c r="M25" s="806"/>
      <c r="N25" s="806"/>
      <c r="O25" s="806"/>
      <c r="P25" s="327"/>
      <c r="R25" s="811"/>
      <c r="X25" s="48"/>
      <c r="Y25" s="48"/>
      <c r="Z25" s="48"/>
      <c r="AA25" s="48"/>
      <c r="AB25" s="48"/>
    </row>
    <row r="26" spans="2:28" ht="15" customHeight="1">
      <c r="B26" s="295"/>
      <c r="C26" s="806"/>
      <c r="D26" s="806"/>
      <c r="E26" s="806"/>
      <c r="F26" s="806"/>
      <c r="G26" s="806"/>
      <c r="H26" s="806"/>
      <c r="I26" s="806"/>
      <c r="J26" s="806"/>
      <c r="K26" s="806"/>
      <c r="L26" s="806"/>
      <c r="M26" s="806"/>
      <c r="N26" s="806"/>
      <c r="O26" s="806"/>
      <c r="P26" s="327"/>
      <c r="R26" s="811"/>
      <c r="X26" s="48"/>
      <c r="Y26" s="48"/>
      <c r="Z26" s="48"/>
      <c r="AA26" s="48"/>
      <c r="AB26" s="48"/>
    </row>
    <row r="27" spans="2:28" ht="15" customHeight="1">
      <c r="B27" s="295"/>
      <c r="C27" s="295"/>
      <c r="D27" s="315" t="s">
        <v>400</v>
      </c>
      <c r="E27" s="316"/>
      <c r="F27" s="316"/>
      <c r="G27" s="316"/>
      <c r="H27" s="316"/>
      <c r="I27" s="316"/>
      <c r="J27" s="316"/>
      <c r="K27" s="316"/>
      <c r="L27" s="316"/>
      <c r="M27" s="322"/>
      <c r="N27" s="295"/>
      <c r="O27" s="295"/>
      <c r="X27" s="48"/>
      <c r="Y27" s="48"/>
      <c r="Z27" s="48"/>
      <c r="AA27" s="48"/>
      <c r="AB27" s="48"/>
    </row>
    <row r="28" spans="2:28" ht="15" customHeight="1">
      <c r="B28" s="295"/>
      <c r="C28" s="805" t="s">
        <v>442</v>
      </c>
      <c r="D28" s="813"/>
      <c r="E28" s="813"/>
      <c r="F28" s="813"/>
      <c r="G28" s="813"/>
      <c r="H28" s="813"/>
      <c r="I28" s="813"/>
      <c r="J28" s="813"/>
      <c r="K28" s="813"/>
      <c r="L28" s="813"/>
      <c r="M28" s="813"/>
      <c r="N28" s="813"/>
      <c r="O28" s="813"/>
      <c r="X28" s="48"/>
      <c r="Y28" s="48"/>
      <c r="Z28" s="48"/>
      <c r="AA28" s="48"/>
      <c r="AB28" s="48"/>
    </row>
    <row r="29" spans="2:28" ht="15" customHeight="1">
      <c r="B29" s="295"/>
      <c r="C29" s="813"/>
      <c r="D29" s="813"/>
      <c r="E29" s="813"/>
      <c r="F29" s="813"/>
      <c r="G29" s="813"/>
      <c r="H29" s="813"/>
      <c r="I29" s="813"/>
      <c r="J29" s="813"/>
      <c r="K29" s="813"/>
      <c r="L29" s="813"/>
      <c r="M29" s="813"/>
      <c r="N29" s="813"/>
      <c r="O29" s="813"/>
      <c r="X29" s="48"/>
      <c r="Y29" s="48"/>
      <c r="Z29" s="48"/>
      <c r="AA29" s="48"/>
      <c r="AB29" s="48"/>
    </row>
    <row r="30" spans="2:28" ht="15" customHeight="1">
      <c r="B30" s="295"/>
      <c r="C30" s="813"/>
      <c r="D30" s="813"/>
      <c r="E30" s="813"/>
      <c r="F30" s="813"/>
      <c r="G30" s="813"/>
      <c r="H30" s="813"/>
      <c r="I30" s="813"/>
      <c r="J30" s="813"/>
      <c r="K30" s="813"/>
      <c r="L30" s="813"/>
      <c r="M30" s="813"/>
      <c r="N30" s="813"/>
      <c r="O30" s="813"/>
      <c r="X30" s="48"/>
      <c r="Y30" s="48"/>
      <c r="Z30" s="48"/>
      <c r="AA30" s="48"/>
      <c r="AB30" s="48"/>
    </row>
    <row r="31" spans="2:28" ht="15" customHeight="1">
      <c r="B31" s="295"/>
      <c r="C31" s="813"/>
      <c r="D31" s="813"/>
      <c r="E31" s="813"/>
      <c r="F31" s="813"/>
      <c r="G31" s="813"/>
      <c r="H31" s="813"/>
      <c r="I31" s="813"/>
      <c r="J31" s="813"/>
      <c r="K31" s="813"/>
      <c r="L31" s="813"/>
      <c r="M31" s="813"/>
      <c r="N31" s="813"/>
      <c r="O31" s="813"/>
      <c r="Y31" s="48"/>
      <c r="Z31" s="48"/>
      <c r="AA31" s="48"/>
      <c r="AB31" s="48"/>
    </row>
    <row r="32" spans="2:28" ht="15" customHeight="1">
      <c r="B32" s="295"/>
      <c r="C32" s="813"/>
      <c r="D32" s="813"/>
      <c r="E32" s="813"/>
      <c r="F32" s="813"/>
      <c r="G32" s="813"/>
      <c r="H32" s="813"/>
      <c r="I32" s="813"/>
      <c r="J32" s="813"/>
      <c r="K32" s="813"/>
      <c r="L32" s="813"/>
      <c r="M32" s="813"/>
      <c r="N32" s="813"/>
      <c r="O32" s="813"/>
      <c r="Y32" s="48"/>
      <c r="Z32" s="48"/>
      <c r="AA32" s="48"/>
      <c r="AB32" s="48"/>
    </row>
    <row r="33" spans="2:28" ht="15" customHeight="1">
      <c r="B33" s="295"/>
      <c r="C33" s="813"/>
      <c r="D33" s="813"/>
      <c r="E33" s="813"/>
      <c r="F33" s="813"/>
      <c r="G33" s="813"/>
      <c r="H33" s="813"/>
      <c r="I33" s="813"/>
      <c r="J33" s="813"/>
      <c r="K33" s="813"/>
      <c r="L33" s="813"/>
      <c r="M33" s="813"/>
      <c r="N33" s="813"/>
      <c r="O33" s="813"/>
      <c r="Y33" s="48"/>
      <c r="Z33" s="48"/>
      <c r="AA33" s="48"/>
      <c r="AB33" s="48"/>
    </row>
    <row r="34" spans="2:28" ht="15" customHeight="1">
      <c r="B34" s="295"/>
      <c r="C34" s="813"/>
      <c r="D34" s="813"/>
      <c r="E34" s="813"/>
      <c r="F34" s="813"/>
      <c r="G34" s="813"/>
      <c r="H34" s="813"/>
      <c r="I34" s="813"/>
      <c r="J34" s="813"/>
      <c r="K34" s="813"/>
      <c r="L34" s="813"/>
      <c r="M34" s="813"/>
      <c r="N34" s="813"/>
      <c r="O34" s="813"/>
      <c r="Y34" s="48"/>
      <c r="Z34" s="48"/>
      <c r="AA34" s="48"/>
      <c r="AB34" s="48"/>
    </row>
    <row r="35" spans="2:28" ht="15" customHeight="1">
      <c r="B35" s="295"/>
      <c r="C35" s="813"/>
      <c r="D35" s="813"/>
      <c r="E35" s="813"/>
      <c r="F35" s="813"/>
      <c r="G35" s="813"/>
      <c r="H35" s="813"/>
      <c r="I35" s="813"/>
      <c r="J35" s="813"/>
      <c r="K35" s="813"/>
      <c r="L35" s="813"/>
      <c r="M35" s="813"/>
      <c r="N35" s="813"/>
      <c r="O35" s="813"/>
      <c r="Y35" s="48"/>
      <c r="Z35" s="48"/>
      <c r="AA35" s="48"/>
      <c r="AB35" s="48"/>
    </row>
    <row r="36" spans="2:28" ht="15" customHeight="1">
      <c r="B36" s="295"/>
      <c r="C36" s="813"/>
      <c r="D36" s="813"/>
      <c r="E36" s="813"/>
      <c r="F36" s="813"/>
      <c r="G36" s="813"/>
      <c r="H36" s="813"/>
      <c r="I36" s="813"/>
      <c r="J36" s="813"/>
      <c r="K36" s="813"/>
      <c r="L36" s="813"/>
      <c r="M36" s="813"/>
      <c r="N36" s="813"/>
      <c r="O36" s="813"/>
      <c r="Y36" s="48"/>
      <c r="Z36" s="48"/>
      <c r="AA36" s="48"/>
      <c r="AB36" s="48"/>
    </row>
    <row r="37" spans="2:28" ht="15" customHeight="1">
      <c r="B37" s="295"/>
      <c r="C37" s="813"/>
      <c r="D37" s="813"/>
      <c r="E37" s="813"/>
      <c r="F37" s="813"/>
      <c r="G37" s="813"/>
      <c r="H37" s="813"/>
      <c r="I37" s="813"/>
      <c r="J37" s="813"/>
      <c r="K37" s="813"/>
      <c r="L37" s="813"/>
      <c r="M37" s="813"/>
      <c r="N37" s="813"/>
      <c r="O37" s="813"/>
      <c r="Y37" s="48"/>
      <c r="Z37" s="48"/>
      <c r="AA37" s="48"/>
      <c r="AB37" s="48"/>
    </row>
    <row r="38" spans="2:28" ht="15" customHeight="1">
      <c r="B38" s="295"/>
      <c r="C38" s="813"/>
      <c r="D38" s="813"/>
      <c r="E38" s="813"/>
      <c r="F38" s="813"/>
      <c r="G38" s="813"/>
      <c r="H38" s="813"/>
      <c r="I38" s="813"/>
      <c r="J38" s="813"/>
      <c r="K38" s="813"/>
      <c r="L38" s="813"/>
      <c r="M38" s="813"/>
      <c r="N38" s="813"/>
      <c r="O38" s="813"/>
      <c r="Y38" s="48"/>
      <c r="Z38" s="48"/>
      <c r="AA38" s="48"/>
      <c r="AB38" s="48"/>
    </row>
    <row r="39" spans="2:28" ht="15" customHeight="1">
      <c r="B39" s="295"/>
      <c r="C39" s="295"/>
      <c r="D39" s="317" t="s">
        <v>401</v>
      </c>
      <c r="E39" s="318"/>
      <c r="F39" s="318"/>
      <c r="G39" s="318"/>
      <c r="H39" s="318"/>
      <c r="I39" s="318"/>
      <c r="J39" s="318"/>
      <c r="K39" s="318"/>
      <c r="L39" s="318"/>
      <c r="M39" s="322"/>
      <c r="N39" s="295"/>
      <c r="O39" s="295"/>
      <c r="Y39" s="48"/>
      <c r="Z39" s="48"/>
      <c r="AA39" s="48"/>
      <c r="AB39" s="48"/>
    </row>
    <row r="40" spans="2:28" ht="15" customHeight="1">
      <c r="B40" s="295"/>
      <c r="C40" s="805" t="s">
        <v>443</v>
      </c>
      <c r="D40" s="806"/>
      <c r="E40" s="806"/>
      <c r="F40" s="806"/>
      <c r="G40" s="806"/>
      <c r="H40" s="806"/>
      <c r="I40" s="806"/>
      <c r="J40" s="806"/>
      <c r="K40" s="806"/>
      <c r="L40" s="806"/>
      <c r="M40" s="806"/>
      <c r="N40" s="806"/>
      <c r="O40" s="806"/>
      <c r="Y40" s="48"/>
      <c r="Z40" s="48"/>
      <c r="AA40" s="48"/>
      <c r="AB40" s="48"/>
    </row>
    <row r="41" spans="2:28" ht="15" customHeight="1">
      <c r="B41" s="295"/>
      <c r="C41" s="806"/>
      <c r="D41" s="806"/>
      <c r="E41" s="806"/>
      <c r="F41" s="806"/>
      <c r="G41" s="806"/>
      <c r="H41" s="806"/>
      <c r="I41" s="806"/>
      <c r="J41" s="806"/>
      <c r="K41" s="806"/>
      <c r="L41" s="806"/>
      <c r="M41" s="806"/>
      <c r="N41" s="806"/>
      <c r="O41" s="806"/>
      <c r="Y41" s="48"/>
      <c r="Z41" s="48"/>
      <c r="AA41" s="48"/>
      <c r="AB41" s="48"/>
    </row>
    <row r="42" spans="2:28" ht="15" customHeight="1">
      <c r="B42" s="295"/>
      <c r="C42" s="806"/>
      <c r="D42" s="806"/>
      <c r="E42" s="806"/>
      <c r="F42" s="806"/>
      <c r="G42" s="806"/>
      <c r="H42" s="806"/>
      <c r="I42" s="806"/>
      <c r="J42" s="806"/>
      <c r="K42" s="806"/>
      <c r="L42" s="806"/>
      <c r="M42" s="806"/>
      <c r="N42" s="806"/>
      <c r="O42" s="806"/>
      <c r="Y42" s="48"/>
      <c r="Z42" s="48"/>
      <c r="AA42" s="48"/>
      <c r="AB42" s="48"/>
    </row>
    <row r="43" spans="2:28" ht="15" customHeight="1">
      <c r="B43" s="295"/>
      <c r="C43" s="806"/>
      <c r="D43" s="806"/>
      <c r="E43" s="806"/>
      <c r="F43" s="806"/>
      <c r="G43" s="806"/>
      <c r="H43" s="806"/>
      <c r="I43" s="806"/>
      <c r="J43" s="806"/>
      <c r="K43" s="806"/>
      <c r="L43" s="806"/>
      <c r="M43" s="806"/>
      <c r="N43" s="806"/>
      <c r="O43" s="806"/>
      <c r="Y43" s="48"/>
      <c r="Z43" s="48"/>
      <c r="AA43" s="48"/>
      <c r="AB43" s="48"/>
    </row>
    <row r="44" spans="2:28" ht="15" customHeight="1">
      <c r="B44" s="295"/>
      <c r="C44" s="806"/>
      <c r="D44" s="806"/>
      <c r="E44" s="806"/>
      <c r="F44" s="806"/>
      <c r="G44" s="806"/>
      <c r="H44" s="806"/>
      <c r="I44" s="806"/>
      <c r="J44" s="806"/>
      <c r="K44" s="806"/>
      <c r="L44" s="806"/>
      <c r="M44" s="806"/>
      <c r="N44" s="806"/>
      <c r="O44" s="806"/>
      <c r="Y44" s="48"/>
      <c r="Z44" s="48"/>
      <c r="AA44" s="48"/>
      <c r="AB44" s="48"/>
    </row>
    <row r="45" spans="2:28" ht="15" customHeight="1">
      <c r="B45" s="295"/>
      <c r="C45" s="806"/>
      <c r="D45" s="806"/>
      <c r="E45" s="806"/>
      <c r="F45" s="806"/>
      <c r="G45" s="806"/>
      <c r="H45" s="806"/>
      <c r="I45" s="806"/>
      <c r="J45" s="806"/>
      <c r="K45" s="806"/>
      <c r="L45" s="806"/>
      <c r="M45" s="806"/>
      <c r="N45" s="806"/>
      <c r="O45" s="806"/>
      <c r="Y45" s="48"/>
      <c r="Z45" s="48"/>
      <c r="AA45" s="48"/>
      <c r="AB45" s="48"/>
    </row>
    <row r="46" spans="2:28" ht="15" customHeight="1">
      <c r="B46" s="295"/>
      <c r="C46" s="806"/>
      <c r="D46" s="806"/>
      <c r="E46" s="806"/>
      <c r="F46" s="806"/>
      <c r="G46" s="806"/>
      <c r="H46" s="806"/>
      <c r="I46" s="806"/>
      <c r="J46" s="806"/>
      <c r="K46" s="806"/>
      <c r="L46" s="806"/>
      <c r="M46" s="806"/>
      <c r="N46" s="806"/>
      <c r="O46" s="806"/>
      <c r="Y46" s="48"/>
      <c r="Z46" s="48"/>
      <c r="AA46" s="48"/>
      <c r="AB46" s="48"/>
    </row>
    <row r="47" spans="2:28" ht="15" customHeight="1">
      <c r="B47" s="295"/>
      <c r="C47" s="806"/>
      <c r="D47" s="806"/>
      <c r="E47" s="806"/>
      <c r="F47" s="806"/>
      <c r="G47" s="806"/>
      <c r="H47" s="806"/>
      <c r="I47" s="806"/>
      <c r="J47" s="806"/>
      <c r="K47" s="806"/>
      <c r="L47" s="806"/>
      <c r="M47" s="806"/>
      <c r="N47" s="806"/>
      <c r="O47" s="806"/>
      <c r="Y47" s="48"/>
      <c r="Z47" s="48"/>
      <c r="AA47" s="48"/>
      <c r="AB47" s="48"/>
    </row>
    <row r="48" spans="2:28" ht="15" customHeight="1">
      <c r="B48" s="295"/>
      <c r="C48" s="806"/>
      <c r="D48" s="806"/>
      <c r="E48" s="806"/>
      <c r="F48" s="806"/>
      <c r="G48" s="806"/>
      <c r="H48" s="806"/>
      <c r="I48" s="806"/>
      <c r="J48" s="806"/>
      <c r="K48" s="806"/>
      <c r="L48" s="806"/>
      <c r="M48" s="806"/>
      <c r="N48" s="806"/>
      <c r="O48" s="806"/>
      <c r="Y48" s="48"/>
      <c r="Z48" s="48"/>
      <c r="AA48" s="48"/>
      <c r="AB48" s="48"/>
    </row>
    <row r="49" spans="2:28" ht="15" customHeight="1">
      <c r="B49" s="295"/>
      <c r="C49" s="806"/>
      <c r="D49" s="806"/>
      <c r="E49" s="806"/>
      <c r="F49" s="806"/>
      <c r="G49" s="806"/>
      <c r="H49" s="806"/>
      <c r="I49" s="806"/>
      <c r="J49" s="806"/>
      <c r="K49" s="806"/>
      <c r="L49" s="806"/>
      <c r="M49" s="806"/>
      <c r="N49" s="806"/>
      <c r="O49" s="806"/>
      <c r="Y49" s="48"/>
      <c r="Z49" s="48"/>
      <c r="AA49" s="48"/>
      <c r="AB49" s="48"/>
    </row>
    <row r="50" spans="2:28" ht="15" customHeight="1">
      <c r="B50" s="295"/>
      <c r="C50" s="806"/>
      <c r="D50" s="806"/>
      <c r="E50" s="806"/>
      <c r="F50" s="806"/>
      <c r="G50" s="806"/>
      <c r="H50" s="806"/>
      <c r="I50" s="806"/>
      <c r="J50" s="806"/>
      <c r="K50" s="806"/>
      <c r="L50" s="806"/>
      <c r="M50" s="806"/>
      <c r="N50" s="806"/>
      <c r="O50" s="806"/>
      <c r="Y50" s="48"/>
      <c r="Z50" s="48"/>
      <c r="AA50" s="48"/>
      <c r="AB50" s="48"/>
    </row>
    <row r="51" spans="2:28" ht="15" customHeight="1">
      <c r="B51" s="295"/>
      <c r="C51" s="295"/>
      <c r="D51" s="315" t="s">
        <v>402</v>
      </c>
      <c r="E51" s="314"/>
      <c r="F51" s="314"/>
      <c r="G51" s="314"/>
      <c r="H51" s="314"/>
      <c r="I51" s="314"/>
      <c r="J51" s="314"/>
      <c r="K51" s="314"/>
      <c r="L51" s="314"/>
      <c r="M51" s="322"/>
      <c r="N51" s="295"/>
      <c r="O51" s="295"/>
      <c r="Y51" s="48"/>
      <c r="Z51" s="48"/>
      <c r="AA51" s="48"/>
      <c r="AB51" s="48"/>
    </row>
    <row r="52" spans="2:28" ht="15" customHeight="1">
      <c r="B52" s="295"/>
      <c r="C52" s="805" t="s">
        <v>444</v>
      </c>
      <c r="D52" s="806"/>
      <c r="E52" s="806"/>
      <c r="F52" s="806"/>
      <c r="G52" s="806"/>
      <c r="H52" s="806"/>
      <c r="I52" s="806"/>
      <c r="J52" s="806"/>
      <c r="K52" s="806"/>
      <c r="L52" s="806"/>
      <c r="M52" s="806"/>
      <c r="N52" s="806"/>
      <c r="O52" s="806"/>
      <c r="Y52" s="48"/>
      <c r="Z52" s="48"/>
      <c r="AA52" s="48"/>
      <c r="AB52" s="48"/>
    </row>
    <row r="53" spans="2:28" ht="15" customHeight="1">
      <c r="B53" s="295"/>
      <c r="C53" s="806"/>
      <c r="D53" s="806"/>
      <c r="E53" s="806"/>
      <c r="F53" s="806"/>
      <c r="G53" s="806"/>
      <c r="H53" s="806"/>
      <c r="I53" s="806"/>
      <c r="J53" s="806"/>
      <c r="K53" s="806"/>
      <c r="L53" s="806"/>
      <c r="M53" s="806"/>
      <c r="N53" s="806"/>
      <c r="O53" s="806"/>
      <c r="Y53" s="48"/>
      <c r="Z53" s="48"/>
      <c r="AA53" s="48"/>
      <c r="AB53" s="48"/>
    </row>
    <row r="54" spans="2:28" ht="15" customHeight="1">
      <c r="B54" s="295"/>
      <c r="C54" s="806"/>
      <c r="D54" s="806"/>
      <c r="E54" s="806"/>
      <c r="F54" s="806"/>
      <c r="G54" s="806"/>
      <c r="H54" s="806"/>
      <c r="I54" s="806"/>
      <c r="J54" s="806"/>
      <c r="K54" s="806"/>
      <c r="L54" s="806"/>
      <c r="M54" s="806"/>
      <c r="N54" s="806"/>
      <c r="O54" s="806"/>
      <c r="Y54" s="48"/>
      <c r="Z54" s="48"/>
      <c r="AA54" s="48"/>
      <c r="AB54" s="48"/>
    </row>
    <row r="55" spans="2:28" ht="15" customHeight="1">
      <c r="B55" s="295"/>
      <c r="C55" s="806"/>
      <c r="D55" s="806"/>
      <c r="E55" s="806"/>
      <c r="F55" s="806"/>
      <c r="G55" s="806"/>
      <c r="H55" s="806"/>
      <c r="I55" s="806"/>
      <c r="J55" s="806"/>
      <c r="K55" s="806"/>
      <c r="L55" s="806"/>
      <c r="M55" s="806"/>
      <c r="N55" s="806"/>
      <c r="O55" s="806"/>
      <c r="Y55" s="48"/>
      <c r="Z55" s="48"/>
      <c r="AA55" s="48"/>
      <c r="AB55" s="48"/>
    </row>
    <row r="56" spans="2:28" ht="15" customHeight="1">
      <c r="B56" s="295"/>
      <c r="C56" s="806"/>
      <c r="D56" s="806"/>
      <c r="E56" s="806"/>
      <c r="F56" s="806"/>
      <c r="G56" s="806"/>
      <c r="H56" s="806"/>
      <c r="I56" s="806"/>
      <c r="J56" s="806"/>
      <c r="K56" s="806"/>
      <c r="L56" s="806"/>
      <c r="M56" s="806"/>
      <c r="N56" s="806"/>
      <c r="O56" s="806"/>
      <c r="Y56" s="48"/>
      <c r="Z56" s="48"/>
      <c r="AA56" s="48"/>
      <c r="AB56" s="48"/>
    </row>
    <row r="57" spans="2:28" ht="15" customHeight="1">
      <c r="B57" s="295"/>
      <c r="C57" s="806"/>
      <c r="D57" s="806"/>
      <c r="E57" s="806"/>
      <c r="F57" s="806"/>
      <c r="G57" s="806"/>
      <c r="H57" s="806"/>
      <c r="I57" s="806"/>
      <c r="J57" s="806"/>
      <c r="K57" s="806"/>
      <c r="L57" s="806"/>
      <c r="M57" s="806"/>
      <c r="N57" s="806"/>
      <c r="O57" s="806"/>
      <c r="Y57" s="48"/>
      <c r="Z57" s="48"/>
      <c r="AA57" s="48"/>
      <c r="AB57" s="48"/>
    </row>
    <row r="58" spans="2:28" ht="15" customHeight="1">
      <c r="B58" s="295"/>
      <c r="C58" s="806"/>
      <c r="D58" s="806"/>
      <c r="E58" s="806"/>
      <c r="F58" s="806"/>
      <c r="G58" s="806"/>
      <c r="H58" s="806"/>
      <c r="I58" s="806"/>
      <c r="J58" s="806"/>
      <c r="K58" s="806"/>
      <c r="L58" s="806"/>
      <c r="M58" s="806"/>
      <c r="N58" s="806"/>
      <c r="O58" s="806"/>
      <c r="Y58" s="48"/>
      <c r="Z58" s="48"/>
      <c r="AA58" s="48"/>
      <c r="AB58" s="48"/>
    </row>
    <row r="59" spans="2:28" ht="15" customHeight="1">
      <c r="B59" s="295"/>
      <c r="C59" s="806"/>
      <c r="D59" s="806"/>
      <c r="E59" s="806"/>
      <c r="F59" s="806"/>
      <c r="G59" s="806"/>
      <c r="H59" s="806"/>
      <c r="I59" s="806"/>
      <c r="J59" s="806"/>
      <c r="K59" s="806"/>
      <c r="L59" s="806"/>
      <c r="M59" s="806"/>
      <c r="N59" s="806"/>
      <c r="O59" s="806"/>
      <c r="Y59" s="48"/>
      <c r="Z59" s="48"/>
      <c r="AA59" s="48"/>
      <c r="AB59" s="48"/>
    </row>
    <row r="60" spans="2:28" ht="15" customHeight="1">
      <c r="B60" s="295"/>
      <c r="C60" s="806"/>
      <c r="D60" s="806"/>
      <c r="E60" s="806"/>
      <c r="F60" s="806"/>
      <c r="G60" s="806"/>
      <c r="H60" s="806"/>
      <c r="I60" s="806"/>
      <c r="J60" s="806"/>
      <c r="K60" s="806"/>
      <c r="L60" s="806"/>
      <c r="M60" s="806"/>
      <c r="N60" s="806"/>
      <c r="O60" s="806"/>
      <c r="Y60" s="48"/>
      <c r="Z60" s="48"/>
      <c r="AA60" s="48"/>
      <c r="AB60" s="48"/>
    </row>
    <row r="61" spans="2:28" ht="15" customHeight="1">
      <c r="B61" s="295"/>
      <c r="C61" s="806"/>
      <c r="D61" s="806"/>
      <c r="E61" s="806"/>
      <c r="F61" s="806"/>
      <c r="G61" s="806"/>
      <c r="H61" s="806"/>
      <c r="I61" s="806"/>
      <c r="J61" s="806"/>
      <c r="K61" s="806"/>
      <c r="L61" s="806"/>
      <c r="M61" s="806"/>
      <c r="N61" s="806"/>
      <c r="O61" s="806"/>
      <c r="Y61" s="48"/>
      <c r="Z61" s="48"/>
      <c r="AA61" s="48"/>
      <c r="AB61" s="48"/>
    </row>
    <row r="62" spans="2:28" ht="15" customHeight="1">
      <c r="B62" s="295"/>
      <c r="C62" s="806"/>
      <c r="D62" s="806"/>
      <c r="E62" s="806"/>
      <c r="F62" s="806"/>
      <c r="G62" s="806"/>
      <c r="H62" s="806"/>
      <c r="I62" s="806"/>
      <c r="J62" s="806"/>
      <c r="K62" s="806"/>
      <c r="L62" s="806"/>
      <c r="M62" s="806"/>
      <c r="N62" s="806"/>
      <c r="O62" s="806"/>
      <c r="Y62" s="48"/>
      <c r="Z62" s="48"/>
      <c r="AA62" s="48"/>
      <c r="AB62" s="48"/>
    </row>
    <row r="63" spans="2:28" ht="15" customHeight="1">
      <c r="B63" s="295"/>
      <c r="C63" s="295"/>
      <c r="D63" s="315" t="s">
        <v>403</v>
      </c>
      <c r="E63" s="314"/>
      <c r="F63" s="314"/>
      <c r="G63" s="314"/>
      <c r="H63" s="314"/>
      <c r="I63" s="314"/>
      <c r="J63" s="314"/>
      <c r="K63" s="314"/>
      <c r="L63" s="314"/>
      <c r="M63" s="322"/>
      <c r="N63" s="295"/>
      <c r="O63" s="295"/>
      <c r="Y63" s="48"/>
      <c r="Z63" s="48"/>
      <c r="AA63" s="48"/>
      <c r="AB63" s="48"/>
    </row>
    <row r="64" spans="2:28" ht="15" customHeight="1">
      <c r="B64" s="295"/>
      <c r="C64" s="805" t="s">
        <v>445</v>
      </c>
      <c r="D64" s="806"/>
      <c r="E64" s="806"/>
      <c r="F64" s="806"/>
      <c r="G64" s="806"/>
      <c r="H64" s="806"/>
      <c r="I64" s="806"/>
      <c r="J64" s="806"/>
      <c r="K64" s="806"/>
      <c r="L64" s="806"/>
      <c r="M64" s="806"/>
      <c r="N64" s="806"/>
      <c r="O64" s="806"/>
      <c r="Y64" s="48"/>
      <c r="Z64" s="48"/>
      <c r="AA64" s="48"/>
      <c r="AB64" s="48"/>
    </row>
    <row r="65" spans="2:28" ht="15" customHeight="1">
      <c r="B65" s="295"/>
      <c r="C65" s="806"/>
      <c r="D65" s="806"/>
      <c r="E65" s="806"/>
      <c r="F65" s="806"/>
      <c r="G65" s="806"/>
      <c r="H65" s="806"/>
      <c r="I65" s="806"/>
      <c r="J65" s="806"/>
      <c r="K65" s="806"/>
      <c r="L65" s="806"/>
      <c r="M65" s="806"/>
      <c r="N65" s="806"/>
      <c r="O65" s="806"/>
      <c r="Y65" s="48"/>
      <c r="Z65" s="48"/>
      <c r="AA65" s="48"/>
      <c r="AB65" s="48"/>
    </row>
    <row r="66" spans="2:28" ht="15" customHeight="1">
      <c r="B66" s="295"/>
      <c r="C66" s="806"/>
      <c r="D66" s="806"/>
      <c r="E66" s="806"/>
      <c r="F66" s="806"/>
      <c r="G66" s="806"/>
      <c r="H66" s="806"/>
      <c r="I66" s="806"/>
      <c r="J66" s="806"/>
      <c r="K66" s="806"/>
      <c r="L66" s="806"/>
      <c r="M66" s="806"/>
      <c r="N66" s="806"/>
      <c r="O66" s="806"/>
      <c r="Y66" s="48"/>
      <c r="Z66" s="48"/>
      <c r="AA66" s="48"/>
      <c r="AB66" s="48"/>
    </row>
    <row r="67" spans="2:28" ht="15" customHeight="1">
      <c r="B67" s="295"/>
      <c r="C67" s="806"/>
      <c r="D67" s="806"/>
      <c r="E67" s="806"/>
      <c r="F67" s="806"/>
      <c r="G67" s="806"/>
      <c r="H67" s="806"/>
      <c r="I67" s="806"/>
      <c r="J67" s="806"/>
      <c r="K67" s="806"/>
      <c r="L67" s="806"/>
      <c r="M67" s="806"/>
      <c r="N67" s="806"/>
      <c r="O67" s="806"/>
      <c r="Y67" s="48"/>
      <c r="Z67" s="48"/>
      <c r="AA67" s="48"/>
      <c r="AB67" s="48"/>
    </row>
    <row r="68" spans="2:28" ht="15" customHeight="1">
      <c r="B68" s="295"/>
      <c r="C68" s="806"/>
      <c r="D68" s="806"/>
      <c r="E68" s="806"/>
      <c r="F68" s="806"/>
      <c r="G68" s="806"/>
      <c r="H68" s="806"/>
      <c r="I68" s="806"/>
      <c r="J68" s="806"/>
      <c r="K68" s="806"/>
      <c r="L68" s="806"/>
      <c r="M68" s="806"/>
      <c r="N68" s="806"/>
      <c r="O68" s="806"/>
      <c r="Y68" s="48"/>
      <c r="Z68" s="48"/>
      <c r="AA68" s="48"/>
      <c r="AB68" s="48"/>
    </row>
    <row r="69" spans="2:28" ht="15" customHeight="1">
      <c r="B69" s="295"/>
      <c r="C69" s="806"/>
      <c r="D69" s="806"/>
      <c r="E69" s="806"/>
      <c r="F69" s="806"/>
      <c r="G69" s="806"/>
      <c r="H69" s="806"/>
      <c r="I69" s="806"/>
      <c r="J69" s="806"/>
      <c r="K69" s="806"/>
      <c r="L69" s="806"/>
      <c r="M69" s="806"/>
      <c r="N69" s="806"/>
      <c r="O69" s="806"/>
      <c r="Y69" s="48"/>
      <c r="Z69" s="48"/>
      <c r="AA69" s="48"/>
      <c r="AB69" s="48"/>
    </row>
    <row r="70" spans="2:28" ht="15" customHeight="1">
      <c r="B70" s="295"/>
      <c r="C70" s="806"/>
      <c r="D70" s="806"/>
      <c r="E70" s="806"/>
      <c r="F70" s="806"/>
      <c r="G70" s="806"/>
      <c r="H70" s="806"/>
      <c r="I70" s="806"/>
      <c r="J70" s="806"/>
      <c r="K70" s="806"/>
      <c r="L70" s="806"/>
      <c r="M70" s="806"/>
      <c r="N70" s="806"/>
      <c r="O70" s="806"/>
      <c r="Y70" s="48"/>
      <c r="Z70" s="48"/>
      <c r="AA70" s="48"/>
      <c r="AB70" s="48"/>
    </row>
    <row r="71" spans="2:28" ht="15" customHeight="1">
      <c r="B71" s="295"/>
      <c r="C71" s="806"/>
      <c r="D71" s="806"/>
      <c r="E71" s="806"/>
      <c r="F71" s="806"/>
      <c r="G71" s="806"/>
      <c r="H71" s="806"/>
      <c r="I71" s="806"/>
      <c r="J71" s="806"/>
      <c r="K71" s="806"/>
      <c r="L71" s="806"/>
      <c r="M71" s="806"/>
      <c r="N71" s="806"/>
      <c r="O71" s="806"/>
      <c r="Y71" s="48"/>
      <c r="Z71" s="48"/>
      <c r="AA71" s="48"/>
      <c r="AB71" s="48"/>
    </row>
    <row r="72" spans="2:28" ht="15" customHeight="1">
      <c r="B72" s="295"/>
      <c r="C72" s="806"/>
      <c r="D72" s="806"/>
      <c r="E72" s="806"/>
      <c r="F72" s="806"/>
      <c r="G72" s="806"/>
      <c r="H72" s="806"/>
      <c r="I72" s="806"/>
      <c r="J72" s="806"/>
      <c r="K72" s="806"/>
      <c r="L72" s="806"/>
      <c r="M72" s="806"/>
      <c r="N72" s="806"/>
      <c r="O72" s="806"/>
      <c r="Y72" s="48"/>
      <c r="Z72" s="48"/>
      <c r="AA72" s="48"/>
      <c r="AB72" s="48"/>
    </row>
    <row r="73" spans="2:28" ht="15" customHeight="1">
      <c r="B73" s="295"/>
      <c r="C73" s="806"/>
      <c r="D73" s="806"/>
      <c r="E73" s="806"/>
      <c r="F73" s="806"/>
      <c r="G73" s="806"/>
      <c r="H73" s="806"/>
      <c r="I73" s="806"/>
      <c r="J73" s="806"/>
      <c r="K73" s="806"/>
      <c r="L73" s="806"/>
      <c r="M73" s="806"/>
      <c r="N73" s="806"/>
      <c r="O73" s="806"/>
      <c r="Y73" s="48"/>
      <c r="Z73" s="48"/>
      <c r="AA73" s="48"/>
      <c r="AB73" s="48"/>
    </row>
    <row r="74" spans="2:28" ht="15" customHeight="1">
      <c r="B74" s="295"/>
      <c r="C74" s="806"/>
      <c r="D74" s="806"/>
      <c r="E74" s="806"/>
      <c r="F74" s="806"/>
      <c r="G74" s="806"/>
      <c r="H74" s="806"/>
      <c r="I74" s="806"/>
      <c r="J74" s="806"/>
      <c r="K74" s="806"/>
      <c r="L74" s="806"/>
      <c r="M74" s="806"/>
      <c r="N74" s="806"/>
      <c r="O74" s="806"/>
      <c r="Y74" s="48"/>
      <c r="Z74" s="48"/>
      <c r="AA74" s="48"/>
      <c r="AB74" s="48"/>
    </row>
    <row r="75" spans="2:28" ht="15" customHeight="1">
      <c r="B75" s="295"/>
      <c r="C75" s="295"/>
      <c r="D75" s="314"/>
      <c r="E75" s="314"/>
      <c r="F75" s="314"/>
      <c r="G75" s="314"/>
      <c r="H75" s="314"/>
      <c r="I75" s="314"/>
      <c r="J75" s="314"/>
      <c r="K75" s="314"/>
      <c r="L75" s="314"/>
      <c r="M75" s="322"/>
      <c r="N75" s="295"/>
      <c r="O75" s="295"/>
      <c r="X75" s="48"/>
      <c r="Y75" s="48"/>
      <c r="Z75" s="48"/>
      <c r="AA75" s="48"/>
      <c r="AB75" s="48"/>
    </row>
    <row r="76" spans="2:28" ht="15" customHeight="1">
      <c r="D76" s="313"/>
      <c r="E76" s="313"/>
      <c r="F76" s="313"/>
      <c r="G76" s="313"/>
      <c r="H76" s="313"/>
      <c r="I76" s="313"/>
      <c r="J76" s="313"/>
      <c r="K76" s="313"/>
      <c r="L76" s="313"/>
      <c r="M76" s="312"/>
      <c r="X76" s="48"/>
      <c r="Y76" s="48"/>
      <c r="Z76" s="48"/>
      <c r="AA76" s="48"/>
      <c r="AB76" s="48"/>
    </row>
    <row r="77" spans="2:28" ht="15" customHeight="1">
      <c r="M77" s="312"/>
      <c r="X77" s="48"/>
      <c r="Y77" s="48"/>
      <c r="Z77" s="48"/>
      <c r="AA77" s="48"/>
      <c r="AB77" s="48"/>
    </row>
    <row r="78" spans="2:28" ht="15" customHeight="1">
      <c r="M78" s="312"/>
      <c r="X78" s="48"/>
      <c r="Y78" s="48"/>
      <c r="Z78" s="48"/>
      <c r="AA78" s="48"/>
      <c r="AB78" s="48"/>
    </row>
    <row r="79" spans="2:28" ht="15" customHeight="1">
      <c r="M79" s="312"/>
      <c r="X79" s="48"/>
      <c r="Y79" s="48"/>
      <c r="Z79" s="48"/>
      <c r="AA79" s="48"/>
      <c r="AB79" s="48"/>
    </row>
    <row r="80" spans="2:28" ht="15" customHeight="1">
      <c r="C80" s="294" t="s">
        <v>413</v>
      </c>
      <c r="D80" s="294" t="s">
        <v>399</v>
      </c>
      <c r="E80" s="295"/>
      <c r="F80" s="295"/>
      <c r="G80" s="295"/>
      <c r="H80" s="295"/>
      <c r="I80" s="295"/>
      <c r="J80" s="295"/>
      <c r="K80" s="295"/>
      <c r="L80" s="295"/>
      <c r="M80" s="285"/>
      <c r="X80" s="48"/>
      <c r="Y80" s="48"/>
      <c r="Z80" s="48"/>
      <c r="AA80" s="48"/>
      <c r="AB80" s="48"/>
    </row>
    <row r="81" spans="3:28" ht="15" customHeight="1">
      <c r="C81" s="295"/>
      <c r="D81" s="796" t="s">
        <v>524</v>
      </c>
      <c r="E81" s="808"/>
      <c r="F81" s="808"/>
      <c r="G81" s="808"/>
      <c r="H81" s="808"/>
      <c r="I81" s="808"/>
      <c r="J81" s="808"/>
      <c r="K81" s="808"/>
      <c r="L81" s="808"/>
      <c r="M81" s="808"/>
      <c r="N81" s="808"/>
      <c r="P81" s="804" t="s">
        <v>475</v>
      </c>
      <c r="Q81" s="802"/>
      <c r="R81" s="802"/>
      <c r="X81" s="48"/>
      <c r="Y81" s="48"/>
      <c r="Z81" s="48"/>
      <c r="AA81" s="48"/>
      <c r="AB81" s="48"/>
    </row>
    <row r="82" spans="3:28" ht="15" customHeight="1">
      <c r="C82" s="295"/>
      <c r="D82" s="808"/>
      <c r="E82" s="808"/>
      <c r="F82" s="808"/>
      <c r="G82" s="808"/>
      <c r="H82" s="808"/>
      <c r="I82" s="808"/>
      <c r="J82" s="808"/>
      <c r="K82" s="808"/>
      <c r="L82" s="808"/>
      <c r="M82" s="808"/>
      <c r="N82" s="808"/>
      <c r="P82" s="802"/>
      <c r="Q82" s="802"/>
      <c r="R82" s="802"/>
      <c r="X82" s="48"/>
      <c r="Y82" s="48"/>
      <c r="Z82" s="48"/>
      <c r="AA82" s="48"/>
      <c r="AB82" s="48"/>
    </row>
    <row r="83" spans="3:28" ht="15" customHeight="1">
      <c r="C83" s="295"/>
      <c r="D83" s="808"/>
      <c r="E83" s="808"/>
      <c r="F83" s="808"/>
      <c r="G83" s="808"/>
      <c r="H83" s="808"/>
      <c r="I83" s="808"/>
      <c r="J83" s="808"/>
      <c r="K83" s="808"/>
      <c r="L83" s="808"/>
      <c r="M83" s="808"/>
      <c r="N83" s="808"/>
      <c r="P83" s="802"/>
      <c r="Q83" s="802"/>
      <c r="R83" s="802"/>
      <c r="X83" s="48"/>
      <c r="Y83" s="48"/>
      <c r="Z83" s="48"/>
      <c r="AA83" s="48"/>
      <c r="AB83" s="48"/>
    </row>
    <row r="84" spans="3:28" ht="15" customHeight="1">
      <c r="C84" s="295"/>
      <c r="D84" s="808"/>
      <c r="E84" s="808"/>
      <c r="F84" s="808"/>
      <c r="G84" s="808"/>
      <c r="H84" s="808"/>
      <c r="I84" s="808"/>
      <c r="J84" s="808"/>
      <c r="K84" s="808"/>
      <c r="L84" s="808"/>
      <c r="M84" s="808"/>
      <c r="N84" s="808"/>
      <c r="P84" s="802"/>
      <c r="Q84" s="802"/>
      <c r="R84" s="802"/>
      <c r="X84" s="48"/>
      <c r="Y84" s="48"/>
      <c r="Z84" s="48"/>
      <c r="AA84" s="48"/>
      <c r="AB84" s="48"/>
    </row>
    <row r="85" spans="3:28" ht="15" customHeight="1">
      <c r="C85" s="295"/>
      <c r="D85" s="808"/>
      <c r="E85" s="808"/>
      <c r="F85" s="808"/>
      <c r="G85" s="808"/>
      <c r="H85" s="808"/>
      <c r="I85" s="808"/>
      <c r="J85" s="808"/>
      <c r="K85" s="808"/>
      <c r="L85" s="808"/>
      <c r="M85" s="808"/>
      <c r="N85" s="808"/>
      <c r="P85" s="802"/>
      <c r="Q85" s="802"/>
      <c r="R85" s="802"/>
      <c r="X85" s="48"/>
      <c r="Y85" s="48"/>
      <c r="Z85" s="48"/>
      <c r="AA85" s="48"/>
      <c r="AB85" s="48"/>
    </row>
    <row r="86" spans="3:28" ht="15" customHeight="1">
      <c r="C86" s="295"/>
      <c r="D86" s="808"/>
      <c r="E86" s="808"/>
      <c r="F86" s="808"/>
      <c r="G86" s="808"/>
      <c r="H86" s="808"/>
      <c r="I86" s="808"/>
      <c r="J86" s="808"/>
      <c r="K86" s="808"/>
      <c r="L86" s="808"/>
      <c r="M86" s="808"/>
      <c r="N86" s="808"/>
      <c r="P86" s="802"/>
      <c r="Q86" s="802"/>
      <c r="R86" s="802"/>
      <c r="X86" s="48"/>
      <c r="Y86" s="48"/>
      <c r="Z86" s="48"/>
      <c r="AA86" s="48"/>
      <c r="AB86" s="48"/>
    </row>
    <row r="87" spans="3:28" ht="15" customHeight="1">
      <c r="C87" s="295"/>
      <c r="D87" s="808"/>
      <c r="E87" s="808"/>
      <c r="F87" s="808"/>
      <c r="G87" s="808"/>
      <c r="H87" s="808"/>
      <c r="I87" s="808"/>
      <c r="J87" s="808"/>
      <c r="K87" s="808"/>
      <c r="L87" s="808"/>
      <c r="M87" s="808"/>
      <c r="N87" s="808"/>
      <c r="P87" s="802"/>
      <c r="Q87" s="802"/>
      <c r="R87" s="802"/>
      <c r="X87" s="48"/>
      <c r="Y87" s="48"/>
      <c r="Z87" s="48"/>
      <c r="AA87" s="48"/>
      <c r="AB87" s="48"/>
    </row>
    <row r="88" spans="3:28" ht="15" customHeight="1">
      <c r="C88" s="295"/>
      <c r="D88" s="808"/>
      <c r="E88" s="808"/>
      <c r="F88" s="808"/>
      <c r="G88" s="808"/>
      <c r="H88" s="808"/>
      <c r="I88" s="808"/>
      <c r="J88" s="808"/>
      <c r="K88" s="808"/>
      <c r="L88" s="808"/>
      <c r="M88" s="808"/>
      <c r="N88" s="808"/>
      <c r="P88" s="802"/>
      <c r="Q88" s="802"/>
      <c r="R88" s="802"/>
      <c r="X88" s="48"/>
      <c r="Y88" s="48"/>
      <c r="Z88" s="48"/>
      <c r="AA88" s="48"/>
      <c r="AB88" s="48"/>
    </row>
    <row r="89" spans="3:28" ht="15" customHeight="1">
      <c r="C89" s="295"/>
      <c r="D89" s="808"/>
      <c r="E89" s="808"/>
      <c r="F89" s="808"/>
      <c r="G89" s="808"/>
      <c r="H89" s="808"/>
      <c r="I89" s="808"/>
      <c r="J89" s="808"/>
      <c r="K89" s="808"/>
      <c r="L89" s="808"/>
      <c r="M89" s="808"/>
      <c r="N89" s="808"/>
      <c r="P89" s="802"/>
      <c r="Q89" s="802"/>
      <c r="R89" s="802"/>
      <c r="X89" s="48"/>
      <c r="Y89" s="48"/>
      <c r="Z89" s="48"/>
      <c r="AA89" s="48"/>
      <c r="AB89" s="48"/>
    </row>
    <row r="90" spans="3:28" ht="15" customHeight="1">
      <c r="C90" s="295"/>
      <c r="D90" s="808"/>
      <c r="E90" s="808"/>
      <c r="F90" s="808"/>
      <c r="G90" s="808"/>
      <c r="H90" s="808"/>
      <c r="I90" s="808"/>
      <c r="J90" s="808"/>
      <c r="K90" s="808"/>
      <c r="L90" s="808"/>
      <c r="M90" s="808"/>
      <c r="N90" s="808"/>
      <c r="P90" s="802"/>
      <c r="Q90" s="802"/>
      <c r="R90" s="802"/>
      <c r="X90" s="48"/>
      <c r="Y90" s="48"/>
      <c r="Z90" s="48"/>
      <c r="AA90" s="48"/>
      <c r="AB90" s="48"/>
    </row>
    <row r="91" spans="3:28" ht="15" customHeight="1">
      <c r="C91" s="295"/>
      <c r="D91" s="808"/>
      <c r="E91" s="808"/>
      <c r="F91" s="808"/>
      <c r="G91" s="808"/>
      <c r="H91" s="808"/>
      <c r="I91" s="808"/>
      <c r="J91" s="808"/>
      <c r="K91" s="808"/>
      <c r="L91" s="808"/>
      <c r="M91" s="808"/>
      <c r="N91" s="808"/>
      <c r="P91" s="802"/>
      <c r="Q91" s="802"/>
      <c r="R91" s="802"/>
      <c r="X91" s="48"/>
      <c r="Y91" s="48"/>
      <c r="Z91" s="48"/>
      <c r="AA91" s="48"/>
      <c r="AB91" s="48"/>
    </row>
    <row r="92" spans="3:28" ht="15" customHeight="1">
      <c r="C92" s="295"/>
      <c r="D92" s="808"/>
      <c r="E92" s="808"/>
      <c r="F92" s="808"/>
      <c r="G92" s="808"/>
      <c r="H92" s="808"/>
      <c r="I92" s="808"/>
      <c r="J92" s="808"/>
      <c r="K92" s="808"/>
      <c r="L92" s="808"/>
      <c r="M92" s="808"/>
      <c r="N92" s="808"/>
      <c r="P92" s="802"/>
      <c r="Q92" s="802"/>
      <c r="R92" s="802"/>
      <c r="X92" s="48"/>
      <c r="Y92" s="48"/>
      <c r="Z92" s="48"/>
      <c r="AA92" s="48"/>
      <c r="AB92" s="48"/>
    </row>
    <row r="93" spans="3:28" ht="15" customHeight="1">
      <c r="C93" s="295"/>
      <c r="D93" s="808"/>
      <c r="E93" s="808"/>
      <c r="F93" s="808"/>
      <c r="G93" s="808"/>
      <c r="H93" s="808"/>
      <c r="I93" s="808"/>
      <c r="J93" s="808"/>
      <c r="K93" s="808"/>
      <c r="L93" s="808"/>
      <c r="M93" s="808"/>
      <c r="N93" s="808"/>
      <c r="P93" s="802"/>
      <c r="Q93" s="802"/>
      <c r="R93" s="802"/>
      <c r="X93" s="48"/>
      <c r="Y93" s="48"/>
      <c r="Z93" s="48"/>
      <c r="AA93" s="48"/>
      <c r="AB93" s="48"/>
    </row>
    <row r="94" spans="3:28" ht="15" customHeight="1">
      <c r="C94" s="295"/>
      <c r="D94" s="808"/>
      <c r="E94" s="808"/>
      <c r="F94" s="808"/>
      <c r="G94" s="808"/>
      <c r="H94" s="808"/>
      <c r="I94" s="808"/>
      <c r="J94" s="808"/>
      <c r="K94" s="808"/>
      <c r="L94" s="808"/>
      <c r="M94" s="808"/>
      <c r="N94" s="808"/>
      <c r="P94" s="802"/>
      <c r="Q94" s="802"/>
      <c r="R94" s="802"/>
      <c r="X94" s="48"/>
      <c r="Y94" s="48"/>
      <c r="Z94" s="48"/>
      <c r="AA94" s="48"/>
      <c r="AB94" s="48"/>
    </row>
    <row r="95" spans="3:28" ht="15" customHeight="1">
      <c r="C95" s="295"/>
      <c r="D95" s="294" t="s">
        <v>400</v>
      </c>
      <c r="E95" s="302"/>
      <c r="F95" s="302"/>
      <c r="G95" s="302"/>
      <c r="H95" s="302"/>
      <c r="I95" s="302"/>
      <c r="J95" s="302"/>
      <c r="K95" s="302"/>
      <c r="L95" s="302"/>
      <c r="M95" s="300"/>
      <c r="N95" s="301"/>
      <c r="X95" s="48"/>
      <c r="Y95" s="48"/>
      <c r="Z95" s="48"/>
      <c r="AA95" s="48"/>
      <c r="AB95" s="48"/>
    </row>
    <row r="96" spans="3:28" ht="15" customHeight="1">
      <c r="C96" s="295"/>
      <c r="D96" s="808" t="s">
        <v>525</v>
      </c>
      <c r="E96" s="808"/>
      <c r="F96" s="808"/>
      <c r="G96" s="808"/>
      <c r="H96" s="808"/>
      <c r="I96" s="808"/>
      <c r="J96" s="808"/>
      <c r="K96" s="808"/>
      <c r="L96" s="808"/>
      <c r="M96" s="808"/>
      <c r="N96" s="808"/>
      <c r="P96" s="802" t="s">
        <v>476</v>
      </c>
      <c r="Q96" s="802"/>
      <c r="R96" s="802"/>
      <c r="X96" s="48"/>
      <c r="Y96" s="48"/>
      <c r="Z96" s="48"/>
      <c r="AA96" s="48"/>
      <c r="AB96" s="48"/>
    </row>
    <row r="97" spans="1:18" s="48" customFormat="1" ht="15" customHeight="1">
      <c r="A97" s="253"/>
      <c r="B97" s="45"/>
      <c r="C97" s="295"/>
      <c r="D97" s="808"/>
      <c r="E97" s="808"/>
      <c r="F97" s="808"/>
      <c r="G97" s="808"/>
      <c r="H97" s="808"/>
      <c r="I97" s="808"/>
      <c r="J97" s="808"/>
      <c r="K97" s="808"/>
      <c r="L97" s="808"/>
      <c r="M97" s="808"/>
      <c r="N97" s="808"/>
      <c r="O97" s="45"/>
      <c r="P97" s="802"/>
      <c r="Q97" s="802"/>
      <c r="R97" s="802"/>
    </row>
    <row r="98" spans="1:18" s="48" customFormat="1" ht="15" customHeight="1">
      <c r="A98" s="253"/>
      <c r="B98" s="45"/>
      <c r="C98" s="295"/>
      <c r="D98" s="808"/>
      <c r="E98" s="808"/>
      <c r="F98" s="808"/>
      <c r="G98" s="808"/>
      <c r="H98" s="808"/>
      <c r="I98" s="808"/>
      <c r="J98" s="808"/>
      <c r="K98" s="808"/>
      <c r="L98" s="808"/>
      <c r="M98" s="808"/>
      <c r="N98" s="808"/>
      <c r="O98" s="45"/>
      <c r="P98" s="802"/>
      <c r="Q98" s="802"/>
      <c r="R98" s="802"/>
    </row>
    <row r="99" spans="1:18" s="48" customFormat="1" ht="15" customHeight="1">
      <c r="A99" s="253"/>
      <c r="B99" s="45"/>
      <c r="C99" s="295"/>
      <c r="D99" s="808"/>
      <c r="E99" s="808"/>
      <c r="F99" s="808"/>
      <c r="G99" s="808"/>
      <c r="H99" s="808"/>
      <c r="I99" s="808"/>
      <c r="J99" s="808"/>
      <c r="K99" s="808"/>
      <c r="L99" s="808"/>
      <c r="M99" s="808"/>
      <c r="N99" s="808"/>
      <c r="O99" s="45"/>
      <c r="P99" s="802"/>
      <c r="Q99" s="802"/>
      <c r="R99" s="802"/>
    </row>
    <row r="100" spans="1:18" s="48" customFormat="1" ht="15" customHeight="1">
      <c r="A100" s="253"/>
      <c r="B100" s="45"/>
      <c r="C100" s="295"/>
      <c r="D100" s="808"/>
      <c r="E100" s="808"/>
      <c r="F100" s="808"/>
      <c r="G100" s="808"/>
      <c r="H100" s="808"/>
      <c r="I100" s="808"/>
      <c r="J100" s="808"/>
      <c r="K100" s="808"/>
      <c r="L100" s="808"/>
      <c r="M100" s="808"/>
      <c r="N100" s="808"/>
      <c r="O100" s="45"/>
      <c r="P100" s="802"/>
      <c r="Q100" s="802"/>
      <c r="R100" s="802"/>
    </row>
    <row r="101" spans="1:18" s="48" customFormat="1" ht="15" customHeight="1">
      <c r="A101" s="253"/>
      <c r="B101" s="45"/>
      <c r="C101" s="295"/>
      <c r="D101" s="808"/>
      <c r="E101" s="808"/>
      <c r="F101" s="808"/>
      <c r="G101" s="808"/>
      <c r="H101" s="808"/>
      <c r="I101" s="808"/>
      <c r="J101" s="808"/>
      <c r="K101" s="808"/>
      <c r="L101" s="808"/>
      <c r="M101" s="808"/>
      <c r="N101" s="808"/>
      <c r="O101" s="45"/>
      <c r="P101" s="802"/>
      <c r="Q101" s="802"/>
      <c r="R101" s="802"/>
    </row>
    <row r="102" spans="1:18" s="48" customFormat="1" ht="15" customHeight="1">
      <c r="A102" s="253"/>
      <c r="B102" s="45"/>
      <c r="C102" s="295"/>
      <c r="D102" s="808"/>
      <c r="E102" s="808"/>
      <c r="F102" s="808"/>
      <c r="G102" s="808"/>
      <c r="H102" s="808"/>
      <c r="I102" s="808"/>
      <c r="J102" s="808"/>
      <c r="K102" s="808"/>
      <c r="L102" s="808"/>
      <c r="M102" s="808"/>
      <c r="N102" s="808"/>
      <c r="O102" s="45"/>
      <c r="P102" s="802"/>
      <c r="Q102" s="802"/>
      <c r="R102" s="802"/>
    </row>
    <row r="103" spans="1:18" s="48" customFormat="1" ht="15" customHeight="1">
      <c r="A103" s="253"/>
      <c r="B103" s="45"/>
      <c r="C103" s="295"/>
      <c r="D103" s="808"/>
      <c r="E103" s="808"/>
      <c r="F103" s="808"/>
      <c r="G103" s="808"/>
      <c r="H103" s="808"/>
      <c r="I103" s="808"/>
      <c r="J103" s="808"/>
      <c r="K103" s="808"/>
      <c r="L103" s="808"/>
      <c r="M103" s="808"/>
      <c r="N103" s="808"/>
      <c r="O103" s="45"/>
      <c r="P103" s="802"/>
      <c r="Q103" s="802"/>
      <c r="R103" s="802"/>
    </row>
    <row r="104" spans="1:18" s="48" customFormat="1" ht="15" customHeight="1">
      <c r="A104" s="253"/>
      <c r="B104" s="45"/>
      <c r="C104" s="295"/>
      <c r="D104" s="808"/>
      <c r="E104" s="808"/>
      <c r="F104" s="808"/>
      <c r="G104" s="808"/>
      <c r="H104" s="808"/>
      <c r="I104" s="808"/>
      <c r="J104" s="808"/>
      <c r="K104" s="808"/>
      <c r="L104" s="808"/>
      <c r="M104" s="808"/>
      <c r="N104" s="808"/>
      <c r="O104" s="45"/>
      <c r="P104" s="802"/>
      <c r="Q104" s="802"/>
      <c r="R104" s="802"/>
    </row>
    <row r="105" spans="1:18" s="48" customFormat="1" ht="15" customHeight="1">
      <c r="A105" s="253"/>
      <c r="B105" s="45"/>
      <c r="C105" s="295"/>
      <c r="D105" s="808"/>
      <c r="E105" s="808"/>
      <c r="F105" s="808"/>
      <c r="G105" s="808"/>
      <c r="H105" s="808"/>
      <c r="I105" s="808"/>
      <c r="J105" s="808"/>
      <c r="K105" s="808"/>
      <c r="L105" s="808"/>
      <c r="M105" s="808"/>
      <c r="N105" s="808"/>
      <c r="O105" s="45"/>
      <c r="P105" s="802"/>
      <c r="Q105" s="802"/>
      <c r="R105" s="802"/>
    </row>
    <row r="106" spans="1:18" s="48" customFormat="1" ht="15" customHeight="1">
      <c r="A106" s="253"/>
      <c r="B106" s="45"/>
      <c r="C106" s="295"/>
      <c r="D106" s="808"/>
      <c r="E106" s="808"/>
      <c r="F106" s="808"/>
      <c r="G106" s="808"/>
      <c r="H106" s="808"/>
      <c r="I106" s="808"/>
      <c r="J106" s="808"/>
      <c r="K106" s="808"/>
      <c r="L106" s="808"/>
      <c r="M106" s="808"/>
      <c r="N106" s="808"/>
      <c r="O106" s="45"/>
      <c r="P106" s="802"/>
      <c r="Q106" s="802"/>
      <c r="R106" s="802"/>
    </row>
    <row r="107" spans="1:18" s="48" customFormat="1" ht="15" customHeight="1">
      <c r="A107" s="253"/>
      <c r="B107" s="45"/>
      <c r="C107" s="295"/>
      <c r="D107" s="808"/>
      <c r="E107" s="808"/>
      <c r="F107" s="808"/>
      <c r="G107" s="808"/>
      <c r="H107" s="808"/>
      <c r="I107" s="808"/>
      <c r="J107" s="808"/>
      <c r="K107" s="808"/>
      <c r="L107" s="808"/>
      <c r="M107" s="808"/>
      <c r="N107" s="808"/>
      <c r="O107" s="45"/>
      <c r="P107" s="802"/>
      <c r="Q107" s="802"/>
      <c r="R107" s="802"/>
    </row>
    <row r="108" spans="1:18" s="48" customFormat="1" ht="15" customHeight="1">
      <c r="A108" s="253"/>
      <c r="B108" s="45"/>
      <c r="C108" s="295"/>
      <c r="D108" s="808"/>
      <c r="E108" s="808"/>
      <c r="F108" s="808"/>
      <c r="G108" s="808"/>
      <c r="H108" s="808"/>
      <c r="I108" s="808"/>
      <c r="J108" s="808"/>
      <c r="K108" s="808"/>
      <c r="L108" s="808"/>
      <c r="M108" s="808"/>
      <c r="N108" s="808"/>
      <c r="O108" s="45"/>
      <c r="P108" s="802"/>
      <c r="Q108" s="802"/>
      <c r="R108" s="802"/>
    </row>
    <row r="109" spans="1:18" s="48" customFormat="1" ht="15" customHeight="1">
      <c r="A109" s="253"/>
      <c r="B109" s="45"/>
      <c r="C109" s="295"/>
      <c r="D109" s="808"/>
      <c r="E109" s="808"/>
      <c r="F109" s="808"/>
      <c r="G109" s="808"/>
      <c r="H109" s="808"/>
      <c r="I109" s="808"/>
      <c r="J109" s="808"/>
      <c r="K109" s="808"/>
      <c r="L109" s="808"/>
      <c r="M109" s="808"/>
      <c r="N109" s="808"/>
      <c r="O109" s="45"/>
      <c r="P109" s="802"/>
      <c r="Q109" s="802"/>
      <c r="R109" s="802"/>
    </row>
    <row r="110" spans="1:18" s="48" customFormat="1" ht="15" customHeight="1">
      <c r="A110" s="253"/>
      <c r="B110" s="45"/>
      <c r="C110" s="295"/>
      <c r="D110" s="294" t="s">
        <v>401</v>
      </c>
      <c r="E110" s="302"/>
      <c r="F110" s="302"/>
      <c r="G110" s="302"/>
      <c r="H110" s="302"/>
      <c r="I110" s="302"/>
      <c r="J110" s="302"/>
      <c r="K110" s="302"/>
      <c r="L110" s="302"/>
      <c r="M110" s="303"/>
      <c r="N110" s="304"/>
    </row>
    <row r="111" spans="1:18" ht="15" customHeight="1">
      <c r="A111" s="265"/>
      <c r="C111" s="295"/>
      <c r="D111" s="796" t="s">
        <v>531</v>
      </c>
      <c r="E111" s="809"/>
      <c r="F111" s="809"/>
      <c r="G111" s="809"/>
      <c r="H111" s="809"/>
      <c r="I111" s="809"/>
      <c r="J111" s="809"/>
      <c r="K111" s="809"/>
      <c r="L111" s="809"/>
      <c r="M111" s="809"/>
      <c r="N111" s="809"/>
      <c r="P111" s="802" t="s">
        <v>477</v>
      </c>
      <c r="Q111" s="802"/>
      <c r="R111" s="802"/>
    </row>
    <row r="112" spans="1:18" ht="15" customHeight="1">
      <c r="A112" s="45"/>
      <c r="C112" s="295"/>
      <c r="D112" s="809"/>
      <c r="E112" s="809"/>
      <c r="F112" s="809"/>
      <c r="G112" s="809"/>
      <c r="H112" s="809"/>
      <c r="I112" s="809"/>
      <c r="J112" s="809"/>
      <c r="K112" s="809"/>
      <c r="L112" s="809"/>
      <c r="M112" s="809"/>
      <c r="N112" s="809"/>
      <c r="P112" s="802"/>
      <c r="Q112" s="802"/>
      <c r="R112" s="802"/>
    </row>
    <row r="113" spans="1:18" ht="15" customHeight="1">
      <c r="A113" s="45"/>
      <c r="C113" s="295"/>
      <c r="D113" s="809"/>
      <c r="E113" s="809"/>
      <c r="F113" s="809"/>
      <c r="G113" s="809"/>
      <c r="H113" s="809"/>
      <c r="I113" s="809"/>
      <c r="J113" s="809"/>
      <c r="K113" s="809"/>
      <c r="L113" s="809"/>
      <c r="M113" s="809"/>
      <c r="N113" s="809"/>
      <c r="P113" s="802"/>
      <c r="Q113" s="802"/>
      <c r="R113" s="802"/>
    </row>
    <row r="114" spans="1:18" ht="15" customHeight="1">
      <c r="A114" s="45"/>
      <c r="C114" s="295"/>
      <c r="D114" s="809"/>
      <c r="E114" s="809"/>
      <c r="F114" s="809"/>
      <c r="G114" s="809"/>
      <c r="H114" s="809"/>
      <c r="I114" s="809"/>
      <c r="J114" s="809"/>
      <c r="K114" s="809"/>
      <c r="L114" s="809"/>
      <c r="M114" s="809"/>
      <c r="N114" s="809"/>
      <c r="P114" s="802"/>
      <c r="Q114" s="802"/>
      <c r="R114" s="802"/>
    </row>
    <row r="115" spans="1:18" ht="15" customHeight="1">
      <c r="A115" s="45"/>
      <c r="C115" s="295"/>
      <c r="D115" s="809"/>
      <c r="E115" s="809"/>
      <c r="F115" s="809"/>
      <c r="G115" s="809"/>
      <c r="H115" s="809"/>
      <c r="I115" s="809"/>
      <c r="J115" s="809"/>
      <c r="K115" s="809"/>
      <c r="L115" s="809"/>
      <c r="M115" s="809"/>
      <c r="N115" s="809"/>
      <c r="P115" s="802"/>
      <c r="Q115" s="802"/>
      <c r="R115" s="802"/>
    </row>
    <row r="116" spans="1:18" ht="15" customHeight="1">
      <c r="A116" s="45"/>
      <c r="C116" s="295"/>
      <c r="D116" s="809"/>
      <c r="E116" s="809"/>
      <c r="F116" s="809"/>
      <c r="G116" s="809"/>
      <c r="H116" s="809"/>
      <c r="I116" s="809"/>
      <c r="J116" s="809"/>
      <c r="K116" s="809"/>
      <c r="L116" s="809"/>
      <c r="M116" s="809"/>
      <c r="N116" s="809"/>
      <c r="P116" s="802"/>
      <c r="Q116" s="802"/>
      <c r="R116" s="802"/>
    </row>
    <row r="117" spans="1:18" ht="15" customHeight="1">
      <c r="C117" s="295"/>
      <c r="D117" s="809"/>
      <c r="E117" s="809"/>
      <c r="F117" s="809"/>
      <c r="G117" s="809"/>
      <c r="H117" s="809"/>
      <c r="I117" s="809"/>
      <c r="J117" s="809"/>
      <c r="K117" s="809"/>
      <c r="L117" s="809"/>
      <c r="M117" s="809"/>
      <c r="N117" s="809"/>
      <c r="P117" s="802"/>
      <c r="Q117" s="802"/>
      <c r="R117" s="802"/>
    </row>
    <row r="118" spans="1:18" ht="15" customHeight="1">
      <c r="C118" s="295"/>
      <c r="D118" s="809"/>
      <c r="E118" s="809"/>
      <c r="F118" s="809"/>
      <c r="G118" s="809"/>
      <c r="H118" s="809"/>
      <c r="I118" s="809"/>
      <c r="J118" s="809"/>
      <c r="K118" s="809"/>
      <c r="L118" s="809"/>
      <c r="M118" s="809"/>
      <c r="N118" s="809"/>
      <c r="P118" s="802"/>
      <c r="Q118" s="802"/>
      <c r="R118" s="802"/>
    </row>
    <row r="119" spans="1:18" ht="15" customHeight="1">
      <c r="C119" s="295"/>
      <c r="D119" s="809"/>
      <c r="E119" s="809"/>
      <c r="F119" s="809"/>
      <c r="G119" s="809"/>
      <c r="H119" s="809"/>
      <c r="I119" s="809"/>
      <c r="J119" s="809"/>
      <c r="K119" s="809"/>
      <c r="L119" s="809"/>
      <c r="M119" s="809"/>
      <c r="N119" s="809"/>
      <c r="P119" s="802"/>
      <c r="Q119" s="802"/>
      <c r="R119" s="802"/>
    </row>
    <row r="120" spans="1:18" ht="15" customHeight="1">
      <c r="C120" s="295"/>
      <c r="D120" s="809"/>
      <c r="E120" s="809"/>
      <c r="F120" s="809"/>
      <c r="G120" s="809"/>
      <c r="H120" s="809"/>
      <c r="I120" s="809"/>
      <c r="J120" s="809"/>
      <c r="K120" s="809"/>
      <c r="L120" s="809"/>
      <c r="M120" s="809"/>
      <c r="N120" s="809"/>
      <c r="P120" s="802"/>
      <c r="Q120" s="802"/>
      <c r="R120" s="802"/>
    </row>
    <row r="121" spans="1:18" ht="15" customHeight="1">
      <c r="C121" s="295"/>
      <c r="D121" s="809"/>
      <c r="E121" s="809"/>
      <c r="F121" s="809"/>
      <c r="G121" s="809"/>
      <c r="H121" s="809"/>
      <c r="I121" s="809"/>
      <c r="J121" s="809"/>
      <c r="K121" s="809"/>
      <c r="L121" s="809"/>
      <c r="M121" s="809"/>
      <c r="N121" s="809"/>
      <c r="P121" s="802"/>
      <c r="Q121" s="802"/>
      <c r="R121" s="802"/>
    </row>
    <row r="122" spans="1:18" ht="15" customHeight="1">
      <c r="C122" s="295"/>
      <c r="D122" s="809"/>
      <c r="E122" s="809"/>
      <c r="F122" s="809"/>
      <c r="G122" s="809"/>
      <c r="H122" s="809"/>
      <c r="I122" s="809"/>
      <c r="J122" s="809"/>
      <c r="K122" s="809"/>
      <c r="L122" s="809"/>
      <c r="M122" s="809"/>
      <c r="N122" s="809"/>
      <c r="P122" s="802"/>
      <c r="Q122" s="802"/>
      <c r="R122" s="802"/>
    </row>
    <row r="123" spans="1:18" ht="15" customHeight="1">
      <c r="C123" s="295"/>
      <c r="D123" s="809"/>
      <c r="E123" s="809"/>
      <c r="F123" s="809"/>
      <c r="G123" s="809"/>
      <c r="H123" s="809"/>
      <c r="I123" s="809"/>
      <c r="J123" s="809"/>
      <c r="K123" s="809"/>
      <c r="L123" s="809"/>
      <c r="M123" s="809"/>
      <c r="N123" s="809"/>
      <c r="P123" s="802"/>
      <c r="Q123" s="802"/>
      <c r="R123" s="802"/>
    </row>
    <row r="124" spans="1:18" ht="15" customHeight="1">
      <c r="C124" s="295"/>
      <c r="D124" s="809"/>
      <c r="E124" s="809"/>
      <c r="F124" s="809"/>
      <c r="G124" s="809"/>
      <c r="H124" s="809"/>
      <c r="I124" s="809"/>
      <c r="J124" s="809"/>
      <c r="K124" s="809"/>
      <c r="L124" s="809"/>
      <c r="M124" s="809"/>
      <c r="N124" s="809"/>
      <c r="P124" s="802"/>
      <c r="Q124" s="802"/>
      <c r="R124" s="802"/>
    </row>
    <row r="125" spans="1:18" ht="15" customHeight="1">
      <c r="C125" s="295"/>
      <c r="D125" s="294" t="s">
        <v>402</v>
      </c>
      <c r="E125" s="302"/>
      <c r="F125" s="302"/>
      <c r="G125" s="302"/>
      <c r="H125" s="302"/>
      <c r="I125" s="302"/>
      <c r="J125" s="302"/>
      <c r="K125" s="302"/>
      <c r="L125" s="302"/>
      <c r="M125" s="301"/>
      <c r="N125" s="301"/>
    </row>
    <row r="126" spans="1:18" ht="15" customHeight="1">
      <c r="C126" s="295"/>
      <c r="D126" s="796" t="s">
        <v>532</v>
      </c>
      <c r="E126" s="809"/>
      <c r="F126" s="809"/>
      <c r="G126" s="809"/>
      <c r="H126" s="809"/>
      <c r="I126" s="809"/>
      <c r="J126" s="809"/>
      <c r="K126" s="809"/>
      <c r="L126" s="809"/>
      <c r="M126" s="809"/>
      <c r="N126" s="809"/>
      <c r="P126" s="802" t="s">
        <v>478</v>
      </c>
      <c r="Q126" s="802"/>
      <c r="R126" s="802"/>
    </row>
    <row r="127" spans="1:18" ht="15" customHeight="1">
      <c r="C127" s="295"/>
      <c r="D127" s="809"/>
      <c r="E127" s="809"/>
      <c r="F127" s="809"/>
      <c r="G127" s="809"/>
      <c r="H127" s="809"/>
      <c r="I127" s="809"/>
      <c r="J127" s="809"/>
      <c r="K127" s="809"/>
      <c r="L127" s="809"/>
      <c r="M127" s="809"/>
      <c r="N127" s="809"/>
      <c r="P127" s="802"/>
      <c r="Q127" s="802"/>
      <c r="R127" s="802"/>
    </row>
    <row r="128" spans="1:18" ht="15" customHeight="1">
      <c r="C128" s="295"/>
      <c r="D128" s="809"/>
      <c r="E128" s="809"/>
      <c r="F128" s="809"/>
      <c r="G128" s="809"/>
      <c r="H128" s="809"/>
      <c r="I128" s="809"/>
      <c r="J128" s="809"/>
      <c r="K128" s="809"/>
      <c r="L128" s="809"/>
      <c r="M128" s="809"/>
      <c r="N128" s="809"/>
      <c r="P128" s="802"/>
      <c r="Q128" s="802"/>
      <c r="R128" s="802"/>
    </row>
    <row r="129" spans="3:18" ht="15" customHeight="1">
      <c r="C129" s="295"/>
      <c r="D129" s="809"/>
      <c r="E129" s="809"/>
      <c r="F129" s="809"/>
      <c r="G129" s="809"/>
      <c r="H129" s="809"/>
      <c r="I129" s="809"/>
      <c r="J129" s="809"/>
      <c r="K129" s="809"/>
      <c r="L129" s="809"/>
      <c r="M129" s="809"/>
      <c r="N129" s="809"/>
      <c r="P129" s="802"/>
      <c r="Q129" s="802"/>
      <c r="R129" s="802"/>
    </row>
    <row r="130" spans="3:18">
      <c r="C130" s="295"/>
      <c r="D130" s="809"/>
      <c r="E130" s="809"/>
      <c r="F130" s="809"/>
      <c r="G130" s="809"/>
      <c r="H130" s="809"/>
      <c r="I130" s="809"/>
      <c r="J130" s="809"/>
      <c r="K130" s="809"/>
      <c r="L130" s="809"/>
      <c r="M130" s="809"/>
      <c r="N130" s="809"/>
      <c r="P130" s="802"/>
      <c r="Q130" s="802"/>
      <c r="R130" s="802"/>
    </row>
    <row r="131" spans="3:18">
      <c r="C131" s="295"/>
      <c r="D131" s="809"/>
      <c r="E131" s="809"/>
      <c r="F131" s="809"/>
      <c r="G131" s="809"/>
      <c r="H131" s="809"/>
      <c r="I131" s="809"/>
      <c r="J131" s="809"/>
      <c r="K131" s="809"/>
      <c r="L131" s="809"/>
      <c r="M131" s="809"/>
      <c r="N131" s="809"/>
      <c r="P131" s="802"/>
      <c r="Q131" s="802"/>
      <c r="R131" s="802"/>
    </row>
    <row r="132" spans="3:18">
      <c r="C132" s="295"/>
      <c r="D132" s="809"/>
      <c r="E132" s="809"/>
      <c r="F132" s="809"/>
      <c r="G132" s="809"/>
      <c r="H132" s="809"/>
      <c r="I132" s="809"/>
      <c r="J132" s="809"/>
      <c r="K132" s="809"/>
      <c r="L132" s="809"/>
      <c r="M132" s="809"/>
      <c r="N132" s="809"/>
      <c r="P132" s="802"/>
      <c r="Q132" s="802"/>
      <c r="R132" s="802"/>
    </row>
    <row r="133" spans="3:18">
      <c r="C133" s="295"/>
      <c r="D133" s="809"/>
      <c r="E133" s="809"/>
      <c r="F133" s="809"/>
      <c r="G133" s="809"/>
      <c r="H133" s="809"/>
      <c r="I133" s="809"/>
      <c r="J133" s="809"/>
      <c r="K133" s="809"/>
      <c r="L133" s="809"/>
      <c r="M133" s="809"/>
      <c r="N133" s="809"/>
      <c r="P133" s="802"/>
      <c r="Q133" s="802"/>
      <c r="R133" s="802"/>
    </row>
    <row r="134" spans="3:18">
      <c r="C134" s="295"/>
      <c r="D134" s="809"/>
      <c r="E134" s="809"/>
      <c r="F134" s="809"/>
      <c r="G134" s="809"/>
      <c r="H134" s="809"/>
      <c r="I134" s="809"/>
      <c r="J134" s="809"/>
      <c r="K134" s="809"/>
      <c r="L134" s="809"/>
      <c r="M134" s="809"/>
      <c r="N134" s="809"/>
      <c r="P134" s="802"/>
      <c r="Q134" s="802"/>
      <c r="R134" s="802"/>
    </row>
    <row r="135" spans="3:18">
      <c r="C135" s="295"/>
      <c r="D135" s="809"/>
      <c r="E135" s="809"/>
      <c r="F135" s="809"/>
      <c r="G135" s="809"/>
      <c r="H135" s="809"/>
      <c r="I135" s="809"/>
      <c r="J135" s="809"/>
      <c r="K135" s="809"/>
      <c r="L135" s="809"/>
      <c r="M135" s="809"/>
      <c r="N135" s="809"/>
      <c r="P135" s="802"/>
      <c r="Q135" s="802"/>
      <c r="R135" s="802"/>
    </row>
    <row r="136" spans="3:18">
      <c r="C136" s="295"/>
      <c r="D136" s="809"/>
      <c r="E136" s="809"/>
      <c r="F136" s="809"/>
      <c r="G136" s="809"/>
      <c r="H136" s="809"/>
      <c r="I136" s="809"/>
      <c r="J136" s="809"/>
      <c r="K136" s="809"/>
      <c r="L136" s="809"/>
      <c r="M136" s="809"/>
      <c r="N136" s="809"/>
      <c r="P136" s="802"/>
      <c r="Q136" s="802"/>
      <c r="R136" s="802"/>
    </row>
    <row r="137" spans="3:18">
      <c r="C137" s="295"/>
      <c r="D137" s="809"/>
      <c r="E137" s="809"/>
      <c r="F137" s="809"/>
      <c r="G137" s="809"/>
      <c r="H137" s="809"/>
      <c r="I137" s="809"/>
      <c r="J137" s="809"/>
      <c r="K137" s="809"/>
      <c r="L137" s="809"/>
      <c r="M137" s="809"/>
      <c r="N137" s="809"/>
      <c r="P137" s="802"/>
      <c r="Q137" s="802"/>
      <c r="R137" s="802"/>
    </row>
    <row r="138" spans="3:18">
      <c r="C138" s="295"/>
      <c r="D138" s="809"/>
      <c r="E138" s="809"/>
      <c r="F138" s="809"/>
      <c r="G138" s="809"/>
      <c r="H138" s="809"/>
      <c r="I138" s="809"/>
      <c r="J138" s="809"/>
      <c r="K138" s="809"/>
      <c r="L138" s="809"/>
      <c r="M138" s="809"/>
      <c r="N138" s="809"/>
      <c r="P138" s="802"/>
      <c r="Q138" s="802"/>
      <c r="R138" s="802"/>
    </row>
    <row r="139" spans="3:18">
      <c r="C139" s="295"/>
      <c r="D139" s="809"/>
      <c r="E139" s="809"/>
      <c r="F139" s="809"/>
      <c r="G139" s="809"/>
      <c r="H139" s="809"/>
      <c r="I139" s="809"/>
      <c r="J139" s="809"/>
      <c r="K139" s="809"/>
      <c r="L139" s="809"/>
      <c r="M139" s="809"/>
      <c r="N139" s="809"/>
      <c r="P139" s="802"/>
      <c r="Q139" s="802"/>
      <c r="R139" s="802"/>
    </row>
    <row r="140" spans="3:18">
      <c r="C140" s="295"/>
      <c r="D140" s="294" t="s">
        <v>403</v>
      </c>
      <c r="E140" s="302"/>
      <c r="F140" s="302"/>
      <c r="G140" s="302"/>
      <c r="H140" s="302"/>
      <c r="I140" s="302"/>
      <c r="J140" s="302"/>
      <c r="K140" s="302"/>
      <c r="L140" s="302"/>
      <c r="M140" s="301"/>
      <c r="N140" s="301"/>
    </row>
    <row r="141" spans="3:18" ht="15" customHeight="1">
      <c r="C141" s="295"/>
      <c r="D141" s="796" t="s">
        <v>533</v>
      </c>
      <c r="E141" s="809"/>
      <c r="F141" s="809"/>
      <c r="G141" s="809"/>
      <c r="H141" s="809"/>
      <c r="I141" s="809"/>
      <c r="J141" s="809"/>
      <c r="K141" s="809"/>
      <c r="L141" s="809"/>
      <c r="M141" s="809"/>
      <c r="N141" s="809"/>
      <c r="P141" s="802" t="s">
        <v>479</v>
      </c>
      <c r="Q141" s="802"/>
      <c r="R141" s="802"/>
    </row>
    <row r="142" spans="3:18">
      <c r="C142" s="295"/>
      <c r="D142" s="809"/>
      <c r="E142" s="809"/>
      <c r="F142" s="809"/>
      <c r="G142" s="809"/>
      <c r="H142" s="809"/>
      <c r="I142" s="809"/>
      <c r="J142" s="809"/>
      <c r="K142" s="809"/>
      <c r="L142" s="809"/>
      <c r="M142" s="809"/>
      <c r="N142" s="809"/>
      <c r="P142" s="802"/>
      <c r="Q142" s="802"/>
      <c r="R142" s="802"/>
    </row>
    <row r="143" spans="3:18">
      <c r="C143" s="295"/>
      <c r="D143" s="809"/>
      <c r="E143" s="809"/>
      <c r="F143" s="809"/>
      <c r="G143" s="809"/>
      <c r="H143" s="809"/>
      <c r="I143" s="809"/>
      <c r="J143" s="809"/>
      <c r="K143" s="809"/>
      <c r="L143" s="809"/>
      <c r="M143" s="809"/>
      <c r="N143" s="809"/>
      <c r="P143" s="802"/>
      <c r="Q143" s="802"/>
      <c r="R143" s="802"/>
    </row>
    <row r="144" spans="3:18">
      <c r="C144" s="295"/>
      <c r="D144" s="809"/>
      <c r="E144" s="809"/>
      <c r="F144" s="809"/>
      <c r="G144" s="809"/>
      <c r="H144" s="809"/>
      <c r="I144" s="809"/>
      <c r="J144" s="809"/>
      <c r="K144" s="809"/>
      <c r="L144" s="809"/>
      <c r="M144" s="809"/>
      <c r="N144" s="809"/>
      <c r="P144" s="802"/>
      <c r="Q144" s="802"/>
      <c r="R144" s="802"/>
    </row>
    <row r="145" spans="3:18" ht="15" customHeight="1">
      <c r="C145" s="295"/>
      <c r="D145" s="809"/>
      <c r="E145" s="809"/>
      <c r="F145" s="809"/>
      <c r="G145" s="809"/>
      <c r="H145" s="809"/>
      <c r="I145" s="809"/>
      <c r="J145" s="809"/>
      <c r="K145" s="809"/>
      <c r="L145" s="809"/>
      <c r="M145" s="809"/>
      <c r="N145" s="809"/>
      <c r="P145" s="802"/>
      <c r="Q145" s="802"/>
      <c r="R145" s="802"/>
    </row>
    <row r="146" spans="3:18">
      <c r="C146" s="295"/>
      <c r="D146" s="809"/>
      <c r="E146" s="809"/>
      <c r="F146" s="809"/>
      <c r="G146" s="809"/>
      <c r="H146" s="809"/>
      <c r="I146" s="809"/>
      <c r="J146" s="809"/>
      <c r="K146" s="809"/>
      <c r="L146" s="809"/>
      <c r="M146" s="809"/>
      <c r="N146" s="809"/>
      <c r="P146" s="802"/>
      <c r="Q146" s="802"/>
      <c r="R146" s="802"/>
    </row>
    <row r="147" spans="3:18">
      <c r="C147" s="295"/>
      <c r="D147" s="809"/>
      <c r="E147" s="809"/>
      <c r="F147" s="809"/>
      <c r="G147" s="809"/>
      <c r="H147" s="809"/>
      <c r="I147" s="809"/>
      <c r="J147" s="809"/>
      <c r="K147" s="809"/>
      <c r="L147" s="809"/>
      <c r="M147" s="809"/>
      <c r="N147" s="809"/>
      <c r="P147" s="802"/>
      <c r="Q147" s="802"/>
      <c r="R147" s="802"/>
    </row>
    <row r="148" spans="3:18">
      <c r="C148" s="295"/>
      <c r="D148" s="809"/>
      <c r="E148" s="809"/>
      <c r="F148" s="809"/>
      <c r="G148" s="809"/>
      <c r="H148" s="809"/>
      <c r="I148" s="809"/>
      <c r="J148" s="809"/>
      <c r="K148" s="809"/>
      <c r="L148" s="809"/>
      <c r="M148" s="809"/>
      <c r="N148" s="809"/>
      <c r="P148" s="802"/>
      <c r="Q148" s="802"/>
      <c r="R148" s="802"/>
    </row>
    <row r="149" spans="3:18">
      <c r="C149" s="295"/>
      <c r="D149" s="809"/>
      <c r="E149" s="809"/>
      <c r="F149" s="809"/>
      <c r="G149" s="809"/>
      <c r="H149" s="809"/>
      <c r="I149" s="809"/>
      <c r="J149" s="809"/>
      <c r="K149" s="809"/>
      <c r="L149" s="809"/>
      <c r="M149" s="809"/>
      <c r="N149" s="809"/>
      <c r="P149" s="802"/>
      <c r="Q149" s="802"/>
      <c r="R149" s="802"/>
    </row>
    <row r="150" spans="3:18">
      <c r="C150" s="295"/>
      <c r="D150" s="809"/>
      <c r="E150" s="809"/>
      <c r="F150" s="809"/>
      <c r="G150" s="809"/>
      <c r="H150" s="809"/>
      <c r="I150" s="809"/>
      <c r="J150" s="809"/>
      <c r="K150" s="809"/>
      <c r="L150" s="809"/>
      <c r="M150" s="809"/>
      <c r="N150" s="809"/>
      <c r="P150" s="802"/>
      <c r="Q150" s="802"/>
      <c r="R150" s="802"/>
    </row>
    <row r="151" spans="3:18">
      <c r="C151" s="295"/>
      <c r="D151" s="809"/>
      <c r="E151" s="809"/>
      <c r="F151" s="809"/>
      <c r="G151" s="809"/>
      <c r="H151" s="809"/>
      <c r="I151" s="809"/>
      <c r="J151" s="809"/>
      <c r="K151" s="809"/>
      <c r="L151" s="809"/>
      <c r="M151" s="809"/>
      <c r="N151" s="809"/>
      <c r="P151" s="802"/>
      <c r="Q151" s="802"/>
      <c r="R151" s="802"/>
    </row>
    <row r="152" spans="3:18">
      <c r="C152" s="295"/>
      <c r="D152" s="809"/>
      <c r="E152" s="809"/>
      <c r="F152" s="809"/>
      <c r="G152" s="809"/>
      <c r="H152" s="809"/>
      <c r="I152" s="809"/>
      <c r="J152" s="809"/>
      <c r="K152" s="809"/>
      <c r="L152" s="809"/>
      <c r="M152" s="809"/>
      <c r="N152" s="809"/>
      <c r="P152" s="802"/>
      <c r="Q152" s="802"/>
      <c r="R152" s="802"/>
    </row>
    <row r="153" spans="3:18">
      <c r="C153" s="295"/>
      <c r="D153" s="809"/>
      <c r="E153" s="809"/>
      <c r="F153" s="809"/>
      <c r="G153" s="809"/>
      <c r="H153" s="809"/>
      <c r="I153" s="809"/>
      <c r="J153" s="809"/>
      <c r="K153" s="809"/>
      <c r="L153" s="809"/>
      <c r="M153" s="809"/>
      <c r="N153" s="809"/>
      <c r="P153" s="802"/>
      <c r="Q153" s="802"/>
      <c r="R153" s="802"/>
    </row>
    <row r="154" spans="3:18">
      <c r="C154" s="295"/>
      <c r="D154" s="809"/>
      <c r="E154" s="809"/>
      <c r="F154" s="809"/>
      <c r="G154" s="809"/>
      <c r="H154" s="809"/>
      <c r="I154" s="809"/>
      <c r="J154" s="809"/>
      <c r="K154" s="809"/>
      <c r="L154" s="809"/>
      <c r="M154" s="809"/>
      <c r="N154" s="809"/>
      <c r="P154" s="802"/>
      <c r="Q154" s="802"/>
      <c r="R154" s="802"/>
    </row>
    <row r="155" spans="3:18">
      <c r="C155" s="292" t="s">
        <v>412</v>
      </c>
      <c r="D155" s="292" t="s">
        <v>399</v>
      </c>
      <c r="E155" s="305"/>
      <c r="F155" s="305"/>
      <c r="G155" s="305"/>
      <c r="H155" s="305"/>
      <c r="I155" s="305"/>
      <c r="J155" s="305"/>
      <c r="K155" s="305"/>
      <c r="L155" s="305"/>
      <c r="M155" s="305"/>
      <c r="N155" s="305"/>
    </row>
    <row r="156" spans="3:18" ht="15" customHeight="1">
      <c r="C156" s="293"/>
      <c r="D156" s="796" t="s">
        <v>530</v>
      </c>
      <c r="E156" s="807"/>
      <c r="F156" s="807"/>
      <c r="G156" s="807"/>
      <c r="H156" s="807"/>
      <c r="I156" s="807"/>
      <c r="J156" s="807"/>
      <c r="K156" s="807"/>
      <c r="L156" s="807"/>
      <c r="M156" s="807"/>
      <c r="N156" s="807"/>
      <c r="P156" s="802" t="s">
        <v>480</v>
      </c>
      <c r="Q156" s="802"/>
      <c r="R156" s="802"/>
    </row>
    <row r="157" spans="3:18">
      <c r="C157" s="293"/>
      <c r="D157" s="807"/>
      <c r="E157" s="807"/>
      <c r="F157" s="807"/>
      <c r="G157" s="807"/>
      <c r="H157" s="807"/>
      <c r="I157" s="807"/>
      <c r="J157" s="807"/>
      <c r="K157" s="807"/>
      <c r="L157" s="807"/>
      <c r="M157" s="807"/>
      <c r="N157" s="807"/>
      <c r="P157" s="802"/>
      <c r="Q157" s="802"/>
      <c r="R157" s="802"/>
    </row>
    <row r="158" spans="3:18">
      <c r="C158" s="293"/>
      <c r="D158" s="807"/>
      <c r="E158" s="807"/>
      <c r="F158" s="807"/>
      <c r="G158" s="807"/>
      <c r="H158" s="807"/>
      <c r="I158" s="807"/>
      <c r="J158" s="807"/>
      <c r="K158" s="807"/>
      <c r="L158" s="807"/>
      <c r="M158" s="807"/>
      <c r="N158" s="807"/>
      <c r="P158" s="802"/>
      <c r="Q158" s="802"/>
      <c r="R158" s="802"/>
    </row>
    <row r="159" spans="3:18">
      <c r="C159" s="293"/>
      <c r="D159" s="807"/>
      <c r="E159" s="807"/>
      <c r="F159" s="807"/>
      <c r="G159" s="807"/>
      <c r="H159" s="807"/>
      <c r="I159" s="807"/>
      <c r="J159" s="807"/>
      <c r="K159" s="807"/>
      <c r="L159" s="807"/>
      <c r="M159" s="807"/>
      <c r="N159" s="807"/>
      <c r="P159" s="802"/>
      <c r="Q159" s="802"/>
      <c r="R159" s="802"/>
    </row>
    <row r="160" spans="3:18" ht="15" customHeight="1">
      <c r="C160" s="293"/>
      <c r="D160" s="807"/>
      <c r="E160" s="807"/>
      <c r="F160" s="807"/>
      <c r="G160" s="807"/>
      <c r="H160" s="807"/>
      <c r="I160" s="807"/>
      <c r="J160" s="807"/>
      <c r="K160" s="807"/>
      <c r="L160" s="807"/>
      <c r="M160" s="807"/>
      <c r="N160" s="807"/>
      <c r="P160" s="802"/>
      <c r="Q160" s="802"/>
      <c r="R160" s="802"/>
    </row>
    <row r="161" spans="3:18" ht="15" customHeight="1">
      <c r="C161" s="293"/>
      <c r="D161" s="807"/>
      <c r="E161" s="807"/>
      <c r="F161" s="807"/>
      <c r="G161" s="807"/>
      <c r="H161" s="807"/>
      <c r="I161" s="807"/>
      <c r="J161" s="807"/>
      <c r="K161" s="807"/>
      <c r="L161" s="807"/>
      <c r="M161" s="807"/>
      <c r="N161" s="807"/>
      <c r="P161" s="802"/>
      <c r="Q161" s="802"/>
      <c r="R161" s="802"/>
    </row>
    <row r="162" spans="3:18">
      <c r="C162" s="293"/>
      <c r="D162" s="807"/>
      <c r="E162" s="807"/>
      <c r="F162" s="807"/>
      <c r="G162" s="807"/>
      <c r="H162" s="807"/>
      <c r="I162" s="807"/>
      <c r="J162" s="807"/>
      <c r="K162" s="807"/>
      <c r="L162" s="807"/>
      <c r="M162" s="807"/>
      <c r="N162" s="807"/>
      <c r="P162" s="802"/>
      <c r="Q162" s="802"/>
      <c r="R162" s="802"/>
    </row>
    <row r="163" spans="3:18">
      <c r="C163" s="293"/>
      <c r="D163" s="807"/>
      <c r="E163" s="807"/>
      <c r="F163" s="807"/>
      <c r="G163" s="807"/>
      <c r="H163" s="807"/>
      <c r="I163" s="807"/>
      <c r="J163" s="807"/>
      <c r="K163" s="807"/>
      <c r="L163" s="807"/>
      <c r="M163" s="807"/>
      <c r="N163" s="807"/>
      <c r="P163" s="802"/>
      <c r="Q163" s="802"/>
      <c r="R163" s="802"/>
    </row>
    <row r="164" spans="3:18">
      <c r="C164" s="293"/>
      <c r="D164" s="807"/>
      <c r="E164" s="807"/>
      <c r="F164" s="807"/>
      <c r="G164" s="807"/>
      <c r="H164" s="807"/>
      <c r="I164" s="807"/>
      <c r="J164" s="807"/>
      <c r="K164" s="807"/>
      <c r="L164" s="807"/>
      <c r="M164" s="807"/>
      <c r="N164" s="807"/>
      <c r="P164" s="802"/>
      <c r="Q164" s="802"/>
      <c r="R164" s="802"/>
    </row>
    <row r="165" spans="3:18">
      <c r="C165" s="293"/>
      <c r="D165" s="807"/>
      <c r="E165" s="807"/>
      <c r="F165" s="807"/>
      <c r="G165" s="807"/>
      <c r="H165" s="807"/>
      <c r="I165" s="807"/>
      <c r="J165" s="807"/>
      <c r="K165" s="807"/>
      <c r="L165" s="807"/>
      <c r="M165" s="807"/>
      <c r="N165" s="807"/>
      <c r="P165" s="802"/>
      <c r="Q165" s="802"/>
      <c r="R165" s="802"/>
    </row>
    <row r="166" spans="3:18">
      <c r="C166" s="293"/>
      <c r="D166" s="807"/>
      <c r="E166" s="807"/>
      <c r="F166" s="807"/>
      <c r="G166" s="807"/>
      <c r="H166" s="807"/>
      <c r="I166" s="807"/>
      <c r="J166" s="807"/>
      <c r="K166" s="807"/>
      <c r="L166" s="807"/>
      <c r="M166" s="807"/>
      <c r="N166" s="807"/>
      <c r="P166" s="802"/>
      <c r="Q166" s="802"/>
      <c r="R166" s="802"/>
    </row>
    <row r="167" spans="3:18">
      <c r="C167" s="293"/>
      <c r="D167" s="807"/>
      <c r="E167" s="807"/>
      <c r="F167" s="807"/>
      <c r="G167" s="807"/>
      <c r="H167" s="807"/>
      <c r="I167" s="807"/>
      <c r="J167" s="807"/>
      <c r="K167" s="807"/>
      <c r="L167" s="807"/>
      <c r="M167" s="807"/>
      <c r="N167" s="807"/>
      <c r="P167" s="802"/>
      <c r="Q167" s="802"/>
      <c r="R167" s="802"/>
    </row>
    <row r="168" spans="3:18">
      <c r="C168" s="293"/>
      <c r="D168" s="807"/>
      <c r="E168" s="807"/>
      <c r="F168" s="807"/>
      <c r="G168" s="807"/>
      <c r="H168" s="807"/>
      <c r="I168" s="807"/>
      <c r="J168" s="807"/>
      <c r="K168" s="807"/>
      <c r="L168" s="807"/>
      <c r="M168" s="807"/>
      <c r="N168" s="807"/>
      <c r="P168" s="802"/>
      <c r="Q168" s="802"/>
      <c r="R168" s="802"/>
    </row>
    <row r="169" spans="3:18">
      <c r="C169" s="293"/>
      <c r="D169" s="807"/>
      <c r="E169" s="807"/>
      <c r="F169" s="807"/>
      <c r="G169" s="807"/>
      <c r="H169" s="807"/>
      <c r="I169" s="807"/>
      <c r="J169" s="807"/>
      <c r="K169" s="807"/>
      <c r="L169" s="807"/>
      <c r="M169" s="807"/>
      <c r="N169" s="807"/>
      <c r="P169" s="802"/>
      <c r="Q169" s="802"/>
      <c r="R169" s="802"/>
    </row>
    <row r="170" spans="3:18">
      <c r="C170" s="293"/>
      <c r="D170" s="292" t="s">
        <v>400</v>
      </c>
      <c r="E170" s="305"/>
      <c r="F170" s="305"/>
      <c r="G170" s="305"/>
      <c r="H170" s="305"/>
      <c r="I170" s="305"/>
      <c r="J170" s="305"/>
      <c r="K170" s="305"/>
      <c r="L170" s="305"/>
      <c r="M170" s="305"/>
      <c r="N170" s="305"/>
    </row>
    <row r="171" spans="3:18" ht="15" customHeight="1">
      <c r="C171" s="293"/>
      <c r="D171" s="796" t="s">
        <v>529</v>
      </c>
      <c r="E171" s="807"/>
      <c r="F171" s="807"/>
      <c r="G171" s="807"/>
      <c r="H171" s="807"/>
      <c r="I171" s="807"/>
      <c r="J171" s="807"/>
      <c r="K171" s="807"/>
      <c r="L171" s="807"/>
      <c r="M171" s="807"/>
      <c r="N171" s="807"/>
      <c r="P171" s="802" t="s">
        <v>481</v>
      </c>
      <c r="Q171" s="802"/>
      <c r="R171" s="802"/>
    </row>
    <row r="172" spans="3:18">
      <c r="C172" s="293"/>
      <c r="D172" s="807"/>
      <c r="E172" s="807"/>
      <c r="F172" s="807"/>
      <c r="G172" s="807"/>
      <c r="H172" s="807"/>
      <c r="I172" s="807"/>
      <c r="J172" s="807"/>
      <c r="K172" s="807"/>
      <c r="L172" s="807"/>
      <c r="M172" s="807"/>
      <c r="N172" s="807"/>
      <c r="P172" s="802"/>
      <c r="Q172" s="802"/>
      <c r="R172" s="802"/>
    </row>
    <row r="173" spans="3:18">
      <c r="C173" s="293"/>
      <c r="D173" s="807"/>
      <c r="E173" s="807"/>
      <c r="F173" s="807"/>
      <c r="G173" s="807"/>
      <c r="H173" s="807"/>
      <c r="I173" s="807"/>
      <c r="J173" s="807"/>
      <c r="K173" s="807"/>
      <c r="L173" s="807"/>
      <c r="M173" s="807"/>
      <c r="N173" s="807"/>
      <c r="P173" s="802"/>
      <c r="Q173" s="802"/>
      <c r="R173" s="802"/>
    </row>
    <row r="174" spans="3:18">
      <c r="C174" s="293"/>
      <c r="D174" s="807"/>
      <c r="E174" s="807"/>
      <c r="F174" s="807"/>
      <c r="G174" s="807"/>
      <c r="H174" s="807"/>
      <c r="I174" s="807"/>
      <c r="J174" s="807"/>
      <c r="K174" s="807"/>
      <c r="L174" s="807"/>
      <c r="M174" s="807"/>
      <c r="N174" s="807"/>
      <c r="P174" s="802"/>
      <c r="Q174" s="802"/>
      <c r="R174" s="802"/>
    </row>
    <row r="175" spans="3:18" ht="15" customHeight="1">
      <c r="C175" s="293"/>
      <c r="D175" s="807"/>
      <c r="E175" s="807"/>
      <c r="F175" s="807"/>
      <c r="G175" s="807"/>
      <c r="H175" s="807"/>
      <c r="I175" s="807"/>
      <c r="J175" s="807"/>
      <c r="K175" s="807"/>
      <c r="L175" s="807"/>
      <c r="M175" s="807"/>
      <c r="N175" s="807"/>
      <c r="P175" s="802"/>
      <c r="Q175" s="802"/>
      <c r="R175" s="802"/>
    </row>
    <row r="176" spans="3:18">
      <c r="C176" s="293"/>
      <c r="D176" s="807"/>
      <c r="E176" s="807"/>
      <c r="F176" s="807"/>
      <c r="G176" s="807"/>
      <c r="H176" s="807"/>
      <c r="I176" s="807"/>
      <c r="J176" s="807"/>
      <c r="K176" s="807"/>
      <c r="L176" s="807"/>
      <c r="M176" s="807"/>
      <c r="N176" s="807"/>
      <c r="P176" s="802"/>
      <c r="Q176" s="802"/>
      <c r="R176" s="802"/>
    </row>
    <row r="177" spans="3:18">
      <c r="C177" s="293"/>
      <c r="D177" s="807"/>
      <c r="E177" s="807"/>
      <c r="F177" s="807"/>
      <c r="G177" s="807"/>
      <c r="H177" s="807"/>
      <c r="I177" s="807"/>
      <c r="J177" s="807"/>
      <c r="K177" s="807"/>
      <c r="L177" s="807"/>
      <c r="M177" s="807"/>
      <c r="N177" s="807"/>
      <c r="P177" s="802"/>
      <c r="Q177" s="802"/>
      <c r="R177" s="802"/>
    </row>
    <row r="178" spans="3:18">
      <c r="C178" s="293"/>
      <c r="D178" s="807"/>
      <c r="E178" s="807"/>
      <c r="F178" s="807"/>
      <c r="G178" s="807"/>
      <c r="H178" s="807"/>
      <c r="I178" s="807"/>
      <c r="J178" s="807"/>
      <c r="K178" s="807"/>
      <c r="L178" s="807"/>
      <c r="M178" s="807"/>
      <c r="N178" s="807"/>
      <c r="P178" s="802"/>
      <c r="Q178" s="802"/>
      <c r="R178" s="802"/>
    </row>
    <row r="179" spans="3:18">
      <c r="C179" s="293"/>
      <c r="D179" s="807"/>
      <c r="E179" s="807"/>
      <c r="F179" s="807"/>
      <c r="G179" s="807"/>
      <c r="H179" s="807"/>
      <c r="I179" s="807"/>
      <c r="J179" s="807"/>
      <c r="K179" s="807"/>
      <c r="L179" s="807"/>
      <c r="M179" s="807"/>
      <c r="N179" s="807"/>
      <c r="P179" s="802"/>
      <c r="Q179" s="802"/>
      <c r="R179" s="802"/>
    </row>
    <row r="180" spans="3:18">
      <c r="C180" s="293"/>
      <c r="D180" s="807"/>
      <c r="E180" s="807"/>
      <c r="F180" s="807"/>
      <c r="G180" s="807"/>
      <c r="H180" s="807"/>
      <c r="I180" s="807"/>
      <c r="J180" s="807"/>
      <c r="K180" s="807"/>
      <c r="L180" s="807"/>
      <c r="M180" s="807"/>
      <c r="N180" s="807"/>
      <c r="P180" s="802"/>
      <c r="Q180" s="802"/>
      <c r="R180" s="802"/>
    </row>
    <row r="181" spans="3:18">
      <c r="C181" s="293"/>
      <c r="D181" s="807"/>
      <c r="E181" s="807"/>
      <c r="F181" s="807"/>
      <c r="G181" s="807"/>
      <c r="H181" s="807"/>
      <c r="I181" s="807"/>
      <c r="J181" s="807"/>
      <c r="K181" s="807"/>
      <c r="L181" s="807"/>
      <c r="M181" s="807"/>
      <c r="N181" s="807"/>
      <c r="P181" s="802"/>
      <c r="Q181" s="802"/>
      <c r="R181" s="802"/>
    </row>
    <row r="182" spans="3:18">
      <c r="C182" s="293"/>
      <c r="D182" s="807"/>
      <c r="E182" s="807"/>
      <c r="F182" s="807"/>
      <c r="G182" s="807"/>
      <c r="H182" s="807"/>
      <c r="I182" s="807"/>
      <c r="J182" s="807"/>
      <c r="K182" s="807"/>
      <c r="L182" s="807"/>
      <c r="M182" s="807"/>
      <c r="N182" s="807"/>
      <c r="P182" s="802"/>
      <c r="Q182" s="802"/>
      <c r="R182" s="802"/>
    </row>
    <row r="183" spans="3:18">
      <c r="C183" s="293"/>
      <c r="D183" s="807"/>
      <c r="E183" s="807"/>
      <c r="F183" s="807"/>
      <c r="G183" s="807"/>
      <c r="H183" s="807"/>
      <c r="I183" s="807"/>
      <c r="J183" s="807"/>
      <c r="K183" s="807"/>
      <c r="L183" s="807"/>
      <c r="M183" s="807"/>
      <c r="N183" s="807"/>
      <c r="P183" s="802"/>
      <c r="Q183" s="802"/>
      <c r="R183" s="802"/>
    </row>
    <row r="184" spans="3:18">
      <c r="C184" s="293"/>
      <c r="D184" s="807"/>
      <c r="E184" s="807"/>
      <c r="F184" s="807"/>
      <c r="G184" s="807"/>
      <c r="H184" s="807"/>
      <c r="I184" s="807"/>
      <c r="J184" s="807"/>
      <c r="K184" s="807"/>
      <c r="L184" s="807"/>
      <c r="M184" s="807"/>
      <c r="N184" s="807"/>
      <c r="P184" s="802"/>
      <c r="Q184" s="802"/>
      <c r="R184" s="802"/>
    </row>
    <row r="185" spans="3:18">
      <c r="C185" s="293"/>
      <c r="D185" s="292" t="s">
        <v>401</v>
      </c>
      <c r="E185" s="305"/>
      <c r="F185" s="305"/>
      <c r="G185" s="305"/>
      <c r="H185" s="305"/>
      <c r="I185" s="305"/>
      <c r="J185" s="305"/>
      <c r="K185" s="305"/>
      <c r="L185" s="305"/>
      <c r="M185" s="305"/>
      <c r="N185" s="305"/>
    </row>
    <row r="186" spans="3:18" ht="15" customHeight="1">
      <c r="C186" s="293"/>
      <c r="D186" s="796" t="s">
        <v>536</v>
      </c>
      <c r="E186" s="807"/>
      <c r="F186" s="807"/>
      <c r="G186" s="807"/>
      <c r="H186" s="807"/>
      <c r="I186" s="807"/>
      <c r="J186" s="807"/>
      <c r="K186" s="807"/>
      <c r="L186" s="807"/>
      <c r="M186" s="807"/>
      <c r="N186" s="807"/>
      <c r="P186" s="802" t="s">
        <v>482</v>
      </c>
      <c r="Q186" s="802"/>
      <c r="R186" s="802"/>
    </row>
    <row r="187" spans="3:18">
      <c r="C187" s="293"/>
      <c r="D187" s="807"/>
      <c r="E187" s="807"/>
      <c r="F187" s="807"/>
      <c r="G187" s="807"/>
      <c r="H187" s="807"/>
      <c r="I187" s="807"/>
      <c r="J187" s="807"/>
      <c r="K187" s="807"/>
      <c r="L187" s="807"/>
      <c r="M187" s="807"/>
      <c r="N187" s="807"/>
      <c r="P187" s="802"/>
      <c r="Q187" s="802"/>
      <c r="R187" s="802"/>
    </row>
    <row r="188" spans="3:18">
      <c r="C188" s="293"/>
      <c r="D188" s="807"/>
      <c r="E188" s="807"/>
      <c r="F188" s="807"/>
      <c r="G188" s="807"/>
      <c r="H188" s="807"/>
      <c r="I188" s="807"/>
      <c r="J188" s="807"/>
      <c r="K188" s="807"/>
      <c r="L188" s="807"/>
      <c r="M188" s="807"/>
      <c r="N188" s="807"/>
      <c r="P188" s="802"/>
      <c r="Q188" s="802"/>
      <c r="R188" s="802"/>
    </row>
    <row r="189" spans="3:18">
      <c r="C189" s="293"/>
      <c r="D189" s="807"/>
      <c r="E189" s="807"/>
      <c r="F189" s="807"/>
      <c r="G189" s="807"/>
      <c r="H189" s="807"/>
      <c r="I189" s="807"/>
      <c r="J189" s="807"/>
      <c r="K189" s="807"/>
      <c r="L189" s="807"/>
      <c r="M189" s="807"/>
      <c r="N189" s="807"/>
      <c r="P189" s="802"/>
      <c r="Q189" s="802"/>
      <c r="R189" s="802"/>
    </row>
    <row r="190" spans="3:18" ht="15" customHeight="1">
      <c r="C190" s="293"/>
      <c r="D190" s="807"/>
      <c r="E190" s="807"/>
      <c r="F190" s="807"/>
      <c r="G190" s="807"/>
      <c r="H190" s="807"/>
      <c r="I190" s="807"/>
      <c r="J190" s="807"/>
      <c r="K190" s="807"/>
      <c r="L190" s="807"/>
      <c r="M190" s="807"/>
      <c r="N190" s="807"/>
      <c r="P190" s="802"/>
      <c r="Q190" s="802"/>
      <c r="R190" s="802"/>
    </row>
    <row r="191" spans="3:18">
      <c r="C191" s="293"/>
      <c r="D191" s="807"/>
      <c r="E191" s="807"/>
      <c r="F191" s="807"/>
      <c r="G191" s="807"/>
      <c r="H191" s="807"/>
      <c r="I191" s="807"/>
      <c r="J191" s="807"/>
      <c r="K191" s="807"/>
      <c r="L191" s="807"/>
      <c r="M191" s="807"/>
      <c r="N191" s="807"/>
      <c r="P191" s="802"/>
      <c r="Q191" s="802"/>
      <c r="R191" s="802"/>
    </row>
    <row r="192" spans="3:18">
      <c r="C192" s="293"/>
      <c r="D192" s="807"/>
      <c r="E192" s="807"/>
      <c r="F192" s="807"/>
      <c r="G192" s="807"/>
      <c r="H192" s="807"/>
      <c r="I192" s="807"/>
      <c r="J192" s="807"/>
      <c r="K192" s="807"/>
      <c r="L192" s="807"/>
      <c r="M192" s="807"/>
      <c r="N192" s="807"/>
      <c r="P192" s="802"/>
      <c r="Q192" s="802"/>
      <c r="R192" s="802"/>
    </row>
    <row r="193" spans="3:18">
      <c r="C193" s="293"/>
      <c r="D193" s="807"/>
      <c r="E193" s="807"/>
      <c r="F193" s="807"/>
      <c r="G193" s="807"/>
      <c r="H193" s="807"/>
      <c r="I193" s="807"/>
      <c r="J193" s="807"/>
      <c r="K193" s="807"/>
      <c r="L193" s="807"/>
      <c r="M193" s="807"/>
      <c r="N193" s="807"/>
      <c r="P193" s="802"/>
      <c r="Q193" s="802"/>
      <c r="R193" s="802"/>
    </row>
    <row r="194" spans="3:18">
      <c r="C194" s="293"/>
      <c r="D194" s="807"/>
      <c r="E194" s="807"/>
      <c r="F194" s="807"/>
      <c r="G194" s="807"/>
      <c r="H194" s="807"/>
      <c r="I194" s="807"/>
      <c r="J194" s="807"/>
      <c r="K194" s="807"/>
      <c r="L194" s="807"/>
      <c r="M194" s="807"/>
      <c r="N194" s="807"/>
      <c r="P194" s="802"/>
      <c r="Q194" s="802"/>
      <c r="R194" s="802"/>
    </row>
    <row r="195" spans="3:18">
      <c r="C195" s="293"/>
      <c r="D195" s="807"/>
      <c r="E195" s="807"/>
      <c r="F195" s="807"/>
      <c r="G195" s="807"/>
      <c r="H195" s="807"/>
      <c r="I195" s="807"/>
      <c r="J195" s="807"/>
      <c r="K195" s="807"/>
      <c r="L195" s="807"/>
      <c r="M195" s="807"/>
      <c r="N195" s="807"/>
      <c r="P195" s="802"/>
      <c r="Q195" s="802"/>
      <c r="R195" s="802"/>
    </row>
    <row r="196" spans="3:18">
      <c r="C196" s="293"/>
      <c r="D196" s="807"/>
      <c r="E196" s="807"/>
      <c r="F196" s="807"/>
      <c r="G196" s="807"/>
      <c r="H196" s="807"/>
      <c r="I196" s="807"/>
      <c r="J196" s="807"/>
      <c r="K196" s="807"/>
      <c r="L196" s="807"/>
      <c r="M196" s="807"/>
      <c r="N196" s="807"/>
      <c r="P196" s="802"/>
      <c r="Q196" s="802"/>
      <c r="R196" s="802"/>
    </row>
    <row r="197" spans="3:18">
      <c r="C197" s="293"/>
      <c r="D197" s="807"/>
      <c r="E197" s="807"/>
      <c r="F197" s="807"/>
      <c r="G197" s="807"/>
      <c r="H197" s="807"/>
      <c r="I197" s="807"/>
      <c r="J197" s="807"/>
      <c r="K197" s="807"/>
      <c r="L197" s="807"/>
      <c r="M197" s="807"/>
      <c r="N197" s="807"/>
      <c r="P197" s="802"/>
      <c r="Q197" s="802"/>
      <c r="R197" s="802"/>
    </row>
    <row r="198" spans="3:18">
      <c r="C198" s="293"/>
      <c r="D198" s="807"/>
      <c r="E198" s="807"/>
      <c r="F198" s="807"/>
      <c r="G198" s="807"/>
      <c r="H198" s="807"/>
      <c r="I198" s="807"/>
      <c r="J198" s="807"/>
      <c r="K198" s="807"/>
      <c r="L198" s="807"/>
      <c r="M198" s="807"/>
      <c r="N198" s="807"/>
      <c r="P198" s="802"/>
      <c r="Q198" s="802"/>
      <c r="R198" s="802"/>
    </row>
    <row r="199" spans="3:18">
      <c r="C199" s="293"/>
      <c r="D199" s="807"/>
      <c r="E199" s="807"/>
      <c r="F199" s="807"/>
      <c r="G199" s="807"/>
      <c r="H199" s="807"/>
      <c r="I199" s="807"/>
      <c r="J199" s="807"/>
      <c r="K199" s="807"/>
      <c r="L199" s="807"/>
      <c r="M199" s="807"/>
      <c r="N199" s="807"/>
      <c r="P199" s="802"/>
      <c r="Q199" s="802"/>
      <c r="R199" s="802"/>
    </row>
    <row r="200" spans="3:18">
      <c r="C200" s="293"/>
      <c r="D200" s="292" t="s">
        <v>402</v>
      </c>
      <c r="E200" s="305"/>
      <c r="F200" s="305"/>
      <c r="G200" s="305"/>
      <c r="H200" s="305"/>
      <c r="I200" s="305"/>
      <c r="J200" s="305"/>
      <c r="K200" s="305"/>
      <c r="L200" s="305"/>
      <c r="M200" s="305"/>
      <c r="N200" s="305"/>
    </row>
    <row r="201" spans="3:18" ht="15" customHeight="1">
      <c r="C201" s="293"/>
      <c r="D201" s="796" t="s">
        <v>535</v>
      </c>
      <c r="E201" s="807"/>
      <c r="F201" s="807"/>
      <c r="G201" s="807"/>
      <c r="H201" s="807"/>
      <c r="I201" s="807"/>
      <c r="J201" s="807"/>
      <c r="K201" s="807"/>
      <c r="L201" s="807"/>
      <c r="M201" s="807"/>
      <c r="N201" s="807"/>
      <c r="P201" s="802" t="s">
        <v>483</v>
      </c>
      <c r="Q201" s="802"/>
      <c r="R201" s="802"/>
    </row>
    <row r="202" spans="3:18">
      <c r="C202" s="293"/>
      <c r="D202" s="807"/>
      <c r="E202" s="807"/>
      <c r="F202" s="807"/>
      <c r="G202" s="807"/>
      <c r="H202" s="807"/>
      <c r="I202" s="807"/>
      <c r="J202" s="807"/>
      <c r="K202" s="807"/>
      <c r="L202" s="807"/>
      <c r="M202" s="807"/>
      <c r="N202" s="807"/>
      <c r="P202" s="802"/>
      <c r="Q202" s="802"/>
      <c r="R202" s="802"/>
    </row>
    <row r="203" spans="3:18">
      <c r="C203" s="293"/>
      <c r="D203" s="807"/>
      <c r="E203" s="807"/>
      <c r="F203" s="807"/>
      <c r="G203" s="807"/>
      <c r="H203" s="807"/>
      <c r="I203" s="807"/>
      <c r="J203" s="807"/>
      <c r="K203" s="807"/>
      <c r="L203" s="807"/>
      <c r="M203" s="807"/>
      <c r="N203" s="807"/>
      <c r="P203" s="802"/>
      <c r="Q203" s="802"/>
      <c r="R203" s="802"/>
    </row>
    <row r="204" spans="3:18">
      <c r="C204" s="293"/>
      <c r="D204" s="807"/>
      <c r="E204" s="807"/>
      <c r="F204" s="807"/>
      <c r="G204" s="807"/>
      <c r="H204" s="807"/>
      <c r="I204" s="807"/>
      <c r="J204" s="807"/>
      <c r="K204" s="807"/>
      <c r="L204" s="807"/>
      <c r="M204" s="807"/>
      <c r="N204" s="807"/>
      <c r="P204" s="802"/>
      <c r="Q204" s="802"/>
      <c r="R204" s="802"/>
    </row>
    <row r="205" spans="3:18" ht="15" customHeight="1">
      <c r="C205" s="293"/>
      <c r="D205" s="807"/>
      <c r="E205" s="807"/>
      <c r="F205" s="807"/>
      <c r="G205" s="807"/>
      <c r="H205" s="807"/>
      <c r="I205" s="807"/>
      <c r="J205" s="807"/>
      <c r="K205" s="807"/>
      <c r="L205" s="807"/>
      <c r="M205" s="807"/>
      <c r="N205" s="807"/>
      <c r="P205" s="802"/>
      <c r="Q205" s="802"/>
      <c r="R205" s="802"/>
    </row>
    <row r="206" spans="3:18">
      <c r="C206" s="293"/>
      <c r="D206" s="807"/>
      <c r="E206" s="807"/>
      <c r="F206" s="807"/>
      <c r="G206" s="807"/>
      <c r="H206" s="807"/>
      <c r="I206" s="807"/>
      <c r="J206" s="807"/>
      <c r="K206" s="807"/>
      <c r="L206" s="807"/>
      <c r="M206" s="807"/>
      <c r="N206" s="807"/>
      <c r="P206" s="802"/>
      <c r="Q206" s="802"/>
      <c r="R206" s="802"/>
    </row>
    <row r="207" spans="3:18">
      <c r="C207" s="293"/>
      <c r="D207" s="807"/>
      <c r="E207" s="807"/>
      <c r="F207" s="807"/>
      <c r="G207" s="807"/>
      <c r="H207" s="807"/>
      <c r="I207" s="807"/>
      <c r="J207" s="807"/>
      <c r="K207" s="807"/>
      <c r="L207" s="807"/>
      <c r="M207" s="807"/>
      <c r="N207" s="807"/>
      <c r="P207" s="802"/>
      <c r="Q207" s="802"/>
      <c r="R207" s="802"/>
    </row>
    <row r="208" spans="3:18">
      <c r="C208" s="293"/>
      <c r="D208" s="807"/>
      <c r="E208" s="807"/>
      <c r="F208" s="807"/>
      <c r="G208" s="807"/>
      <c r="H208" s="807"/>
      <c r="I208" s="807"/>
      <c r="J208" s="807"/>
      <c r="K208" s="807"/>
      <c r="L208" s="807"/>
      <c r="M208" s="807"/>
      <c r="N208" s="807"/>
      <c r="P208" s="802"/>
      <c r="Q208" s="802"/>
      <c r="R208" s="802"/>
    </row>
    <row r="209" spans="3:18">
      <c r="C209" s="293"/>
      <c r="D209" s="807"/>
      <c r="E209" s="807"/>
      <c r="F209" s="807"/>
      <c r="G209" s="807"/>
      <c r="H209" s="807"/>
      <c r="I209" s="807"/>
      <c r="J209" s="807"/>
      <c r="K209" s="807"/>
      <c r="L209" s="807"/>
      <c r="M209" s="807"/>
      <c r="N209" s="807"/>
      <c r="P209" s="802"/>
      <c r="Q209" s="802"/>
      <c r="R209" s="802"/>
    </row>
    <row r="210" spans="3:18">
      <c r="C210" s="293"/>
      <c r="D210" s="807"/>
      <c r="E210" s="807"/>
      <c r="F210" s="807"/>
      <c r="G210" s="807"/>
      <c r="H210" s="807"/>
      <c r="I210" s="807"/>
      <c r="J210" s="807"/>
      <c r="K210" s="807"/>
      <c r="L210" s="807"/>
      <c r="M210" s="807"/>
      <c r="N210" s="807"/>
      <c r="P210" s="802"/>
      <c r="Q210" s="802"/>
      <c r="R210" s="802"/>
    </row>
    <row r="211" spans="3:18">
      <c r="C211" s="293"/>
      <c r="D211" s="807"/>
      <c r="E211" s="807"/>
      <c r="F211" s="807"/>
      <c r="G211" s="807"/>
      <c r="H211" s="807"/>
      <c r="I211" s="807"/>
      <c r="J211" s="807"/>
      <c r="K211" s="807"/>
      <c r="L211" s="807"/>
      <c r="M211" s="807"/>
      <c r="N211" s="807"/>
      <c r="P211" s="802"/>
      <c r="Q211" s="802"/>
      <c r="R211" s="802"/>
    </row>
    <row r="212" spans="3:18">
      <c r="C212" s="293"/>
      <c r="D212" s="807"/>
      <c r="E212" s="807"/>
      <c r="F212" s="807"/>
      <c r="G212" s="807"/>
      <c r="H212" s="807"/>
      <c r="I212" s="807"/>
      <c r="J212" s="807"/>
      <c r="K212" s="807"/>
      <c r="L212" s="807"/>
      <c r="M212" s="807"/>
      <c r="N212" s="807"/>
      <c r="P212" s="802"/>
      <c r="Q212" s="802"/>
      <c r="R212" s="802"/>
    </row>
    <row r="213" spans="3:18">
      <c r="C213" s="293"/>
      <c r="D213" s="807"/>
      <c r="E213" s="807"/>
      <c r="F213" s="807"/>
      <c r="G213" s="807"/>
      <c r="H213" s="807"/>
      <c r="I213" s="807"/>
      <c r="J213" s="807"/>
      <c r="K213" s="807"/>
      <c r="L213" s="807"/>
      <c r="M213" s="807"/>
      <c r="N213" s="807"/>
      <c r="P213" s="802"/>
      <c r="Q213" s="802"/>
      <c r="R213" s="802"/>
    </row>
    <row r="214" spans="3:18">
      <c r="C214" s="293"/>
      <c r="D214" s="807"/>
      <c r="E214" s="807"/>
      <c r="F214" s="807"/>
      <c r="G214" s="807"/>
      <c r="H214" s="807"/>
      <c r="I214" s="807"/>
      <c r="J214" s="807"/>
      <c r="K214" s="807"/>
      <c r="L214" s="807"/>
      <c r="M214" s="807"/>
      <c r="N214" s="807"/>
      <c r="P214" s="802"/>
      <c r="Q214" s="802"/>
      <c r="R214" s="802"/>
    </row>
    <row r="215" spans="3:18">
      <c r="C215" s="293"/>
      <c r="D215" s="292" t="s">
        <v>403</v>
      </c>
      <c r="E215" s="305"/>
      <c r="F215" s="305"/>
      <c r="G215" s="305"/>
      <c r="H215" s="305"/>
      <c r="I215" s="305"/>
      <c r="J215" s="305"/>
      <c r="K215" s="305"/>
      <c r="L215" s="305"/>
      <c r="M215" s="305"/>
      <c r="N215" s="305"/>
    </row>
    <row r="216" spans="3:18" ht="15" customHeight="1">
      <c r="C216" s="293"/>
      <c r="D216" s="796" t="s">
        <v>534</v>
      </c>
      <c r="E216" s="803"/>
      <c r="F216" s="803"/>
      <c r="G216" s="803"/>
      <c r="H216" s="803"/>
      <c r="I216" s="803"/>
      <c r="J216" s="803"/>
      <c r="K216" s="803"/>
      <c r="L216" s="803"/>
      <c r="M216" s="803"/>
      <c r="N216" s="803"/>
      <c r="P216" s="802" t="s">
        <v>484</v>
      </c>
      <c r="Q216" s="802"/>
      <c r="R216" s="802"/>
    </row>
    <row r="217" spans="3:18">
      <c r="C217" s="293"/>
      <c r="D217" s="803"/>
      <c r="E217" s="803"/>
      <c r="F217" s="803"/>
      <c r="G217" s="803"/>
      <c r="H217" s="803"/>
      <c r="I217" s="803"/>
      <c r="J217" s="803"/>
      <c r="K217" s="803"/>
      <c r="L217" s="803"/>
      <c r="M217" s="803"/>
      <c r="N217" s="803"/>
      <c r="P217" s="802"/>
      <c r="Q217" s="802"/>
      <c r="R217" s="802"/>
    </row>
    <row r="218" spans="3:18">
      <c r="C218" s="293"/>
      <c r="D218" s="803"/>
      <c r="E218" s="803"/>
      <c r="F218" s="803"/>
      <c r="G218" s="803"/>
      <c r="H218" s="803"/>
      <c r="I218" s="803"/>
      <c r="J218" s="803"/>
      <c r="K218" s="803"/>
      <c r="L218" s="803"/>
      <c r="M218" s="803"/>
      <c r="N218" s="803"/>
      <c r="P218" s="802"/>
      <c r="Q218" s="802"/>
      <c r="R218" s="802"/>
    </row>
    <row r="219" spans="3:18">
      <c r="C219" s="293"/>
      <c r="D219" s="803"/>
      <c r="E219" s="803"/>
      <c r="F219" s="803"/>
      <c r="G219" s="803"/>
      <c r="H219" s="803"/>
      <c r="I219" s="803"/>
      <c r="J219" s="803"/>
      <c r="K219" s="803"/>
      <c r="L219" s="803"/>
      <c r="M219" s="803"/>
      <c r="N219" s="803"/>
      <c r="P219" s="802"/>
      <c r="Q219" s="802"/>
      <c r="R219" s="802"/>
    </row>
    <row r="220" spans="3:18" ht="15" customHeight="1">
      <c r="C220" s="293"/>
      <c r="D220" s="803"/>
      <c r="E220" s="803"/>
      <c r="F220" s="803"/>
      <c r="G220" s="803"/>
      <c r="H220" s="803"/>
      <c r="I220" s="803"/>
      <c r="J220" s="803"/>
      <c r="K220" s="803"/>
      <c r="L220" s="803"/>
      <c r="M220" s="803"/>
      <c r="N220" s="803"/>
      <c r="P220" s="802"/>
      <c r="Q220" s="802"/>
      <c r="R220" s="802"/>
    </row>
    <row r="221" spans="3:18">
      <c r="C221" s="293"/>
      <c r="D221" s="803"/>
      <c r="E221" s="803"/>
      <c r="F221" s="803"/>
      <c r="G221" s="803"/>
      <c r="H221" s="803"/>
      <c r="I221" s="803"/>
      <c r="J221" s="803"/>
      <c r="K221" s="803"/>
      <c r="L221" s="803"/>
      <c r="M221" s="803"/>
      <c r="N221" s="803"/>
      <c r="P221" s="802"/>
      <c r="Q221" s="802"/>
      <c r="R221" s="802"/>
    </row>
    <row r="222" spans="3:18">
      <c r="C222" s="293"/>
      <c r="D222" s="803"/>
      <c r="E222" s="803"/>
      <c r="F222" s="803"/>
      <c r="G222" s="803"/>
      <c r="H222" s="803"/>
      <c r="I222" s="803"/>
      <c r="J222" s="803"/>
      <c r="K222" s="803"/>
      <c r="L222" s="803"/>
      <c r="M222" s="803"/>
      <c r="N222" s="803"/>
      <c r="P222" s="802"/>
      <c r="Q222" s="802"/>
      <c r="R222" s="802"/>
    </row>
    <row r="223" spans="3:18">
      <c r="C223" s="293"/>
      <c r="D223" s="803"/>
      <c r="E223" s="803"/>
      <c r="F223" s="803"/>
      <c r="G223" s="803"/>
      <c r="H223" s="803"/>
      <c r="I223" s="803"/>
      <c r="J223" s="803"/>
      <c r="K223" s="803"/>
      <c r="L223" s="803"/>
      <c r="M223" s="803"/>
      <c r="N223" s="803"/>
      <c r="P223" s="802"/>
      <c r="Q223" s="802"/>
      <c r="R223" s="802"/>
    </row>
    <row r="224" spans="3:18">
      <c r="C224" s="293"/>
      <c r="D224" s="803"/>
      <c r="E224" s="803"/>
      <c r="F224" s="803"/>
      <c r="G224" s="803"/>
      <c r="H224" s="803"/>
      <c r="I224" s="803"/>
      <c r="J224" s="803"/>
      <c r="K224" s="803"/>
      <c r="L224" s="803"/>
      <c r="M224" s="803"/>
      <c r="N224" s="803"/>
      <c r="P224" s="802"/>
      <c r="Q224" s="802"/>
      <c r="R224" s="802"/>
    </row>
    <row r="225" spans="3:18">
      <c r="C225" s="293"/>
      <c r="D225" s="803"/>
      <c r="E225" s="803"/>
      <c r="F225" s="803"/>
      <c r="G225" s="803"/>
      <c r="H225" s="803"/>
      <c r="I225" s="803"/>
      <c r="J225" s="803"/>
      <c r="K225" s="803"/>
      <c r="L225" s="803"/>
      <c r="M225" s="803"/>
      <c r="N225" s="803"/>
      <c r="P225" s="802"/>
      <c r="Q225" s="802"/>
      <c r="R225" s="802"/>
    </row>
    <row r="226" spans="3:18">
      <c r="C226" s="293"/>
      <c r="D226" s="803"/>
      <c r="E226" s="803"/>
      <c r="F226" s="803"/>
      <c r="G226" s="803"/>
      <c r="H226" s="803"/>
      <c r="I226" s="803"/>
      <c r="J226" s="803"/>
      <c r="K226" s="803"/>
      <c r="L226" s="803"/>
      <c r="M226" s="803"/>
      <c r="N226" s="803"/>
      <c r="P226" s="802"/>
      <c r="Q226" s="802"/>
      <c r="R226" s="802"/>
    </row>
    <row r="227" spans="3:18">
      <c r="C227" s="293"/>
      <c r="D227" s="803"/>
      <c r="E227" s="803"/>
      <c r="F227" s="803"/>
      <c r="G227" s="803"/>
      <c r="H227" s="803"/>
      <c r="I227" s="803"/>
      <c r="J227" s="803"/>
      <c r="K227" s="803"/>
      <c r="L227" s="803"/>
      <c r="M227" s="803"/>
      <c r="N227" s="803"/>
      <c r="P227" s="802"/>
      <c r="Q227" s="802"/>
      <c r="R227" s="802"/>
    </row>
    <row r="228" spans="3:18">
      <c r="C228" s="293"/>
      <c r="D228" s="803"/>
      <c r="E228" s="803"/>
      <c r="F228" s="803"/>
      <c r="G228" s="803"/>
      <c r="H228" s="803"/>
      <c r="I228" s="803"/>
      <c r="J228" s="803"/>
      <c r="K228" s="803"/>
      <c r="L228" s="803"/>
      <c r="M228" s="803"/>
      <c r="N228" s="803"/>
      <c r="P228" s="802"/>
      <c r="Q228" s="802"/>
      <c r="R228" s="802"/>
    </row>
    <row r="229" spans="3:18">
      <c r="C229" s="293"/>
      <c r="D229" s="803"/>
      <c r="E229" s="803"/>
      <c r="F229" s="803"/>
      <c r="G229" s="803"/>
      <c r="H229" s="803"/>
      <c r="I229" s="803"/>
      <c r="J229" s="803"/>
      <c r="K229" s="803"/>
      <c r="L229" s="803"/>
      <c r="M229" s="803"/>
      <c r="N229" s="803"/>
      <c r="P229" s="802"/>
      <c r="Q229" s="802"/>
      <c r="R229" s="802"/>
    </row>
    <row r="230" spans="3:18">
      <c r="C230" s="294" t="s">
        <v>411</v>
      </c>
      <c r="D230" s="294" t="s">
        <v>399</v>
      </c>
      <c r="E230" s="302"/>
      <c r="F230" s="302"/>
      <c r="G230" s="302"/>
      <c r="H230" s="302"/>
      <c r="I230" s="302"/>
      <c r="J230" s="302"/>
      <c r="K230" s="302"/>
      <c r="L230" s="302"/>
      <c r="M230" s="302"/>
      <c r="N230" s="302"/>
    </row>
    <row r="231" spans="3:18" ht="15" customHeight="1">
      <c r="C231" s="295"/>
      <c r="D231" s="799" t="s">
        <v>503</v>
      </c>
      <c r="E231" s="800"/>
      <c r="F231" s="800"/>
      <c r="G231" s="800"/>
      <c r="H231" s="800"/>
      <c r="I231" s="800"/>
      <c r="J231" s="800"/>
      <c r="K231" s="800"/>
      <c r="L231" s="800"/>
      <c r="M231" s="800"/>
      <c r="N231" s="800"/>
      <c r="P231" s="802" t="s">
        <v>485</v>
      </c>
      <c r="Q231" s="802"/>
      <c r="R231" s="802"/>
    </row>
    <row r="232" spans="3:18">
      <c r="C232" s="295"/>
      <c r="D232" s="801"/>
      <c r="E232" s="800"/>
      <c r="F232" s="800"/>
      <c r="G232" s="800"/>
      <c r="H232" s="800"/>
      <c r="I232" s="800"/>
      <c r="J232" s="800"/>
      <c r="K232" s="800"/>
      <c r="L232" s="800"/>
      <c r="M232" s="800"/>
      <c r="N232" s="800"/>
      <c r="P232" s="802"/>
      <c r="Q232" s="802"/>
      <c r="R232" s="802"/>
    </row>
    <row r="233" spans="3:18">
      <c r="C233" s="295"/>
      <c r="D233" s="801"/>
      <c r="E233" s="800"/>
      <c r="F233" s="800"/>
      <c r="G233" s="800"/>
      <c r="H233" s="800"/>
      <c r="I233" s="800"/>
      <c r="J233" s="800"/>
      <c r="K233" s="800"/>
      <c r="L233" s="800"/>
      <c r="M233" s="800"/>
      <c r="N233" s="800"/>
      <c r="P233" s="802"/>
      <c r="Q233" s="802"/>
      <c r="R233" s="802"/>
    </row>
    <row r="234" spans="3:18">
      <c r="C234" s="295"/>
      <c r="D234" s="801"/>
      <c r="E234" s="800"/>
      <c r="F234" s="800"/>
      <c r="G234" s="800"/>
      <c r="H234" s="800"/>
      <c r="I234" s="800"/>
      <c r="J234" s="800"/>
      <c r="K234" s="800"/>
      <c r="L234" s="800"/>
      <c r="M234" s="800"/>
      <c r="N234" s="800"/>
      <c r="P234" s="802"/>
      <c r="Q234" s="802"/>
      <c r="R234" s="802"/>
    </row>
    <row r="235" spans="3:18" ht="15" customHeight="1">
      <c r="C235" s="295"/>
      <c r="D235" s="801"/>
      <c r="E235" s="800"/>
      <c r="F235" s="800"/>
      <c r="G235" s="800"/>
      <c r="H235" s="800"/>
      <c r="I235" s="800"/>
      <c r="J235" s="800"/>
      <c r="K235" s="800"/>
      <c r="L235" s="800"/>
      <c r="M235" s="800"/>
      <c r="N235" s="800"/>
      <c r="P235" s="802"/>
      <c r="Q235" s="802"/>
      <c r="R235" s="802"/>
    </row>
    <row r="236" spans="3:18">
      <c r="C236" s="295"/>
      <c r="D236" s="801"/>
      <c r="E236" s="800"/>
      <c r="F236" s="800"/>
      <c r="G236" s="800"/>
      <c r="H236" s="800"/>
      <c r="I236" s="800"/>
      <c r="J236" s="800"/>
      <c r="K236" s="800"/>
      <c r="L236" s="800"/>
      <c r="M236" s="800"/>
      <c r="N236" s="800"/>
      <c r="P236" s="802"/>
      <c r="Q236" s="802"/>
      <c r="R236" s="802"/>
    </row>
    <row r="237" spans="3:18">
      <c r="C237" s="295"/>
      <c r="D237" s="801"/>
      <c r="E237" s="800"/>
      <c r="F237" s="800"/>
      <c r="G237" s="800"/>
      <c r="H237" s="800"/>
      <c r="I237" s="800"/>
      <c r="J237" s="800"/>
      <c r="K237" s="800"/>
      <c r="L237" s="800"/>
      <c r="M237" s="800"/>
      <c r="N237" s="800"/>
      <c r="P237" s="802"/>
      <c r="Q237" s="802"/>
      <c r="R237" s="802"/>
    </row>
    <row r="238" spans="3:18">
      <c r="C238" s="295"/>
      <c r="D238" s="801"/>
      <c r="E238" s="800"/>
      <c r="F238" s="800"/>
      <c r="G238" s="800"/>
      <c r="H238" s="800"/>
      <c r="I238" s="800"/>
      <c r="J238" s="800"/>
      <c r="K238" s="800"/>
      <c r="L238" s="800"/>
      <c r="M238" s="800"/>
      <c r="N238" s="800"/>
      <c r="P238" s="802"/>
      <c r="Q238" s="802"/>
      <c r="R238" s="802"/>
    </row>
    <row r="239" spans="3:18">
      <c r="C239" s="295"/>
      <c r="D239" s="801"/>
      <c r="E239" s="800"/>
      <c r="F239" s="800"/>
      <c r="G239" s="800"/>
      <c r="H239" s="800"/>
      <c r="I239" s="800"/>
      <c r="J239" s="800"/>
      <c r="K239" s="800"/>
      <c r="L239" s="800"/>
      <c r="M239" s="800"/>
      <c r="N239" s="800"/>
      <c r="P239" s="802"/>
      <c r="Q239" s="802"/>
      <c r="R239" s="802"/>
    </row>
    <row r="240" spans="3:18">
      <c r="C240" s="295"/>
      <c r="D240" s="294" t="s">
        <v>400</v>
      </c>
      <c r="E240" s="302"/>
      <c r="F240" s="302"/>
      <c r="G240" s="302"/>
      <c r="H240" s="302"/>
      <c r="I240" s="302"/>
      <c r="J240" s="302"/>
      <c r="K240" s="302"/>
      <c r="L240" s="302"/>
      <c r="M240" s="302"/>
      <c r="N240" s="302"/>
    </row>
    <row r="241" spans="3:18" ht="15" customHeight="1">
      <c r="C241" s="295"/>
      <c r="D241" s="799" t="s">
        <v>504</v>
      </c>
      <c r="E241" s="800"/>
      <c r="F241" s="800"/>
      <c r="G241" s="800"/>
      <c r="H241" s="800"/>
      <c r="I241" s="800"/>
      <c r="J241" s="800"/>
      <c r="K241" s="800"/>
      <c r="L241" s="800"/>
      <c r="M241" s="800"/>
      <c r="N241" s="800"/>
      <c r="P241" s="802" t="s">
        <v>486</v>
      </c>
      <c r="Q241" s="802"/>
      <c r="R241" s="802"/>
    </row>
    <row r="242" spans="3:18">
      <c r="C242" s="295"/>
      <c r="D242" s="801"/>
      <c r="E242" s="800"/>
      <c r="F242" s="800"/>
      <c r="G242" s="800"/>
      <c r="H242" s="800"/>
      <c r="I242" s="800"/>
      <c r="J242" s="800"/>
      <c r="K242" s="800"/>
      <c r="L242" s="800"/>
      <c r="M242" s="800"/>
      <c r="N242" s="800"/>
      <c r="P242" s="802"/>
      <c r="Q242" s="802"/>
      <c r="R242" s="802"/>
    </row>
    <row r="243" spans="3:18">
      <c r="C243" s="295"/>
      <c r="D243" s="801"/>
      <c r="E243" s="800"/>
      <c r="F243" s="800"/>
      <c r="G243" s="800"/>
      <c r="H243" s="800"/>
      <c r="I243" s="800"/>
      <c r="J243" s="800"/>
      <c r="K243" s="800"/>
      <c r="L243" s="800"/>
      <c r="M243" s="800"/>
      <c r="N243" s="800"/>
      <c r="P243" s="802"/>
      <c r="Q243" s="802"/>
      <c r="R243" s="802"/>
    </row>
    <row r="244" spans="3:18">
      <c r="C244" s="295"/>
      <c r="D244" s="801"/>
      <c r="E244" s="800"/>
      <c r="F244" s="800"/>
      <c r="G244" s="800"/>
      <c r="H244" s="800"/>
      <c r="I244" s="800"/>
      <c r="J244" s="800"/>
      <c r="K244" s="800"/>
      <c r="L244" s="800"/>
      <c r="M244" s="800"/>
      <c r="N244" s="800"/>
      <c r="P244" s="802"/>
      <c r="Q244" s="802"/>
      <c r="R244" s="802"/>
    </row>
    <row r="245" spans="3:18" ht="15" customHeight="1">
      <c r="C245" s="295"/>
      <c r="D245" s="801"/>
      <c r="E245" s="800"/>
      <c r="F245" s="800"/>
      <c r="G245" s="800"/>
      <c r="H245" s="800"/>
      <c r="I245" s="800"/>
      <c r="J245" s="800"/>
      <c r="K245" s="800"/>
      <c r="L245" s="800"/>
      <c r="M245" s="800"/>
      <c r="N245" s="800"/>
      <c r="P245" s="802"/>
      <c r="Q245" s="802"/>
      <c r="R245" s="802"/>
    </row>
    <row r="246" spans="3:18">
      <c r="C246" s="295"/>
      <c r="D246" s="801"/>
      <c r="E246" s="800"/>
      <c r="F246" s="800"/>
      <c r="G246" s="800"/>
      <c r="H246" s="800"/>
      <c r="I246" s="800"/>
      <c r="J246" s="800"/>
      <c r="K246" s="800"/>
      <c r="L246" s="800"/>
      <c r="M246" s="800"/>
      <c r="N246" s="800"/>
      <c r="P246" s="802"/>
      <c r="Q246" s="802"/>
      <c r="R246" s="802"/>
    </row>
    <row r="247" spans="3:18">
      <c r="C247" s="295"/>
      <c r="D247" s="801"/>
      <c r="E247" s="800"/>
      <c r="F247" s="800"/>
      <c r="G247" s="800"/>
      <c r="H247" s="800"/>
      <c r="I247" s="800"/>
      <c r="J247" s="800"/>
      <c r="K247" s="800"/>
      <c r="L247" s="800"/>
      <c r="M247" s="800"/>
      <c r="N247" s="800"/>
      <c r="P247" s="802"/>
      <c r="Q247" s="802"/>
      <c r="R247" s="802"/>
    </row>
    <row r="248" spans="3:18">
      <c r="C248" s="295"/>
      <c r="D248" s="801"/>
      <c r="E248" s="800"/>
      <c r="F248" s="800"/>
      <c r="G248" s="800"/>
      <c r="H248" s="800"/>
      <c r="I248" s="800"/>
      <c r="J248" s="800"/>
      <c r="K248" s="800"/>
      <c r="L248" s="800"/>
      <c r="M248" s="800"/>
      <c r="N248" s="800"/>
      <c r="P248" s="802"/>
      <c r="Q248" s="802"/>
      <c r="R248" s="802"/>
    </row>
    <row r="249" spans="3:18" ht="15" customHeight="1">
      <c r="C249" s="295"/>
      <c r="D249" s="801"/>
      <c r="E249" s="800"/>
      <c r="F249" s="800"/>
      <c r="G249" s="800"/>
      <c r="H249" s="800"/>
      <c r="I249" s="800"/>
      <c r="J249" s="800"/>
      <c r="K249" s="800"/>
      <c r="L249" s="800"/>
      <c r="M249" s="800"/>
      <c r="N249" s="800"/>
      <c r="P249" s="802"/>
      <c r="Q249" s="802"/>
      <c r="R249" s="802"/>
    </row>
    <row r="250" spans="3:18">
      <c r="C250" s="295"/>
      <c r="D250" s="294" t="s">
        <v>401</v>
      </c>
      <c r="E250" s="302"/>
      <c r="F250" s="302"/>
      <c r="G250" s="302"/>
      <c r="H250" s="302"/>
      <c r="I250" s="302"/>
      <c r="J250" s="302"/>
      <c r="K250" s="302"/>
      <c r="L250" s="302"/>
      <c r="M250" s="302"/>
      <c r="N250" s="302"/>
    </row>
    <row r="251" spans="3:18" ht="15" customHeight="1">
      <c r="C251" s="295"/>
      <c r="D251" s="799" t="s">
        <v>505</v>
      </c>
      <c r="E251" s="800"/>
      <c r="F251" s="800"/>
      <c r="G251" s="800"/>
      <c r="H251" s="800"/>
      <c r="I251" s="800"/>
      <c r="J251" s="800"/>
      <c r="K251" s="800"/>
      <c r="L251" s="800"/>
      <c r="M251" s="800"/>
      <c r="N251" s="800"/>
      <c r="P251" s="802" t="s">
        <v>487</v>
      </c>
      <c r="Q251" s="802"/>
      <c r="R251" s="802"/>
    </row>
    <row r="252" spans="3:18">
      <c r="C252" s="295"/>
      <c r="D252" s="801"/>
      <c r="E252" s="800"/>
      <c r="F252" s="800"/>
      <c r="G252" s="800"/>
      <c r="H252" s="800"/>
      <c r="I252" s="800"/>
      <c r="J252" s="800"/>
      <c r="K252" s="800"/>
      <c r="L252" s="800"/>
      <c r="M252" s="800"/>
      <c r="N252" s="800"/>
      <c r="P252" s="802"/>
      <c r="Q252" s="802"/>
      <c r="R252" s="802"/>
    </row>
    <row r="253" spans="3:18">
      <c r="C253" s="295"/>
      <c r="D253" s="801"/>
      <c r="E253" s="800"/>
      <c r="F253" s="800"/>
      <c r="G253" s="800"/>
      <c r="H253" s="800"/>
      <c r="I253" s="800"/>
      <c r="J253" s="800"/>
      <c r="K253" s="800"/>
      <c r="L253" s="800"/>
      <c r="M253" s="800"/>
      <c r="N253" s="800"/>
      <c r="P253" s="802"/>
      <c r="Q253" s="802"/>
      <c r="R253" s="802"/>
    </row>
    <row r="254" spans="3:18">
      <c r="C254" s="295"/>
      <c r="D254" s="801"/>
      <c r="E254" s="800"/>
      <c r="F254" s="800"/>
      <c r="G254" s="800"/>
      <c r="H254" s="800"/>
      <c r="I254" s="800"/>
      <c r="J254" s="800"/>
      <c r="K254" s="800"/>
      <c r="L254" s="800"/>
      <c r="M254" s="800"/>
      <c r="N254" s="800"/>
      <c r="P254" s="802"/>
      <c r="Q254" s="802"/>
      <c r="R254" s="802"/>
    </row>
    <row r="255" spans="3:18" ht="15" customHeight="1">
      <c r="C255" s="295"/>
      <c r="D255" s="801"/>
      <c r="E255" s="800"/>
      <c r="F255" s="800"/>
      <c r="G255" s="800"/>
      <c r="H255" s="800"/>
      <c r="I255" s="800"/>
      <c r="J255" s="800"/>
      <c r="K255" s="800"/>
      <c r="L255" s="800"/>
      <c r="M255" s="800"/>
      <c r="N255" s="800"/>
      <c r="P255" s="802"/>
      <c r="Q255" s="802"/>
      <c r="R255" s="802"/>
    </row>
    <row r="256" spans="3:18">
      <c r="C256" s="295"/>
      <c r="D256" s="801"/>
      <c r="E256" s="800"/>
      <c r="F256" s="800"/>
      <c r="G256" s="800"/>
      <c r="H256" s="800"/>
      <c r="I256" s="800"/>
      <c r="J256" s="800"/>
      <c r="K256" s="800"/>
      <c r="L256" s="800"/>
      <c r="M256" s="800"/>
      <c r="N256" s="800"/>
      <c r="P256" s="802"/>
      <c r="Q256" s="802"/>
      <c r="R256" s="802"/>
    </row>
    <row r="257" spans="3:18">
      <c r="C257" s="295"/>
      <c r="D257" s="801"/>
      <c r="E257" s="800"/>
      <c r="F257" s="800"/>
      <c r="G257" s="800"/>
      <c r="H257" s="800"/>
      <c r="I257" s="800"/>
      <c r="J257" s="800"/>
      <c r="K257" s="800"/>
      <c r="L257" s="800"/>
      <c r="M257" s="800"/>
      <c r="N257" s="800"/>
      <c r="P257" s="802"/>
      <c r="Q257" s="802"/>
      <c r="R257" s="802"/>
    </row>
    <row r="258" spans="3:18">
      <c r="C258" s="295"/>
      <c r="D258" s="801"/>
      <c r="E258" s="800"/>
      <c r="F258" s="800"/>
      <c r="G258" s="800"/>
      <c r="H258" s="800"/>
      <c r="I258" s="800"/>
      <c r="J258" s="800"/>
      <c r="K258" s="800"/>
      <c r="L258" s="800"/>
      <c r="M258" s="800"/>
      <c r="N258" s="800"/>
      <c r="P258" s="802"/>
      <c r="Q258" s="802"/>
      <c r="R258" s="802"/>
    </row>
    <row r="259" spans="3:18">
      <c r="C259" s="295"/>
      <c r="D259" s="801"/>
      <c r="E259" s="800"/>
      <c r="F259" s="800"/>
      <c r="G259" s="800"/>
      <c r="H259" s="800"/>
      <c r="I259" s="800"/>
      <c r="J259" s="800"/>
      <c r="K259" s="800"/>
      <c r="L259" s="800"/>
      <c r="M259" s="800"/>
      <c r="N259" s="800"/>
      <c r="P259" s="802"/>
      <c r="Q259" s="802"/>
      <c r="R259" s="802"/>
    </row>
    <row r="260" spans="3:18">
      <c r="C260" s="295"/>
      <c r="D260" s="294" t="s">
        <v>402</v>
      </c>
      <c r="E260" s="302"/>
      <c r="F260" s="302"/>
      <c r="G260" s="302"/>
      <c r="H260" s="302"/>
      <c r="I260" s="302"/>
      <c r="J260" s="302"/>
      <c r="K260" s="302"/>
      <c r="L260" s="302"/>
      <c r="M260" s="302"/>
      <c r="N260" s="302"/>
    </row>
    <row r="261" spans="3:18" ht="15" customHeight="1">
      <c r="C261" s="295"/>
      <c r="D261" s="799" t="s">
        <v>506</v>
      </c>
      <c r="E261" s="800"/>
      <c r="F261" s="800"/>
      <c r="G261" s="800"/>
      <c r="H261" s="800"/>
      <c r="I261" s="800"/>
      <c r="J261" s="800"/>
      <c r="K261" s="800"/>
      <c r="L261" s="800"/>
      <c r="M261" s="800"/>
      <c r="N261" s="800"/>
      <c r="P261" s="802" t="s">
        <v>488</v>
      </c>
      <c r="Q261" s="802"/>
      <c r="R261" s="802"/>
    </row>
    <row r="262" spans="3:18">
      <c r="C262" s="295"/>
      <c r="D262" s="801"/>
      <c r="E262" s="800"/>
      <c r="F262" s="800"/>
      <c r="G262" s="800"/>
      <c r="H262" s="800"/>
      <c r="I262" s="800"/>
      <c r="J262" s="800"/>
      <c r="K262" s="800"/>
      <c r="L262" s="800"/>
      <c r="M262" s="800"/>
      <c r="N262" s="800"/>
      <c r="P262" s="802"/>
      <c r="Q262" s="802"/>
      <c r="R262" s="802"/>
    </row>
    <row r="263" spans="3:18">
      <c r="C263" s="295"/>
      <c r="D263" s="801"/>
      <c r="E263" s="800"/>
      <c r="F263" s="800"/>
      <c r="G263" s="800"/>
      <c r="H263" s="800"/>
      <c r="I263" s="800"/>
      <c r="J263" s="800"/>
      <c r="K263" s="800"/>
      <c r="L263" s="800"/>
      <c r="M263" s="800"/>
      <c r="N263" s="800"/>
      <c r="P263" s="802"/>
      <c r="Q263" s="802"/>
      <c r="R263" s="802"/>
    </row>
    <row r="264" spans="3:18">
      <c r="C264" s="295"/>
      <c r="D264" s="801"/>
      <c r="E264" s="800"/>
      <c r="F264" s="800"/>
      <c r="G264" s="800"/>
      <c r="H264" s="800"/>
      <c r="I264" s="800"/>
      <c r="J264" s="800"/>
      <c r="K264" s="800"/>
      <c r="L264" s="800"/>
      <c r="M264" s="800"/>
      <c r="N264" s="800"/>
      <c r="P264" s="802"/>
      <c r="Q264" s="802"/>
      <c r="R264" s="802"/>
    </row>
    <row r="265" spans="3:18" ht="15" customHeight="1">
      <c r="C265" s="295"/>
      <c r="D265" s="801"/>
      <c r="E265" s="800"/>
      <c r="F265" s="800"/>
      <c r="G265" s="800"/>
      <c r="H265" s="800"/>
      <c r="I265" s="800"/>
      <c r="J265" s="800"/>
      <c r="K265" s="800"/>
      <c r="L265" s="800"/>
      <c r="M265" s="800"/>
      <c r="N265" s="800"/>
      <c r="P265" s="802"/>
      <c r="Q265" s="802"/>
      <c r="R265" s="802"/>
    </row>
    <row r="266" spans="3:18">
      <c r="C266" s="295"/>
      <c r="D266" s="801"/>
      <c r="E266" s="800"/>
      <c r="F266" s="800"/>
      <c r="G266" s="800"/>
      <c r="H266" s="800"/>
      <c r="I266" s="800"/>
      <c r="J266" s="800"/>
      <c r="K266" s="800"/>
      <c r="L266" s="800"/>
      <c r="M266" s="800"/>
      <c r="N266" s="800"/>
      <c r="P266" s="802"/>
      <c r="Q266" s="802"/>
      <c r="R266" s="802"/>
    </row>
    <row r="267" spans="3:18">
      <c r="C267" s="295"/>
      <c r="D267" s="801"/>
      <c r="E267" s="800"/>
      <c r="F267" s="800"/>
      <c r="G267" s="800"/>
      <c r="H267" s="800"/>
      <c r="I267" s="800"/>
      <c r="J267" s="800"/>
      <c r="K267" s="800"/>
      <c r="L267" s="800"/>
      <c r="M267" s="800"/>
      <c r="N267" s="800"/>
      <c r="P267" s="802"/>
      <c r="Q267" s="802"/>
      <c r="R267" s="802"/>
    </row>
    <row r="268" spans="3:18">
      <c r="C268" s="295"/>
      <c r="D268" s="801"/>
      <c r="E268" s="800"/>
      <c r="F268" s="800"/>
      <c r="G268" s="800"/>
      <c r="H268" s="800"/>
      <c r="I268" s="800"/>
      <c r="J268" s="800"/>
      <c r="K268" s="800"/>
      <c r="L268" s="800"/>
      <c r="M268" s="800"/>
      <c r="N268" s="800"/>
      <c r="P268" s="802"/>
      <c r="Q268" s="802"/>
      <c r="R268" s="802"/>
    </row>
    <row r="269" spans="3:18">
      <c r="C269" s="295"/>
      <c r="D269" s="801"/>
      <c r="E269" s="800"/>
      <c r="F269" s="800"/>
      <c r="G269" s="800"/>
      <c r="H269" s="800"/>
      <c r="I269" s="800"/>
      <c r="J269" s="800"/>
      <c r="K269" s="800"/>
      <c r="L269" s="800"/>
      <c r="M269" s="800"/>
      <c r="N269" s="800"/>
      <c r="P269" s="802"/>
      <c r="Q269" s="802"/>
      <c r="R269" s="802"/>
    </row>
    <row r="270" spans="3:18">
      <c r="C270" s="295"/>
      <c r="D270" s="294" t="s">
        <v>403</v>
      </c>
      <c r="E270" s="302"/>
      <c r="F270" s="302"/>
      <c r="G270" s="302"/>
      <c r="H270" s="302"/>
      <c r="I270" s="302"/>
      <c r="J270" s="302"/>
      <c r="K270" s="302"/>
      <c r="L270" s="302"/>
      <c r="M270" s="302"/>
      <c r="N270" s="302"/>
    </row>
    <row r="271" spans="3:18" ht="15" customHeight="1">
      <c r="C271" s="295"/>
      <c r="D271" s="799" t="s">
        <v>507</v>
      </c>
      <c r="E271" s="800"/>
      <c r="F271" s="800"/>
      <c r="G271" s="800"/>
      <c r="H271" s="800"/>
      <c r="I271" s="800"/>
      <c r="J271" s="800"/>
      <c r="K271" s="800"/>
      <c r="L271" s="800"/>
      <c r="M271" s="800"/>
      <c r="N271" s="800"/>
      <c r="P271" s="802" t="s">
        <v>489</v>
      </c>
      <c r="Q271" s="802"/>
      <c r="R271" s="802"/>
    </row>
    <row r="272" spans="3:18">
      <c r="C272" s="295"/>
      <c r="D272" s="801"/>
      <c r="E272" s="800"/>
      <c r="F272" s="800"/>
      <c r="G272" s="800"/>
      <c r="H272" s="800"/>
      <c r="I272" s="800"/>
      <c r="J272" s="800"/>
      <c r="K272" s="800"/>
      <c r="L272" s="800"/>
      <c r="M272" s="800"/>
      <c r="N272" s="800"/>
      <c r="P272" s="802"/>
      <c r="Q272" s="802"/>
      <c r="R272" s="802"/>
    </row>
    <row r="273" spans="3:18">
      <c r="C273" s="295"/>
      <c r="D273" s="801"/>
      <c r="E273" s="800"/>
      <c r="F273" s="800"/>
      <c r="G273" s="800"/>
      <c r="H273" s="800"/>
      <c r="I273" s="800"/>
      <c r="J273" s="800"/>
      <c r="K273" s="800"/>
      <c r="L273" s="800"/>
      <c r="M273" s="800"/>
      <c r="N273" s="800"/>
      <c r="P273" s="802"/>
      <c r="Q273" s="802"/>
      <c r="R273" s="802"/>
    </row>
    <row r="274" spans="3:18">
      <c r="C274" s="295"/>
      <c r="D274" s="801"/>
      <c r="E274" s="800"/>
      <c r="F274" s="800"/>
      <c r="G274" s="800"/>
      <c r="H274" s="800"/>
      <c r="I274" s="800"/>
      <c r="J274" s="800"/>
      <c r="K274" s="800"/>
      <c r="L274" s="800"/>
      <c r="M274" s="800"/>
      <c r="N274" s="800"/>
      <c r="P274" s="802"/>
      <c r="Q274" s="802"/>
      <c r="R274" s="802"/>
    </row>
    <row r="275" spans="3:18">
      <c r="C275" s="295"/>
      <c r="D275" s="801"/>
      <c r="E275" s="800"/>
      <c r="F275" s="800"/>
      <c r="G275" s="800"/>
      <c r="H275" s="800"/>
      <c r="I275" s="800"/>
      <c r="J275" s="800"/>
      <c r="K275" s="800"/>
      <c r="L275" s="800"/>
      <c r="M275" s="800"/>
      <c r="N275" s="800"/>
      <c r="P275" s="802"/>
      <c r="Q275" s="802"/>
      <c r="R275" s="802"/>
    </row>
    <row r="276" spans="3:18">
      <c r="C276" s="295"/>
      <c r="D276" s="801"/>
      <c r="E276" s="800"/>
      <c r="F276" s="800"/>
      <c r="G276" s="800"/>
      <c r="H276" s="800"/>
      <c r="I276" s="800"/>
      <c r="J276" s="800"/>
      <c r="K276" s="800"/>
      <c r="L276" s="800"/>
      <c r="M276" s="800"/>
      <c r="N276" s="800"/>
      <c r="P276" s="802"/>
      <c r="Q276" s="802"/>
      <c r="R276" s="802"/>
    </row>
    <row r="277" spans="3:18">
      <c r="C277" s="295"/>
      <c r="D277" s="801"/>
      <c r="E277" s="800"/>
      <c r="F277" s="800"/>
      <c r="G277" s="800"/>
      <c r="H277" s="800"/>
      <c r="I277" s="800"/>
      <c r="J277" s="800"/>
      <c r="K277" s="800"/>
      <c r="L277" s="800"/>
      <c r="M277" s="800"/>
      <c r="N277" s="800"/>
      <c r="P277" s="802"/>
      <c r="Q277" s="802"/>
      <c r="R277" s="802"/>
    </row>
    <row r="278" spans="3:18">
      <c r="C278" s="295"/>
      <c r="D278" s="801"/>
      <c r="E278" s="800"/>
      <c r="F278" s="800"/>
      <c r="G278" s="800"/>
      <c r="H278" s="800"/>
      <c r="I278" s="800"/>
      <c r="J278" s="800"/>
      <c r="K278" s="800"/>
      <c r="L278" s="800"/>
      <c r="M278" s="800"/>
      <c r="N278" s="800"/>
      <c r="P278" s="802"/>
      <c r="Q278" s="802"/>
      <c r="R278" s="802"/>
    </row>
    <row r="279" spans="3:18">
      <c r="C279" s="295"/>
      <c r="D279" s="801"/>
      <c r="E279" s="800"/>
      <c r="F279" s="800"/>
      <c r="G279" s="800"/>
      <c r="H279" s="800"/>
      <c r="I279" s="800"/>
      <c r="J279" s="800"/>
      <c r="K279" s="800"/>
      <c r="L279" s="800"/>
      <c r="M279" s="800"/>
      <c r="N279" s="800"/>
      <c r="P279" s="802"/>
      <c r="Q279" s="802"/>
      <c r="R279" s="802"/>
    </row>
    <row r="280" spans="3:18">
      <c r="C280" s="292" t="s">
        <v>410</v>
      </c>
      <c r="D280" s="292" t="s">
        <v>399</v>
      </c>
      <c r="E280" s="305"/>
      <c r="F280" s="305"/>
      <c r="G280" s="305"/>
      <c r="H280" s="305"/>
      <c r="I280" s="305"/>
      <c r="J280" s="305"/>
      <c r="K280" s="305"/>
      <c r="L280" s="305"/>
      <c r="M280" s="305"/>
      <c r="N280" s="305"/>
    </row>
    <row r="281" spans="3:18" ht="15" customHeight="1">
      <c r="C281" s="293"/>
      <c r="D281" s="796" t="s">
        <v>528</v>
      </c>
      <c r="E281" s="797"/>
      <c r="F281" s="797"/>
      <c r="G281" s="797"/>
      <c r="H281" s="797"/>
      <c r="I281" s="797"/>
      <c r="J281" s="797"/>
      <c r="K281" s="797"/>
      <c r="L281" s="797"/>
      <c r="M281" s="797"/>
      <c r="N281" s="797"/>
      <c r="O281" s="308"/>
      <c r="P281" s="802" t="s">
        <v>498</v>
      </c>
      <c r="Q281" s="802"/>
      <c r="R281" s="802"/>
    </row>
    <row r="282" spans="3:18">
      <c r="C282" s="293"/>
      <c r="D282" s="797"/>
      <c r="E282" s="797"/>
      <c r="F282" s="797"/>
      <c r="G282" s="797"/>
      <c r="H282" s="797"/>
      <c r="I282" s="797"/>
      <c r="J282" s="797"/>
      <c r="K282" s="797"/>
      <c r="L282" s="797"/>
      <c r="M282" s="797"/>
      <c r="N282" s="797"/>
      <c r="O282" s="308"/>
      <c r="P282" s="802"/>
      <c r="Q282" s="802"/>
      <c r="R282" s="802"/>
    </row>
    <row r="283" spans="3:18">
      <c r="C283" s="293"/>
      <c r="D283" s="797"/>
      <c r="E283" s="797"/>
      <c r="F283" s="797"/>
      <c r="G283" s="797"/>
      <c r="H283" s="797"/>
      <c r="I283" s="797"/>
      <c r="J283" s="797"/>
      <c r="K283" s="797"/>
      <c r="L283" s="797"/>
      <c r="M283" s="797"/>
      <c r="N283" s="797"/>
      <c r="O283" s="308"/>
      <c r="P283" s="802"/>
      <c r="Q283" s="802"/>
      <c r="R283" s="802"/>
    </row>
    <row r="284" spans="3:18">
      <c r="C284" s="293"/>
      <c r="D284" s="797"/>
      <c r="E284" s="797"/>
      <c r="F284" s="797"/>
      <c r="G284" s="797"/>
      <c r="H284" s="797"/>
      <c r="I284" s="797"/>
      <c r="J284" s="797"/>
      <c r="K284" s="797"/>
      <c r="L284" s="797"/>
      <c r="M284" s="797"/>
      <c r="N284" s="797"/>
      <c r="O284" s="308"/>
      <c r="P284" s="802"/>
      <c r="Q284" s="802"/>
      <c r="R284" s="802"/>
    </row>
    <row r="285" spans="3:18">
      <c r="C285" s="293"/>
      <c r="D285" s="797"/>
      <c r="E285" s="797"/>
      <c r="F285" s="797"/>
      <c r="G285" s="797"/>
      <c r="H285" s="797"/>
      <c r="I285" s="797"/>
      <c r="J285" s="797"/>
      <c r="K285" s="797"/>
      <c r="L285" s="797"/>
      <c r="M285" s="797"/>
      <c r="N285" s="797"/>
      <c r="O285" s="308"/>
      <c r="P285" s="802"/>
      <c r="Q285" s="802"/>
      <c r="R285" s="802"/>
    </row>
    <row r="286" spans="3:18">
      <c r="C286" s="293"/>
      <c r="D286" s="797"/>
      <c r="E286" s="797"/>
      <c r="F286" s="797"/>
      <c r="G286" s="797"/>
      <c r="H286" s="797"/>
      <c r="I286" s="797"/>
      <c r="J286" s="797"/>
      <c r="K286" s="797"/>
      <c r="L286" s="797"/>
      <c r="M286" s="797"/>
      <c r="N286" s="797"/>
      <c r="O286" s="308"/>
      <c r="P286" s="802"/>
      <c r="Q286" s="802"/>
      <c r="R286" s="802"/>
    </row>
    <row r="287" spans="3:18">
      <c r="C287" s="293"/>
      <c r="D287" s="797"/>
      <c r="E287" s="797"/>
      <c r="F287" s="797"/>
      <c r="G287" s="797"/>
      <c r="H287" s="797"/>
      <c r="I287" s="797"/>
      <c r="J287" s="797"/>
      <c r="K287" s="797"/>
      <c r="L287" s="797"/>
      <c r="M287" s="797"/>
      <c r="N287" s="797"/>
      <c r="O287" s="308"/>
      <c r="P287" s="802"/>
      <c r="Q287" s="802"/>
      <c r="R287" s="802"/>
    </row>
    <row r="288" spans="3:18">
      <c r="C288" s="293"/>
      <c r="D288" s="797"/>
      <c r="E288" s="797"/>
      <c r="F288" s="797"/>
      <c r="G288" s="797"/>
      <c r="H288" s="797"/>
      <c r="I288" s="797"/>
      <c r="J288" s="797"/>
      <c r="K288" s="797"/>
      <c r="L288" s="797"/>
      <c r="M288" s="797"/>
      <c r="N288" s="797"/>
      <c r="O288" s="308"/>
      <c r="P288" s="802"/>
      <c r="Q288" s="802"/>
      <c r="R288" s="802"/>
    </row>
    <row r="289" spans="3:18">
      <c r="C289" s="293"/>
      <c r="D289" s="797"/>
      <c r="E289" s="797"/>
      <c r="F289" s="797"/>
      <c r="G289" s="797"/>
      <c r="H289" s="797"/>
      <c r="I289" s="797"/>
      <c r="J289" s="797"/>
      <c r="K289" s="797"/>
      <c r="L289" s="797"/>
      <c r="M289" s="797"/>
      <c r="N289" s="797"/>
      <c r="O289" s="308"/>
      <c r="P289" s="802"/>
      <c r="Q289" s="802"/>
      <c r="R289" s="802"/>
    </row>
    <row r="290" spans="3:18">
      <c r="C290" s="293"/>
      <c r="D290" s="797"/>
      <c r="E290" s="797"/>
      <c r="F290" s="797"/>
      <c r="G290" s="797"/>
      <c r="H290" s="797"/>
      <c r="I290" s="797"/>
      <c r="J290" s="797"/>
      <c r="K290" s="797"/>
      <c r="L290" s="797"/>
      <c r="M290" s="797"/>
      <c r="N290" s="797"/>
      <c r="O290" s="308"/>
      <c r="P290" s="802"/>
      <c r="Q290" s="802"/>
      <c r="R290" s="802"/>
    </row>
    <row r="291" spans="3:18">
      <c r="C291" s="293"/>
      <c r="D291" s="797"/>
      <c r="E291" s="797"/>
      <c r="F291" s="797"/>
      <c r="G291" s="797"/>
      <c r="H291" s="797"/>
      <c r="I291" s="797"/>
      <c r="J291" s="797"/>
      <c r="K291" s="797"/>
      <c r="L291" s="797"/>
      <c r="M291" s="797"/>
      <c r="N291" s="797"/>
      <c r="O291" s="308"/>
      <c r="P291" s="802"/>
      <c r="Q291" s="802"/>
      <c r="R291" s="802"/>
    </row>
    <row r="292" spans="3:18">
      <c r="C292" s="293"/>
      <c r="D292" s="797"/>
      <c r="E292" s="797"/>
      <c r="F292" s="797"/>
      <c r="G292" s="797"/>
      <c r="H292" s="797"/>
      <c r="I292" s="797"/>
      <c r="J292" s="797"/>
      <c r="K292" s="797"/>
      <c r="L292" s="797"/>
      <c r="M292" s="797"/>
      <c r="N292" s="797"/>
      <c r="O292" s="308"/>
      <c r="P292" s="802"/>
      <c r="Q292" s="802"/>
      <c r="R292" s="802"/>
    </row>
    <row r="293" spans="3:18">
      <c r="C293" s="293"/>
      <c r="D293" s="797"/>
      <c r="E293" s="797"/>
      <c r="F293" s="797"/>
      <c r="G293" s="797"/>
      <c r="H293" s="797"/>
      <c r="I293" s="797"/>
      <c r="J293" s="797"/>
      <c r="K293" s="797"/>
      <c r="L293" s="797"/>
      <c r="M293" s="797"/>
      <c r="N293" s="797"/>
      <c r="O293" s="308"/>
      <c r="P293" s="802"/>
      <c r="Q293" s="802"/>
      <c r="R293" s="802"/>
    </row>
    <row r="294" spans="3:18">
      <c r="C294" s="293"/>
      <c r="D294" s="797"/>
      <c r="E294" s="797"/>
      <c r="F294" s="797"/>
      <c r="G294" s="797"/>
      <c r="H294" s="797"/>
      <c r="I294" s="797"/>
      <c r="J294" s="797"/>
      <c r="K294" s="797"/>
      <c r="L294" s="797"/>
      <c r="M294" s="797"/>
      <c r="N294" s="797"/>
      <c r="O294" s="308"/>
      <c r="P294" s="802"/>
      <c r="Q294" s="802"/>
      <c r="R294" s="802"/>
    </row>
    <row r="295" spans="3:18">
      <c r="C295" s="293"/>
      <c r="D295" s="797"/>
      <c r="E295" s="797"/>
      <c r="F295" s="797"/>
      <c r="G295" s="797"/>
      <c r="H295" s="797"/>
      <c r="I295" s="797"/>
      <c r="J295" s="797"/>
      <c r="K295" s="797"/>
      <c r="L295" s="797"/>
      <c r="M295" s="797"/>
      <c r="N295" s="797"/>
      <c r="O295" s="308"/>
      <c r="P295" s="802"/>
      <c r="Q295" s="802"/>
      <c r="R295" s="802"/>
    </row>
    <row r="296" spans="3:18">
      <c r="C296" s="293"/>
      <c r="D296" s="292" t="s">
        <v>400</v>
      </c>
      <c r="E296" s="305"/>
      <c r="F296" s="305"/>
      <c r="G296" s="305"/>
      <c r="H296" s="305"/>
      <c r="I296" s="305"/>
      <c r="J296" s="305"/>
      <c r="K296" s="305"/>
      <c r="L296" s="305"/>
      <c r="M296" s="305"/>
      <c r="N296" s="305"/>
    </row>
    <row r="297" spans="3:18" ht="15" customHeight="1">
      <c r="C297" s="293"/>
      <c r="D297" s="796" t="s">
        <v>527</v>
      </c>
      <c r="E297" s="798"/>
      <c r="F297" s="798"/>
      <c r="G297" s="798"/>
      <c r="H297" s="798"/>
      <c r="I297" s="798"/>
      <c r="J297" s="798"/>
      <c r="K297" s="798"/>
      <c r="L297" s="798"/>
      <c r="M297" s="798"/>
      <c r="N297" s="798"/>
      <c r="O297" s="308"/>
      <c r="P297" s="802" t="s">
        <v>499</v>
      </c>
      <c r="Q297" s="802"/>
      <c r="R297" s="802"/>
    </row>
    <row r="298" spans="3:18">
      <c r="C298" s="293"/>
      <c r="D298" s="798"/>
      <c r="E298" s="798"/>
      <c r="F298" s="798"/>
      <c r="G298" s="798"/>
      <c r="H298" s="798"/>
      <c r="I298" s="798"/>
      <c r="J298" s="798"/>
      <c r="K298" s="798"/>
      <c r="L298" s="798"/>
      <c r="M298" s="798"/>
      <c r="N298" s="798"/>
      <c r="O298" s="308"/>
      <c r="P298" s="802"/>
      <c r="Q298" s="802"/>
      <c r="R298" s="802"/>
    </row>
    <row r="299" spans="3:18">
      <c r="C299" s="293"/>
      <c r="D299" s="798"/>
      <c r="E299" s="798"/>
      <c r="F299" s="798"/>
      <c r="G299" s="798"/>
      <c r="H299" s="798"/>
      <c r="I299" s="798"/>
      <c r="J299" s="798"/>
      <c r="K299" s="798"/>
      <c r="L299" s="798"/>
      <c r="M299" s="798"/>
      <c r="N299" s="798"/>
      <c r="O299" s="308"/>
      <c r="P299" s="802"/>
      <c r="Q299" s="802"/>
      <c r="R299" s="802"/>
    </row>
    <row r="300" spans="3:18">
      <c r="C300" s="293"/>
      <c r="D300" s="798"/>
      <c r="E300" s="798"/>
      <c r="F300" s="798"/>
      <c r="G300" s="798"/>
      <c r="H300" s="798"/>
      <c r="I300" s="798"/>
      <c r="J300" s="798"/>
      <c r="K300" s="798"/>
      <c r="L300" s="798"/>
      <c r="M300" s="798"/>
      <c r="N300" s="798"/>
      <c r="O300" s="308"/>
      <c r="P300" s="802"/>
      <c r="Q300" s="802"/>
      <c r="R300" s="802"/>
    </row>
    <row r="301" spans="3:18">
      <c r="C301" s="293"/>
      <c r="D301" s="798"/>
      <c r="E301" s="798"/>
      <c r="F301" s="798"/>
      <c r="G301" s="798"/>
      <c r="H301" s="798"/>
      <c r="I301" s="798"/>
      <c r="J301" s="798"/>
      <c r="K301" s="798"/>
      <c r="L301" s="798"/>
      <c r="M301" s="798"/>
      <c r="N301" s="798"/>
      <c r="O301" s="308"/>
      <c r="P301" s="802"/>
      <c r="Q301" s="802"/>
      <c r="R301" s="802"/>
    </row>
    <row r="302" spans="3:18">
      <c r="C302" s="293"/>
      <c r="D302" s="798"/>
      <c r="E302" s="798"/>
      <c r="F302" s="798"/>
      <c r="G302" s="798"/>
      <c r="H302" s="798"/>
      <c r="I302" s="798"/>
      <c r="J302" s="798"/>
      <c r="K302" s="798"/>
      <c r="L302" s="798"/>
      <c r="M302" s="798"/>
      <c r="N302" s="798"/>
      <c r="O302" s="308"/>
      <c r="P302" s="802"/>
      <c r="Q302" s="802"/>
      <c r="R302" s="802"/>
    </row>
    <row r="303" spans="3:18">
      <c r="C303" s="293"/>
      <c r="D303" s="798"/>
      <c r="E303" s="798"/>
      <c r="F303" s="798"/>
      <c r="G303" s="798"/>
      <c r="H303" s="798"/>
      <c r="I303" s="798"/>
      <c r="J303" s="798"/>
      <c r="K303" s="798"/>
      <c r="L303" s="798"/>
      <c r="M303" s="798"/>
      <c r="N303" s="798"/>
      <c r="O303" s="308"/>
      <c r="P303" s="802"/>
      <c r="Q303" s="802"/>
      <c r="R303" s="802"/>
    </row>
    <row r="304" spans="3:18">
      <c r="C304" s="293"/>
      <c r="D304" s="798"/>
      <c r="E304" s="798"/>
      <c r="F304" s="798"/>
      <c r="G304" s="798"/>
      <c r="H304" s="798"/>
      <c r="I304" s="798"/>
      <c r="J304" s="798"/>
      <c r="K304" s="798"/>
      <c r="L304" s="798"/>
      <c r="M304" s="798"/>
      <c r="N304" s="798"/>
      <c r="O304" s="308"/>
      <c r="P304" s="802"/>
      <c r="Q304" s="802"/>
      <c r="R304" s="802"/>
    </row>
    <row r="305" spans="3:18">
      <c r="C305" s="293"/>
      <c r="D305" s="798"/>
      <c r="E305" s="798"/>
      <c r="F305" s="798"/>
      <c r="G305" s="798"/>
      <c r="H305" s="798"/>
      <c r="I305" s="798"/>
      <c r="J305" s="798"/>
      <c r="K305" s="798"/>
      <c r="L305" s="798"/>
      <c r="M305" s="798"/>
      <c r="N305" s="798"/>
      <c r="O305" s="308"/>
      <c r="P305" s="802"/>
      <c r="Q305" s="802"/>
      <c r="R305" s="802"/>
    </row>
    <row r="306" spans="3:18">
      <c r="C306" s="293"/>
      <c r="D306" s="798"/>
      <c r="E306" s="798"/>
      <c r="F306" s="798"/>
      <c r="G306" s="798"/>
      <c r="H306" s="798"/>
      <c r="I306" s="798"/>
      <c r="J306" s="798"/>
      <c r="K306" s="798"/>
      <c r="L306" s="798"/>
      <c r="M306" s="798"/>
      <c r="N306" s="798"/>
      <c r="O306" s="308"/>
      <c r="P306" s="802"/>
      <c r="Q306" s="802"/>
      <c r="R306" s="802"/>
    </row>
    <row r="307" spans="3:18">
      <c r="C307" s="293"/>
      <c r="D307" s="798"/>
      <c r="E307" s="798"/>
      <c r="F307" s="798"/>
      <c r="G307" s="798"/>
      <c r="H307" s="798"/>
      <c r="I307" s="798"/>
      <c r="J307" s="798"/>
      <c r="K307" s="798"/>
      <c r="L307" s="798"/>
      <c r="M307" s="798"/>
      <c r="N307" s="798"/>
      <c r="O307" s="308"/>
      <c r="P307" s="802"/>
      <c r="Q307" s="802"/>
      <c r="R307" s="802"/>
    </row>
    <row r="308" spans="3:18">
      <c r="C308" s="293"/>
      <c r="D308" s="798"/>
      <c r="E308" s="798"/>
      <c r="F308" s="798"/>
      <c r="G308" s="798"/>
      <c r="H308" s="798"/>
      <c r="I308" s="798"/>
      <c r="J308" s="798"/>
      <c r="K308" s="798"/>
      <c r="L308" s="798"/>
      <c r="M308" s="798"/>
      <c r="N308" s="798"/>
      <c r="O308" s="308"/>
      <c r="P308" s="802"/>
      <c r="Q308" s="802"/>
      <c r="R308" s="802"/>
    </row>
    <row r="309" spans="3:18">
      <c r="C309" s="293"/>
      <c r="D309" s="798"/>
      <c r="E309" s="798"/>
      <c r="F309" s="798"/>
      <c r="G309" s="798"/>
      <c r="H309" s="798"/>
      <c r="I309" s="798"/>
      <c r="J309" s="798"/>
      <c r="K309" s="798"/>
      <c r="L309" s="798"/>
      <c r="M309" s="798"/>
      <c r="N309" s="798"/>
      <c r="O309" s="308"/>
      <c r="P309" s="802"/>
      <c r="Q309" s="802"/>
      <c r="R309" s="802"/>
    </row>
    <row r="310" spans="3:18">
      <c r="C310" s="293"/>
      <c r="D310" s="798"/>
      <c r="E310" s="798"/>
      <c r="F310" s="798"/>
      <c r="G310" s="798"/>
      <c r="H310" s="798"/>
      <c r="I310" s="798"/>
      <c r="J310" s="798"/>
      <c r="K310" s="798"/>
      <c r="L310" s="798"/>
      <c r="M310" s="798"/>
      <c r="N310" s="798"/>
      <c r="O310" s="308"/>
      <c r="P310" s="802"/>
      <c r="Q310" s="802"/>
      <c r="R310" s="802"/>
    </row>
    <row r="311" spans="3:18">
      <c r="C311" s="293"/>
      <c r="D311" s="798"/>
      <c r="E311" s="798"/>
      <c r="F311" s="798"/>
      <c r="G311" s="798"/>
      <c r="H311" s="798"/>
      <c r="I311" s="798"/>
      <c r="J311" s="798"/>
      <c r="K311" s="798"/>
      <c r="L311" s="798"/>
      <c r="M311" s="798"/>
      <c r="N311" s="798"/>
      <c r="O311" s="308"/>
      <c r="P311" s="802"/>
      <c r="Q311" s="802"/>
      <c r="R311" s="802"/>
    </row>
    <row r="312" spans="3:18">
      <c r="C312" s="293"/>
      <c r="D312" s="292" t="s">
        <v>401</v>
      </c>
      <c r="E312" s="305"/>
      <c r="F312" s="305"/>
      <c r="G312" s="305"/>
      <c r="H312" s="305"/>
      <c r="I312" s="305"/>
      <c r="J312" s="305"/>
      <c r="K312" s="305"/>
      <c r="L312" s="305"/>
      <c r="M312" s="305"/>
      <c r="N312" s="305"/>
    </row>
    <row r="313" spans="3:18" ht="15" customHeight="1">
      <c r="C313" s="293"/>
      <c r="D313" s="796" t="s">
        <v>537</v>
      </c>
      <c r="E313" s="797"/>
      <c r="F313" s="797"/>
      <c r="G313" s="797"/>
      <c r="H313" s="797"/>
      <c r="I313" s="797"/>
      <c r="J313" s="797"/>
      <c r="K313" s="797"/>
      <c r="L313" s="797"/>
      <c r="M313" s="797"/>
      <c r="N313" s="797"/>
      <c r="O313" s="309"/>
      <c r="P313" s="802" t="s">
        <v>500</v>
      </c>
      <c r="Q313" s="802"/>
      <c r="R313" s="802"/>
    </row>
    <row r="314" spans="3:18">
      <c r="C314" s="293"/>
      <c r="D314" s="797"/>
      <c r="E314" s="797"/>
      <c r="F314" s="797"/>
      <c r="G314" s="797"/>
      <c r="H314" s="797"/>
      <c r="I314" s="797"/>
      <c r="J314" s="797"/>
      <c r="K314" s="797"/>
      <c r="L314" s="797"/>
      <c r="M314" s="797"/>
      <c r="N314" s="797"/>
      <c r="O314" s="309"/>
      <c r="P314" s="802"/>
      <c r="Q314" s="802"/>
      <c r="R314" s="802"/>
    </row>
    <row r="315" spans="3:18">
      <c r="C315" s="293"/>
      <c r="D315" s="797"/>
      <c r="E315" s="797"/>
      <c r="F315" s="797"/>
      <c r="G315" s="797"/>
      <c r="H315" s="797"/>
      <c r="I315" s="797"/>
      <c r="J315" s="797"/>
      <c r="K315" s="797"/>
      <c r="L315" s="797"/>
      <c r="M315" s="797"/>
      <c r="N315" s="797"/>
      <c r="O315" s="309"/>
      <c r="P315" s="802"/>
      <c r="Q315" s="802"/>
      <c r="R315" s="802"/>
    </row>
    <row r="316" spans="3:18">
      <c r="C316" s="293"/>
      <c r="D316" s="797"/>
      <c r="E316" s="797"/>
      <c r="F316" s="797"/>
      <c r="G316" s="797"/>
      <c r="H316" s="797"/>
      <c r="I316" s="797"/>
      <c r="J316" s="797"/>
      <c r="K316" s="797"/>
      <c r="L316" s="797"/>
      <c r="M316" s="797"/>
      <c r="N316" s="797"/>
      <c r="O316" s="309"/>
      <c r="P316" s="802"/>
      <c r="Q316" s="802"/>
      <c r="R316" s="802"/>
    </row>
    <row r="317" spans="3:18">
      <c r="C317" s="293"/>
      <c r="D317" s="797"/>
      <c r="E317" s="797"/>
      <c r="F317" s="797"/>
      <c r="G317" s="797"/>
      <c r="H317" s="797"/>
      <c r="I317" s="797"/>
      <c r="J317" s="797"/>
      <c r="K317" s="797"/>
      <c r="L317" s="797"/>
      <c r="M317" s="797"/>
      <c r="N317" s="797"/>
      <c r="O317" s="309"/>
      <c r="P317" s="802"/>
      <c r="Q317" s="802"/>
      <c r="R317" s="802"/>
    </row>
    <row r="318" spans="3:18">
      <c r="C318" s="293"/>
      <c r="D318" s="797"/>
      <c r="E318" s="797"/>
      <c r="F318" s="797"/>
      <c r="G318" s="797"/>
      <c r="H318" s="797"/>
      <c r="I318" s="797"/>
      <c r="J318" s="797"/>
      <c r="K318" s="797"/>
      <c r="L318" s="797"/>
      <c r="M318" s="797"/>
      <c r="N318" s="797"/>
      <c r="O318" s="309"/>
      <c r="P318" s="802"/>
      <c r="Q318" s="802"/>
      <c r="R318" s="802"/>
    </row>
    <row r="319" spans="3:18">
      <c r="C319" s="293"/>
      <c r="D319" s="797"/>
      <c r="E319" s="797"/>
      <c r="F319" s="797"/>
      <c r="G319" s="797"/>
      <c r="H319" s="797"/>
      <c r="I319" s="797"/>
      <c r="J319" s="797"/>
      <c r="K319" s="797"/>
      <c r="L319" s="797"/>
      <c r="M319" s="797"/>
      <c r="N319" s="797"/>
      <c r="O319" s="309"/>
      <c r="P319" s="802"/>
      <c r="Q319" s="802"/>
      <c r="R319" s="802"/>
    </row>
    <row r="320" spans="3:18">
      <c r="C320" s="293"/>
      <c r="D320" s="797"/>
      <c r="E320" s="797"/>
      <c r="F320" s="797"/>
      <c r="G320" s="797"/>
      <c r="H320" s="797"/>
      <c r="I320" s="797"/>
      <c r="J320" s="797"/>
      <c r="K320" s="797"/>
      <c r="L320" s="797"/>
      <c r="M320" s="797"/>
      <c r="N320" s="797"/>
      <c r="O320" s="309"/>
      <c r="P320" s="802"/>
      <c r="Q320" s="802"/>
      <c r="R320" s="802"/>
    </row>
    <row r="321" spans="3:18">
      <c r="C321" s="293"/>
      <c r="D321" s="797"/>
      <c r="E321" s="797"/>
      <c r="F321" s="797"/>
      <c r="G321" s="797"/>
      <c r="H321" s="797"/>
      <c r="I321" s="797"/>
      <c r="J321" s="797"/>
      <c r="K321" s="797"/>
      <c r="L321" s="797"/>
      <c r="M321" s="797"/>
      <c r="N321" s="797"/>
      <c r="O321" s="309"/>
      <c r="P321" s="802"/>
      <c r="Q321" s="802"/>
      <c r="R321" s="802"/>
    </row>
    <row r="322" spans="3:18">
      <c r="C322" s="293"/>
      <c r="D322" s="797"/>
      <c r="E322" s="797"/>
      <c r="F322" s="797"/>
      <c r="G322" s="797"/>
      <c r="H322" s="797"/>
      <c r="I322" s="797"/>
      <c r="J322" s="797"/>
      <c r="K322" s="797"/>
      <c r="L322" s="797"/>
      <c r="M322" s="797"/>
      <c r="N322" s="797"/>
      <c r="O322" s="309"/>
      <c r="P322" s="802"/>
      <c r="Q322" s="802"/>
      <c r="R322" s="802"/>
    </row>
    <row r="323" spans="3:18">
      <c r="C323" s="293"/>
      <c r="D323" s="797"/>
      <c r="E323" s="797"/>
      <c r="F323" s="797"/>
      <c r="G323" s="797"/>
      <c r="H323" s="797"/>
      <c r="I323" s="797"/>
      <c r="J323" s="797"/>
      <c r="K323" s="797"/>
      <c r="L323" s="797"/>
      <c r="M323" s="797"/>
      <c r="N323" s="797"/>
      <c r="O323" s="309"/>
      <c r="P323" s="802"/>
      <c r="Q323" s="802"/>
      <c r="R323" s="802"/>
    </row>
    <row r="324" spans="3:18">
      <c r="C324" s="293"/>
      <c r="D324" s="797"/>
      <c r="E324" s="797"/>
      <c r="F324" s="797"/>
      <c r="G324" s="797"/>
      <c r="H324" s="797"/>
      <c r="I324" s="797"/>
      <c r="J324" s="797"/>
      <c r="K324" s="797"/>
      <c r="L324" s="797"/>
      <c r="M324" s="797"/>
      <c r="N324" s="797"/>
      <c r="O324" s="309"/>
      <c r="P324" s="802"/>
      <c r="Q324" s="802"/>
      <c r="R324" s="802"/>
    </row>
    <row r="325" spans="3:18">
      <c r="C325" s="293"/>
      <c r="D325" s="797"/>
      <c r="E325" s="797"/>
      <c r="F325" s="797"/>
      <c r="G325" s="797"/>
      <c r="H325" s="797"/>
      <c r="I325" s="797"/>
      <c r="J325" s="797"/>
      <c r="K325" s="797"/>
      <c r="L325" s="797"/>
      <c r="M325" s="797"/>
      <c r="N325" s="797"/>
      <c r="O325" s="309"/>
      <c r="P325" s="802"/>
      <c r="Q325" s="802"/>
      <c r="R325" s="802"/>
    </row>
    <row r="326" spans="3:18">
      <c r="C326" s="293"/>
      <c r="D326" s="797"/>
      <c r="E326" s="797"/>
      <c r="F326" s="797"/>
      <c r="G326" s="797"/>
      <c r="H326" s="797"/>
      <c r="I326" s="797"/>
      <c r="J326" s="797"/>
      <c r="K326" s="797"/>
      <c r="L326" s="797"/>
      <c r="M326" s="797"/>
      <c r="N326" s="797"/>
      <c r="O326" s="309"/>
      <c r="P326" s="802"/>
      <c r="Q326" s="802"/>
      <c r="R326" s="802"/>
    </row>
    <row r="327" spans="3:18">
      <c r="C327" s="293"/>
      <c r="D327" s="797"/>
      <c r="E327" s="797"/>
      <c r="F327" s="797"/>
      <c r="G327" s="797"/>
      <c r="H327" s="797"/>
      <c r="I327" s="797"/>
      <c r="J327" s="797"/>
      <c r="K327" s="797"/>
      <c r="L327" s="797"/>
      <c r="M327" s="797"/>
      <c r="N327" s="797"/>
      <c r="O327" s="309"/>
      <c r="P327" s="802"/>
      <c r="Q327" s="802"/>
      <c r="R327" s="802"/>
    </row>
    <row r="328" spans="3:18">
      <c r="C328" s="293"/>
      <c r="D328" s="292" t="s">
        <v>402</v>
      </c>
      <c r="E328" s="305"/>
      <c r="F328" s="305"/>
      <c r="G328" s="305"/>
      <c r="H328" s="305"/>
      <c r="I328" s="305"/>
      <c r="J328" s="305"/>
      <c r="K328" s="305"/>
      <c r="L328" s="305"/>
      <c r="M328" s="305"/>
      <c r="N328" s="305"/>
    </row>
    <row r="329" spans="3:18" ht="15" customHeight="1">
      <c r="C329" s="293"/>
      <c r="D329" s="796" t="s">
        <v>538</v>
      </c>
      <c r="E329" s="797"/>
      <c r="F329" s="797"/>
      <c r="G329" s="797"/>
      <c r="H329" s="797"/>
      <c r="I329" s="797"/>
      <c r="J329" s="797"/>
      <c r="K329" s="797"/>
      <c r="L329" s="797"/>
      <c r="M329" s="797"/>
      <c r="N329" s="797"/>
      <c r="O329" s="309"/>
      <c r="P329" s="804" t="s">
        <v>501</v>
      </c>
      <c r="Q329" s="802"/>
      <c r="R329" s="802"/>
    </row>
    <row r="330" spans="3:18" ht="15" customHeight="1">
      <c r="C330" s="293"/>
      <c r="D330" s="797"/>
      <c r="E330" s="797"/>
      <c r="F330" s="797"/>
      <c r="G330" s="797"/>
      <c r="H330" s="797"/>
      <c r="I330" s="797"/>
      <c r="J330" s="797"/>
      <c r="K330" s="797"/>
      <c r="L330" s="797"/>
      <c r="M330" s="797"/>
      <c r="N330" s="797"/>
      <c r="O330" s="309"/>
      <c r="P330" s="802"/>
      <c r="Q330" s="802"/>
      <c r="R330" s="802"/>
    </row>
    <row r="331" spans="3:18">
      <c r="C331" s="293"/>
      <c r="D331" s="797"/>
      <c r="E331" s="797"/>
      <c r="F331" s="797"/>
      <c r="G331" s="797"/>
      <c r="H331" s="797"/>
      <c r="I331" s="797"/>
      <c r="J331" s="797"/>
      <c r="K331" s="797"/>
      <c r="L331" s="797"/>
      <c r="M331" s="797"/>
      <c r="N331" s="797"/>
      <c r="O331" s="309"/>
      <c r="P331" s="802"/>
      <c r="Q331" s="802"/>
      <c r="R331" s="802"/>
    </row>
    <row r="332" spans="3:18">
      <c r="C332" s="293"/>
      <c r="D332" s="797"/>
      <c r="E332" s="797"/>
      <c r="F332" s="797"/>
      <c r="G332" s="797"/>
      <c r="H332" s="797"/>
      <c r="I332" s="797"/>
      <c r="J332" s="797"/>
      <c r="K332" s="797"/>
      <c r="L332" s="797"/>
      <c r="M332" s="797"/>
      <c r="N332" s="797"/>
      <c r="O332" s="309"/>
      <c r="P332" s="802"/>
      <c r="Q332" s="802"/>
      <c r="R332" s="802"/>
    </row>
    <row r="333" spans="3:18">
      <c r="C333" s="293"/>
      <c r="D333" s="797"/>
      <c r="E333" s="797"/>
      <c r="F333" s="797"/>
      <c r="G333" s="797"/>
      <c r="H333" s="797"/>
      <c r="I333" s="797"/>
      <c r="J333" s="797"/>
      <c r="K333" s="797"/>
      <c r="L333" s="797"/>
      <c r="M333" s="797"/>
      <c r="N333" s="797"/>
      <c r="O333" s="309"/>
      <c r="P333" s="802"/>
      <c r="Q333" s="802"/>
      <c r="R333" s="802"/>
    </row>
    <row r="334" spans="3:18">
      <c r="C334" s="293"/>
      <c r="D334" s="797"/>
      <c r="E334" s="797"/>
      <c r="F334" s="797"/>
      <c r="G334" s="797"/>
      <c r="H334" s="797"/>
      <c r="I334" s="797"/>
      <c r="J334" s="797"/>
      <c r="K334" s="797"/>
      <c r="L334" s="797"/>
      <c r="M334" s="797"/>
      <c r="N334" s="797"/>
      <c r="O334" s="309"/>
      <c r="P334" s="802"/>
      <c r="Q334" s="802"/>
      <c r="R334" s="802"/>
    </row>
    <row r="335" spans="3:18">
      <c r="C335" s="293"/>
      <c r="D335" s="797"/>
      <c r="E335" s="797"/>
      <c r="F335" s="797"/>
      <c r="G335" s="797"/>
      <c r="H335" s="797"/>
      <c r="I335" s="797"/>
      <c r="J335" s="797"/>
      <c r="K335" s="797"/>
      <c r="L335" s="797"/>
      <c r="M335" s="797"/>
      <c r="N335" s="797"/>
      <c r="O335" s="309"/>
      <c r="P335" s="802"/>
      <c r="Q335" s="802"/>
      <c r="R335" s="802"/>
    </row>
    <row r="336" spans="3:18">
      <c r="C336" s="293"/>
      <c r="D336" s="797"/>
      <c r="E336" s="797"/>
      <c r="F336" s="797"/>
      <c r="G336" s="797"/>
      <c r="H336" s="797"/>
      <c r="I336" s="797"/>
      <c r="J336" s="797"/>
      <c r="K336" s="797"/>
      <c r="L336" s="797"/>
      <c r="M336" s="797"/>
      <c r="N336" s="797"/>
      <c r="O336" s="309"/>
      <c r="P336" s="802"/>
      <c r="Q336" s="802"/>
      <c r="R336" s="802"/>
    </row>
    <row r="337" spans="3:18">
      <c r="C337" s="293"/>
      <c r="D337" s="797"/>
      <c r="E337" s="797"/>
      <c r="F337" s="797"/>
      <c r="G337" s="797"/>
      <c r="H337" s="797"/>
      <c r="I337" s="797"/>
      <c r="J337" s="797"/>
      <c r="K337" s="797"/>
      <c r="L337" s="797"/>
      <c r="M337" s="797"/>
      <c r="N337" s="797"/>
      <c r="O337" s="309"/>
      <c r="P337" s="802"/>
      <c r="Q337" s="802"/>
      <c r="R337" s="802"/>
    </row>
    <row r="338" spans="3:18">
      <c r="C338" s="293"/>
      <c r="D338" s="797"/>
      <c r="E338" s="797"/>
      <c r="F338" s="797"/>
      <c r="G338" s="797"/>
      <c r="H338" s="797"/>
      <c r="I338" s="797"/>
      <c r="J338" s="797"/>
      <c r="K338" s="797"/>
      <c r="L338" s="797"/>
      <c r="M338" s="797"/>
      <c r="N338" s="797"/>
      <c r="O338" s="309"/>
      <c r="P338" s="802"/>
      <c r="Q338" s="802"/>
      <c r="R338" s="802"/>
    </row>
    <row r="339" spans="3:18">
      <c r="C339" s="293"/>
      <c r="D339" s="797"/>
      <c r="E339" s="797"/>
      <c r="F339" s="797"/>
      <c r="G339" s="797"/>
      <c r="H339" s="797"/>
      <c r="I339" s="797"/>
      <c r="J339" s="797"/>
      <c r="K339" s="797"/>
      <c r="L339" s="797"/>
      <c r="M339" s="797"/>
      <c r="N339" s="797"/>
      <c r="O339" s="309"/>
      <c r="P339" s="802"/>
      <c r="Q339" s="802"/>
      <c r="R339" s="802"/>
    </row>
    <row r="340" spans="3:18">
      <c r="C340" s="293"/>
      <c r="D340" s="797"/>
      <c r="E340" s="797"/>
      <c r="F340" s="797"/>
      <c r="G340" s="797"/>
      <c r="H340" s="797"/>
      <c r="I340" s="797"/>
      <c r="J340" s="797"/>
      <c r="K340" s="797"/>
      <c r="L340" s="797"/>
      <c r="M340" s="797"/>
      <c r="N340" s="797"/>
      <c r="O340" s="309"/>
      <c r="P340" s="802"/>
      <c r="Q340" s="802"/>
      <c r="R340" s="802"/>
    </row>
    <row r="341" spans="3:18">
      <c r="C341" s="293"/>
      <c r="D341" s="797"/>
      <c r="E341" s="797"/>
      <c r="F341" s="797"/>
      <c r="G341" s="797"/>
      <c r="H341" s="797"/>
      <c r="I341" s="797"/>
      <c r="J341" s="797"/>
      <c r="K341" s="797"/>
      <c r="L341" s="797"/>
      <c r="M341" s="797"/>
      <c r="N341" s="797"/>
      <c r="O341" s="309"/>
      <c r="P341" s="802"/>
      <c r="Q341" s="802"/>
      <c r="R341" s="802"/>
    </row>
    <row r="342" spans="3:18">
      <c r="C342" s="293"/>
      <c r="D342" s="797"/>
      <c r="E342" s="797"/>
      <c r="F342" s="797"/>
      <c r="G342" s="797"/>
      <c r="H342" s="797"/>
      <c r="I342" s="797"/>
      <c r="J342" s="797"/>
      <c r="K342" s="797"/>
      <c r="L342" s="797"/>
      <c r="M342" s="797"/>
      <c r="N342" s="797"/>
      <c r="O342" s="309"/>
      <c r="P342" s="802"/>
      <c r="Q342" s="802"/>
      <c r="R342" s="802"/>
    </row>
    <row r="343" spans="3:18">
      <c r="C343" s="293"/>
      <c r="D343" s="797"/>
      <c r="E343" s="797"/>
      <c r="F343" s="797"/>
      <c r="G343" s="797"/>
      <c r="H343" s="797"/>
      <c r="I343" s="797"/>
      <c r="J343" s="797"/>
      <c r="K343" s="797"/>
      <c r="L343" s="797"/>
      <c r="M343" s="797"/>
      <c r="N343" s="797"/>
      <c r="O343" s="309"/>
      <c r="P343" s="802"/>
      <c r="Q343" s="802"/>
      <c r="R343" s="802"/>
    </row>
    <row r="344" spans="3:18">
      <c r="C344" s="293"/>
      <c r="D344" s="292" t="s">
        <v>403</v>
      </c>
      <c r="E344" s="305"/>
      <c r="F344" s="305"/>
      <c r="G344" s="305"/>
      <c r="H344" s="305"/>
      <c r="I344" s="305"/>
      <c r="J344" s="305"/>
      <c r="K344" s="305"/>
      <c r="L344" s="305"/>
      <c r="M344" s="305"/>
      <c r="N344" s="305"/>
    </row>
    <row r="345" spans="3:18" ht="15" customHeight="1">
      <c r="C345" s="293"/>
      <c r="D345" s="796" t="s">
        <v>539</v>
      </c>
      <c r="E345" s="797"/>
      <c r="F345" s="797"/>
      <c r="G345" s="797"/>
      <c r="H345" s="797"/>
      <c r="I345" s="797"/>
      <c r="J345" s="797"/>
      <c r="K345" s="797"/>
      <c r="L345" s="797"/>
      <c r="M345" s="797"/>
      <c r="N345" s="797"/>
      <c r="O345" s="309"/>
      <c r="P345" s="802" t="s">
        <v>502</v>
      </c>
      <c r="Q345" s="802"/>
      <c r="R345" s="802"/>
    </row>
    <row r="346" spans="3:18">
      <c r="C346" s="293"/>
      <c r="D346" s="797"/>
      <c r="E346" s="797"/>
      <c r="F346" s="797"/>
      <c r="G346" s="797"/>
      <c r="H346" s="797"/>
      <c r="I346" s="797"/>
      <c r="J346" s="797"/>
      <c r="K346" s="797"/>
      <c r="L346" s="797"/>
      <c r="M346" s="797"/>
      <c r="N346" s="797"/>
      <c r="O346" s="309"/>
      <c r="P346" s="802"/>
      <c r="Q346" s="802"/>
      <c r="R346" s="802"/>
    </row>
    <row r="347" spans="3:18">
      <c r="C347" s="293"/>
      <c r="D347" s="797"/>
      <c r="E347" s="797"/>
      <c r="F347" s="797"/>
      <c r="G347" s="797"/>
      <c r="H347" s="797"/>
      <c r="I347" s="797"/>
      <c r="J347" s="797"/>
      <c r="K347" s="797"/>
      <c r="L347" s="797"/>
      <c r="M347" s="797"/>
      <c r="N347" s="797"/>
      <c r="O347" s="309"/>
      <c r="P347" s="802"/>
      <c r="Q347" s="802"/>
      <c r="R347" s="802"/>
    </row>
    <row r="348" spans="3:18">
      <c r="C348" s="293"/>
      <c r="D348" s="797"/>
      <c r="E348" s="797"/>
      <c r="F348" s="797"/>
      <c r="G348" s="797"/>
      <c r="H348" s="797"/>
      <c r="I348" s="797"/>
      <c r="J348" s="797"/>
      <c r="K348" s="797"/>
      <c r="L348" s="797"/>
      <c r="M348" s="797"/>
      <c r="N348" s="797"/>
      <c r="O348" s="309"/>
      <c r="P348" s="802"/>
      <c r="Q348" s="802"/>
      <c r="R348" s="802"/>
    </row>
    <row r="349" spans="3:18">
      <c r="C349" s="293"/>
      <c r="D349" s="797"/>
      <c r="E349" s="797"/>
      <c r="F349" s="797"/>
      <c r="G349" s="797"/>
      <c r="H349" s="797"/>
      <c r="I349" s="797"/>
      <c r="J349" s="797"/>
      <c r="K349" s="797"/>
      <c r="L349" s="797"/>
      <c r="M349" s="797"/>
      <c r="N349" s="797"/>
      <c r="O349" s="309"/>
      <c r="P349" s="802"/>
      <c r="Q349" s="802"/>
      <c r="R349" s="802"/>
    </row>
    <row r="350" spans="3:18">
      <c r="C350" s="293"/>
      <c r="D350" s="797"/>
      <c r="E350" s="797"/>
      <c r="F350" s="797"/>
      <c r="G350" s="797"/>
      <c r="H350" s="797"/>
      <c r="I350" s="797"/>
      <c r="J350" s="797"/>
      <c r="K350" s="797"/>
      <c r="L350" s="797"/>
      <c r="M350" s="797"/>
      <c r="N350" s="797"/>
      <c r="O350" s="309"/>
      <c r="P350" s="802"/>
      <c r="Q350" s="802"/>
      <c r="R350" s="802"/>
    </row>
    <row r="351" spans="3:18">
      <c r="C351" s="293"/>
      <c r="D351" s="797"/>
      <c r="E351" s="797"/>
      <c r="F351" s="797"/>
      <c r="G351" s="797"/>
      <c r="H351" s="797"/>
      <c r="I351" s="797"/>
      <c r="J351" s="797"/>
      <c r="K351" s="797"/>
      <c r="L351" s="797"/>
      <c r="M351" s="797"/>
      <c r="N351" s="797"/>
      <c r="O351" s="309"/>
      <c r="P351" s="802"/>
      <c r="Q351" s="802"/>
      <c r="R351" s="802"/>
    </row>
    <row r="352" spans="3:18">
      <c r="C352" s="293"/>
      <c r="D352" s="797"/>
      <c r="E352" s="797"/>
      <c r="F352" s="797"/>
      <c r="G352" s="797"/>
      <c r="H352" s="797"/>
      <c r="I352" s="797"/>
      <c r="J352" s="797"/>
      <c r="K352" s="797"/>
      <c r="L352" s="797"/>
      <c r="M352" s="797"/>
      <c r="N352" s="797"/>
      <c r="O352" s="309"/>
      <c r="P352" s="802"/>
      <c r="Q352" s="802"/>
      <c r="R352" s="802"/>
    </row>
    <row r="353" spans="3:18">
      <c r="C353" s="293"/>
      <c r="D353" s="797"/>
      <c r="E353" s="797"/>
      <c r="F353" s="797"/>
      <c r="G353" s="797"/>
      <c r="H353" s="797"/>
      <c r="I353" s="797"/>
      <c r="J353" s="797"/>
      <c r="K353" s="797"/>
      <c r="L353" s="797"/>
      <c r="M353" s="797"/>
      <c r="N353" s="797"/>
      <c r="O353" s="309"/>
      <c r="P353" s="802"/>
      <c r="Q353" s="802"/>
      <c r="R353" s="802"/>
    </row>
    <row r="354" spans="3:18">
      <c r="C354" s="293"/>
      <c r="D354" s="797"/>
      <c r="E354" s="797"/>
      <c r="F354" s="797"/>
      <c r="G354" s="797"/>
      <c r="H354" s="797"/>
      <c r="I354" s="797"/>
      <c r="J354" s="797"/>
      <c r="K354" s="797"/>
      <c r="L354" s="797"/>
      <c r="M354" s="797"/>
      <c r="N354" s="797"/>
      <c r="O354" s="309"/>
      <c r="P354" s="802"/>
      <c r="Q354" s="802"/>
      <c r="R354" s="802"/>
    </row>
    <row r="355" spans="3:18">
      <c r="C355" s="293"/>
      <c r="D355" s="797"/>
      <c r="E355" s="797"/>
      <c r="F355" s="797"/>
      <c r="G355" s="797"/>
      <c r="H355" s="797"/>
      <c r="I355" s="797"/>
      <c r="J355" s="797"/>
      <c r="K355" s="797"/>
      <c r="L355" s="797"/>
      <c r="M355" s="797"/>
      <c r="N355" s="797"/>
      <c r="O355" s="309"/>
      <c r="P355" s="802"/>
      <c r="Q355" s="802"/>
      <c r="R355" s="802"/>
    </row>
    <row r="356" spans="3:18">
      <c r="C356" s="293"/>
      <c r="D356" s="797"/>
      <c r="E356" s="797"/>
      <c r="F356" s="797"/>
      <c r="G356" s="797"/>
      <c r="H356" s="797"/>
      <c r="I356" s="797"/>
      <c r="J356" s="797"/>
      <c r="K356" s="797"/>
      <c r="L356" s="797"/>
      <c r="M356" s="797"/>
      <c r="N356" s="797"/>
      <c r="O356" s="309"/>
      <c r="P356" s="802"/>
      <c r="Q356" s="802"/>
      <c r="R356" s="802"/>
    </row>
    <row r="357" spans="3:18">
      <c r="C357" s="293"/>
      <c r="D357" s="797"/>
      <c r="E357" s="797"/>
      <c r="F357" s="797"/>
      <c r="G357" s="797"/>
      <c r="H357" s="797"/>
      <c r="I357" s="797"/>
      <c r="J357" s="797"/>
      <c r="K357" s="797"/>
      <c r="L357" s="797"/>
      <c r="M357" s="797"/>
      <c r="N357" s="797"/>
      <c r="O357" s="309"/>
      <c r="P357" s="802"/>
      <c r="Q357" s="802"/>
      <c r="R357" s="802"/>
    </row>
    <row r="358" spans="3:18">
      <c r="C358" s="293"/>
      <c r="D358" s="797"/>
      <c r="E358" s="797"/>
      <c r="F358" s="797"/>
      <c r="G358" s="797"/>
      <c r="H358" s="797"/>
      <c r="I358" s="797"/>
      <c r="J358" s="797"/>
      <c r="K358" s="797"/>
      <c r="L358" s="797"/>
      <c r="M358" s="797"/>
      <c r="N358" s="797"/>
      <c r="O358" s="309"/>
      <c r="P358" s="802"/>
      <c r="Q358" s="802"/>
      <c r="R358" s="802"/>
    </row>
    <row r="359" spans="3:18">
      <c r="C359" s="293"/>
      <c r="D359" s="797"/>
      <c r="E359" s="797"/>
      <c r="F359" s="797"/>
      <c r="G359" s="797"/>
      <c r="H359" s="797"/>
      <c r="I359" s="797"/>
      <c r="J359" s="797"/>
      <c r="K359" s="797"/>
      <c r="L359" s="797"/>
      <c r="M359" s="797"/>
      <c r="N359" s="797"/>
      <c r="O359" s="309"/>
      <c r="P359" s="802"/>
      <c r="Q359" s="802"/>
      <c r="R359" s="802"/>
    </row>
    <row r="360" spans="3:18">
      <c r="C360" s="293"/>
      <c r="D360" s="293"/>
      <c r="E360" s="293"/>
      <c r="F360" s="293"/>
      <c r="G360" s="293"/>
      <c r="H360" s="293"/>
      <c r="I360" s="293"/>
      <c r="J360" s="293"/>
      <c r="K360" s="293"/>
      <c r="L360" s="293"/>
      <c r="M360" s="293"/>
      <c r="N360" s="293"/>
      <c r="O360" s="48"/>
    </row>
    <row r="411" ht="15" customHeight="1"/>
    <row r="481" ht="15" customHeight="1"/>
  </sheetData>
  <mergeCells count="46">
    <mergeCell ref="P231:R239"/>
    <mergeCell ref="P241:R249"/>
    <mergeCell ref="P313:R327"/>
    <mergeCell ref="P329:R343"/>
    <mergeCell ref="P345:R359"/>
    <mergeCell ref="P251:R259"/>
    <mergeCell ref="P261:R269"/>
    <mergeCell ref="P271:R279"/>
    <mergeCell ref="P281:R295"/>
    <mergeCell ref="P297:R311"/>
    <mergeCell ref="R16:R26"/>
    <mergeCell ref="C16:O26"/>
    <mergeCell ref="C28:O38"/>
    <mergeCell ref="C40:O50"/>
    <mergeCell ref="C52:O62"/>
    <mergeCell ref="C64:O74"/>
    <mergeCell ref="D156:N169"/>
    <mergeCell ref="D171:N184"/>
    <mergeCell ref="D186:N199"/>
    <mergeCell ref="D201:N214"/>
    <mergeCell ref="D81:N94"/>
    <mergeCell ref="D96:N109"/>
    <mergeCell ref="D111:N124"/>
    <mergeCell ref="D126:N139"/>
    <mergeCell ref="D141:N154"/>
    <mergeCell ref="P156:R169"/>
    <mergeCell ref="P171:R184"/>
    <mergeCell ref="D216:N229"/>
    <mergeCell ref="P81:R94"/>
    <mergeCell ref="P96:R109"/>
    <mergeCell ref="P111:R124"/>
    <mergeCell ref="P126:R139"/>
    <mergeCell ref="P141:R154"/>
    <mergeCell ref="P186:R199"/>
    <mergeCell ref="P201:R214"/>
    <mergeCell ref="P216:R229"/>
    <mergeCell ref="D231:N239"/>
    <mergeCell ref="D241:N249"/>
    <mergeCell ref="D251:N259"/>
    <mergeCell ref="D261:N269"/>
    <mergeCell ref="D271:N279"/>
    <mergeCell ref="D281:N295"/>
    <mergeCell ref="D297:N311"/>
    <mergeCell ref="D313:N327"/>
    <mergeCell ref="D329:N343"/>
    <mergeCell ref="D345:N359"/>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22"/>
  <sheetViews>
    <sheetView zoomScaleNormal="100" workbookViewId="0">
      <selection activeCell="B22" sqref="B22"/>
    </sheetView>
  </sheetViews>
  <sheetFormatPr defaultRowHeight="15"/>
  <cols>
    <col min="1" max="1" width="17.5" style="1" customWidth="1"/>
    <col min="2" max="4" width="15" style="1" customWidth="1"/>
    <col min="5" max="6" width="14.375" style="1" customWidth="1"/>
    <col min="7" max="7" width="14" style="1" customWidth="1"/>
    <col min="8" max="9" width="10.625" style="1" customWidth="1"/>
    <col min="10" max="11" width="10.625" style="68" customWidth="1"/>
    <col min="12" max="1024" width="10.625" style="1" customWidth="1"/>
    <col min="1025" max="16384" width="9" style="1"/>
  </cols>
  <sheetData>
    <row r="1" spans="1:12">
      <c r="C1" s="2"/>
      <c r="D1" s="2"/>
      <c r="E1" s="3"/>
    </row>
    <row r="2" spans="1:12">
      <c r="A2" s="10" t="str">
        <f>A20</f>
        <v>*** This version is authorised by SwissBiogas.com ***</v>
      </c>
      <c r="C2" s="2"/>
      <c r="D2" s="2"/>
      <c r="E2" s="3"/>
    </row>
    <row r="3" spans="1:12" ht="30">
      <c r="A3" s="50" t="s">
        <v>17</v>
      </c>
      <c r="B3" s="51" t="s">
        <v>18</v>
      </c>
      <c r="C3" s="5" t="s">
        <v>191</v>
      </c>
      <c r="D3" s="5" t="s">
        <v>190</v>
      </c>
      <c r="E3" s="70" t="s">
        <v>189</v>
      </c>
      <c r="F3" s="71" t="s">
        <v>188</v>
      </c>
      <c r="G3" s="5" t="s">
        <v>44</v>
      </c>
      <c r="J3" s="69"/>
      <c r="K3" s="69"/>
    </row>
    <row r="4" spans="1:12">
      <c r="A4" s="52" t="s">
        <v>8</v>
      </c>
      <c r="B4" s="53" t="s">
        <v>9</v>
      </c>
      <c r="C4" s="53">
        <v>1.0079400000000001</v>
      </c>
      <c r="D4" s="54"/>
      <c r="E4" s="53"/>
      <c r="F4" s="55"/>
      <c r="G4" s="53"/>
      <c r="I4" s="246" t="s">
        <v>300</v>
      </c>
      <c r="J4" s="247"/>
      <c r="K4" s="247"/>
    </row>
    <row r="5" spans="1:12">
      <c r="A5" s="52" t="s">
        <v>0</v>
      </c>
      <c r="B5" s="53" t="s">
        <v>1</v>
      </c>
      <c r="C5" s="53">
        <v>15.9994</v>
      </c>
      <c r="D5" s="53"/>
      <c r="E5" s="53"/>
      <c r="F5" s="55"/>
      <c r="G5" s="53"/>
      <c r="I5" s="248" t="s">
        <v>301</v>
      </c>
      <c r="J5" s="247"/>
      <c r="K5" s="247"/>
    </row>
    <row r="6" spans="1:12">
      <c r="A6" s="52" t="s">
        <v>10</v>
      </c>
      <c r="B6" s="55" t="s">
        <v>11</v>
      </c>
      <c r="C6" s="55">
        <v>35.453000000000003</v>
      </c>
      <c r="D6" s="53"/>
      <c r="E6" s="53"/>
      <c r="F6" s="55"/>
      <c r="G6" s="55"/>
      <c r="I6" s="247" t="s">
        <v>302</v>
      </c>
      <c r="J6" s="247"/>
      <c r="K6" s="247"/>
    </row>
    <row r="7" spans="1:12">
      <c r="A7" s="52" t="s">
        <v>2</v>
      </c>
      <c r="B7" s="53" t="s">
        <v>3</v>
      </c>
      <c r="C7" s="56">
        <f xml:space="preserve"> IFERROR(IF(FIND("powered by SwissBiogas.com", 'RIIC Calculator Standard'!M73, 1), 55.845, 0), 0)</f>
        <v>55.844999999999999</v>
      </c>
      <c r="D7" s="53"/>
      <c r="E7" s="53"/>
      <c r="F7" s="55"/>
      <c r="G7" s="53"/>
      <c r="I7" s="247" t="s">
        <v>303</v>
      </c>
      <c r="J7" s="247"/>
      <c r="K7" s="247"/>
    </row>
    <row r="8" spans="1:12">
      <c r="A8" s="52" t="s">
        <v>4</v>
      </c>
      <c r="B8" s="53" t="s">
        <v>5</v>
      </c>
      <c r="C8" s="53"/>
      <c r="D8" s="53">
        <f xml:space="preserve"> C7 + C5</f>
        <v>71.844399999999993</v>
      </c>
      <c r="E8" s="53">
        <v>1</v>
      </c>
      <c r="F8" s="55">
        <v>0</v>
      </c>
      <c r="G8" s="57">
        <f xml:space="preserve"> (E8 + F8) * $C$7 / D8 * 100</f>
        <v>77.730484213104987</v>
      </c>
      <c r="H8" s="61"/>
      <c r="I8" s="251" t="s">
        <v>307</v>
      </c>
      <c r="L8" s="249"/>
    </row>
    <row r="9" spans="1:12">
      <c r="A9" s="52" t="s">
        <v>6</v>
      </c>
      <c r="B9" s="60" t="s">
        <v>22</v>
      </c>
      <c r="C9" s="53"/>
      <c r="D9" s="53">
        <f xml:space="preserve"> 2 * C7 + 3 * C5</f>
        <v>159.68819999999999</v>
      </c>
      <c r="E9" s="53">
        <v>0</v>
      </c>
      <c r="F9" s="55">
        <v>2</v>
      </c>
      <c r="G9" s="57">
        <f t="shared" ref="G9:G16" si="0" xml:space="preserve"> (E9 + F9) * $C$7 / D9 * 100</f>
        <v>69.942550545375298</v>
      </c>
      <c r="I9" s="250" t="s">
        <v>304</v>
      </c>
      <c r="J9" s="247"/>
      <c r="K9" s="247"/>
    </row>
    <row r="10" spans="1:12">
      <c r="A10" s="52" t="s">
        <v>7</v>
      </c>
      <c r="B10" s="60" t="s">
        <v>23</v>
      </c>
      <c r="C10" s="53"/>
      <c r="D10" s="53">
        <f xml:space="preserve"> 3 * C7 + 4 * C5</f>
        <v>231.5326</v>
      </c>
      <c r="E10" s="53">
        <v>1</v>
      </c>
      <c r="F10" s="55">
        <v>2</v>
      </c>
      <c r="G10" s="57">
        <f t="shared" si="0"/>
        <v>72.3591407862219</v>
      </c>
      <c r="I10" s="247" t="s">
        <v>305</v>
      </c>
      <c r="J10" s="247"/>
      <c r="K10" s="247"/>
    </row>
    <row r="11" spans="1:12">
      <c r="A11" s="52" t="s">
        <v>12</v>
      </c>
      <c r="B11" s="60" t="s">
        <v>24</v>
      </c>
      <c r="C11" s="53"/>
      <c r="D11" s="53">
        <f xml:space="preserve"> C7 + 2 * C6</f>
        <v>126.751</v>
      </c>
      <c r="E11" s="53">
        <v>1</v>
      </c>
      <c r="F11" s="55">
        <v>0</v>
      </c>
      <c r="G11" s="57">
        <f xml:space="preserve"> (E11 + F11) * $C$7 / D11 * 100</f>
        <v>44.058823993499061</v>
      </c>
      <c r="I11" s="247" t="s">
        <v>306</v>
      </c>
      <c r="J11" s="247"/>
      <c r="K11" s="247"/>
    </row>
    <row r="12" spans="1:12">
      <c r="A12" s="52" t="s">
        <v>13</v>
      </c>
      <c r="B12" s="60" t="s">
        <v>25</v>
      </c>
      <c r="C12" s="53"/>
      <c r="D12" s="53">
        <f xml:space="preserve"> C7 + 3 * C6</f>
        <v>162.20400000000001</v>
      </c>
      <c r="E12" s="53">
        <v>0</v>
      </c>
      <c r="F12" s="55">
        <v>1</v>
      </c>
      <c r="G12" s="57">
        <f t="shared" si="0"/>
        <v>34.428867352223122</v>
      </c>
    </row>
    <row r="13" spans="1:12">
      <c r="A13" s="52" t="s">
        <v>14</v>
      </c>
      <c r="B13" s="53" t="s">
        <v>15</v>
      </c>
      <c r="C13" s="53"/>
      <c r="D13" s="53">
        <f xml:space="preserve"> C7 + 2 * C5 + C4</f>
        <v>88.851740000000007</v>
      </c>
      <c r="E13" s="53">
        <v>0</v>
      </c>
      <c r="F13" s="55">
        <v>1</v>
      </c>
      <c r="G13" s="57">
        <f xml:space="preserve"> (E13 + F13) * $C$7 / D13 * 100</f>
        <v>62.8518923771217</v>
      </c>
    </row>
    <row r="14" spans="1:12">
      <c r="A14" s="58" t="s">
        <v>42</v>
      </c>
      <c r="B14" s="60" t="s">
        <v>43</v>
      </c>
      <c r="C14" s="53"/>
      <c r="D14" s="53">
        <f xml:space="preserve"> C7 + (C5 + C4) * 2</f>
        <v>89.859679999999997</v>
      </c>
      <c r="E14" s="53">
        <v>1</v>
      </c>
      <c r="F14" s="55">
        <v>0</v>
      </c>
      <c r="G14" s="57">
        <f t="shared" si="0"/>
        <v>62.146893912820524</v>
      </c>
    </row>
    <row r="15" spans="1:12">
      <c r="A15" s="58" t="s">
        <v>41</v>
      </c>
      <c r="B15" s="60" t="s">
        <v>26</v>
      </c>
      <c r="C15" s="53"/>
      <c r="D15" s="53">
        <f xml:space="preserve"> C7 + (C5 + C4) * 3</f>
        <v>106.86702</v>
      </c>
      <c r="E15" s="53">
        <v>0</v>
      </c>
      <c r="F15" s="55">
        <v>1</v>
      </c>
      <c r="G15" s="57">
        <f xml:space="preserve"> (E15 + F15) * $C$7 / D15 * 100</f>
        <v>52.256533400107905</v>
      </c>
    </row>
    <row r="16" spans="1:12">
      <c r="A16" s="59" t="s">
        <v>63</v>
      </c>
      <c r="B16" s="60" t="s">
        <v>64</v>
      </c>
      <c r="C16" s="53"/>
      <c r="D16" s="53">
        <f xml:space="preserve"> 2 * C7 + 6 * C4 + 6 * C5</f>
        <v>213.73403999999999</v>
      </c>
      <c r="E16" s="53">
        <v>0</v>
      </c>
      <c r="F16" s="55">
        <v>2</v>
      </c>
      <c r="G16" s="57">
        <f t="shared" si="0"/>
        <v>52.256533400107905</v>
      </c>
    </row>
    <row r="17" spans="1:7">
      <c r="A17" s="58"/>
      <c r="B17" s="53"/>
      <c r="C17" s="53"/>
      <c r="D17" s="53"/>
      <c r="E17" s="53"/>
      <c r="F17" s="55"/>
      <c r="G17" s="72"/>
    </row>
    <row r="18" spans="1:7">
      <c r="F18" s="67"/>
    </row>
    <row r="20" spans="1:7">
      <c r="A20" s="10" t="str">
        <f xml:space="preserve"> IF(C7, "*** This version is authorised by SwissBiogas.com ***", "*** This version is NOT authorised by SwissBiogas.com ***")</f>
        <v>*** This version is authorised by SwissBiogas.com ***</v>
      </c>
      <c r="G20" s="49"/>
    </row>
    <row r="21" spans="1:7" ht="31.5">
      <c r="A21" s="12"/>
      <c r="B21" s="4" t="s">
        <v>19</v>
      </c>
      <c r="C21" s="4" t="s">
        <v>20</v>
      </c>
      <c r="D21" s="5" t="s">
        <v>49</v>
      </c>
      <c r="E21" s="18" t="s">
        <v>105</v>
      </c>
    </row>
    <row r="22" spans="1:7">
      <c r="A22" s="6" t="s">
        <v>16</v>
      </c>
      <c r="B22" s="11">
        <v>41.82</v>
      </c>
      <c r="C22" s="11">
        <v>44.13</v>
      </c>
      <c r="D22" s="13">
        <v>2</v>
      </c>
      <c r="E22" s="13">
        <v>1.7</v>
      </c>
    </row>
  </sheetData>
  <sheetProtection sheet="1" objects="1" scenarios="1" selectLockedCells="1"/>
  <hyperlinks>
    <hyperlink ref="I4" r:id="rId1"/>
    <hyperlink ref="I9" r:id="rId2"/>
  </hyperlinks>
  <pageMargins left="0" right="0" top="0.78661417322834648" bottom="0.62992125984251968" header="0.59015748031496063" footer="0.59015748031496063"/>
  <pageSetup paperSize="9" fitToWidth="0" fitToHeight="0" pageOrder="overThenDown" orientation="landscape" useFirstPageNumber="1" horizontalDpi="0" verticalDpi="0" r:id="rId3"/>
  <headerFooter>
    <oddFooter>&amp;R&amp;"Calibri2,Regular"&amp;9&amp;F</oddFooter>
  </headerFooter>
</worksheet>
</file>

<file path=docProps/app.xml><?xml version="1.0" encoding="utf-8"?>
<Properties xmlns="http://schemas.openxmlformats.org/officeDocument/2006/extended-properties" xmlns:vt="http://schemas.openxmlformats.org/officeDocument/2006/docPropsVTypes">
  <TotalTime>622</TotalTime>
  <Application>Microsoft Excel</Application>
  <DocSecurity>0</DocSecurity>
  <ScaleCrop>false</ScaleCrop>
  <HeadingPairs>
    <vt:vector size="4" baseType="variant">
      <vt:variant>
        <vt:lpstr>Worksheets</vt:lpstr>
      </vt:variant>
      <vt:variant>
        <vt:i4>6</vt:i4>
      </vt:variant>
      <vt:variant>
        <vt:lpstr>Named Ranges</vt:lpstr>
      </vt:variant>
      <vt:variant>
        <vt:i4>43</vt:i4>
      </vt:variant>
    </vt:vector>
  </HeadingPairs>
  <TitlesOfParts>
    <vt:vector size="49" baseType="lpstr">
      <vt:lpstr>RIIC Calculator Basic</vt:lpstr>
      <vt:lpstr>RIIC Calculator Light</vt:lpstr>
      <vt:lpstr>RIIC Calculator Standard</vt:lpstr>
      <vt:lpstr>Tools - Info</vt:lpstr>
      <vt:lpstr>text_translations</vt:lpstr>
      <vt:lpstr>basis</vt:lpstr>
      <vt:lpstr>'RIIC Calculator Basic'!fact_kg2lb</vt:lpstr>
      <vt:lpstr>'RIIC Calculator Light'!fact_kg2lb</vt:lpstr>
      <vt:lpstr>fact_kg2lb</vt:lpstr>
      <vt:lpstr>'RIIC Calculator Basic'!fmt_dec_0</vt:lpstr>
      <vt:lpstr>'RIIC Calculator Light'!fmt_dec_0</vt:lpstr>
      <vt:lpstr>fmt_dec_0</vt:lpstr>
      <vt:lpstr>'RIIC Calculator Basic'!fmt_dec_1</vt:lpstr>
      <vt:lpstr>'RIIC Calculator Light'!fmt_dec_1</vt:lpstr>
      <vt:lpstr>fmt_dec_1</vt:lpstr>
      <vt:lpstr>'RIIC Calculator Basic'!fmt_dec_2</vt:lpstr>
      <vt:lpstr>'RIIC Calculator Light'!fmt_dec_2</vt:lpstr>
      <vt:lpstr>fmt_dec_2</vt:lpstr>
      <vt:lpstr>'RIIC Calculator Basic'!fmt_dec_3</vt:lpstr>
      <vt:lpstr>'RIIC Calculator Light'!fmt_dec_3</vt:lpstr>
      <vt:lpstr>fmt_dec_3</vt:lpstr>
      <vt:lpstr>'RIIC Calculator Basic'!fmt_dec_4</vt:lpstr>
      <vt:lpstr>'RIIC Calculator Light'!fmt_dec_4</vt:lpstr>
      <vt:lpstr>fmt_dec_4</vt:lpstr>
      <vt:lpstr>'RIIC Calculator Basic'!fmt_dec_5</vt:lpstr>
      <vt:lpstr>'RIIC Calculator Light'!fmt_dec_5</vt:lpstr>
      <vt:lpstr>fmt_dec_5</vt:lpstr>
      <vt:lpstr>'RIIC Calculator Basic'!fmt_pct_0</vt:lpstr>
      <vt:lpstr>'RIIC Calculator Light'!fmt_pct_0</vt:lpstr>
      <vt:lpstr>fmt_pct_0</vt:lpstr>
      <vt:lpstr>'RIIC Calculator Basic'!fmt_pct_1</vt:lpstr>
      <vt:lpstr>'RIIC Calculator Light'!fmt_pct_1</vt:lpstr>
      <vt:lpstr>fmt_pct_1</vt:lpstr>
      <vt:lpstr>'RIIC Calculator Basic'!fmt_pct_2</vt:lpstr>
      <vt:lpstr>'RIIC Calculator Light'!fmt_pct_2</vt:lpstr>
      <vt:lpstr>fmt_pct_2</vt:lpstr>
      <vt:lpstr>'RIIC Calculator Basic'!is_liquid</vt:lpstr>
      <vt:lpstr>'RIIC Calculator Light'!is_liquid</vt:lpstr>
      <vt:lpstr>is_liquid</vt:lpstr>
      <vt:lpstr>'RIIC Calculator Basic'!Print_Area</vt:lpstr>
      <vt:lpstr>'RIIC Calculator Light'!Print_Area</vt:lpstr>
      <vt:lpstr>'RIIC Calculator Standard'!Print_Area</vt:lpstr>
      <vt:lpstr>'Tools - Info'!Print_Area</vt:lpstr>
      <vt:lpstr>'RIIC Calculator Basic'!SI_unit</vt:lpstr>
      <vt:lpstr>'RIIC Calculator Light'!SI_unit</vt:lpstr>
      <vt:lpstr>SI_unit</vt:lpstr>
      <vt:lpstr>'RIIC Calculator Basic'!update_trigger</vt:lpstr>
      <vt:lpstr>'RIIC Calculator Light'!update_trigger</vt:lpstr>
      <vt:lpstr>update_trigger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andreas</cp:lastModifiedBy>
  <cp:revision>83</cp:revision>
  <cp:lastPrinted>2024-07-11T07:15:20Z</cp:lastPrinted>
  <dcterms:created xsi:type="dcterms:W3CDTF">2021-05-14T16:45:11Z</dcterms:created>
  <dcterms:modified xsi:type="dcterms:W3CDTF">2025-01-22T11:09:06Z</dcterms:modified>
</cp:coreProperties>
</file>