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usiness\SBG\calculation_iron_addition\riic_web\"/>
    </mc:Choice>
  </mc:AlternateContent>
  <bookViews>
    <workbookView xWindow="0" yWindow="0" windowWidth="28440" windowHeight="12300"/>
  </bookViews>
  <sheets>
    <sheet name="RIIC Calculator" sheetId="4" r:id="rId1"/>
    <sheet name="Example EU" sheetId="12" r:id="rId2"/>
    <sheet name="Example GB" sheetId="13" r:id="rId3"/>
    <sheet name="Example US" sheetId="14" r:id="rId4"/>
    <sheet name="Tools - Info" sheetId="5" r:id="rId5"/>
    <sheet name="basis" sheetId="1" state="hidden" r:id="rId6"/>
  </sheets>
  <definedNames>
    <definedName name="_xlnm.Print_Area" localSheetId="1">'Example EU'!$B$17:$P$72</definedName>
    <definedName name="_xlnm.Print_Area" localSheetId="2">'Example GB'!$B$17:$P$72</definedName>
    <definedName name="_xlnm.Print_Area" localSheetId="3">'Example US'!$B$17:$P$72</definedName>
    <definedName name="_xlnm.Print_Area" localSheetId="0">'RIIC Calculator'!$B$2:$L$75</definedName>
    <definedName name="_xlnm.Print_Area" localSheetId="4">'Tools - Info'!$B$30:$P$54</definedName>
  </definedNames>
  <calcPr calcId="152511"/>
</workbook>
</file>

<file path=xl/calcChain.xml><?xml version="1.0" encoding="utf-8"?>
<calcChain xmlns="http://schemas.openxmlformats.org/spreadsheetml/2006/main">
  <c r="C60" i="12" l="1"/>
  <c r="L114" i="14" l="1"/>
  <c r="L115" i="14" s="1"/>
  <c r="H102" i="14"/>
  <c r="H101" i="14"/>
  <c r="H100" i="14"/>
  <c r="H98" i="14"/>
  <c r="J61" i="14" s="1"/>
  <c r="J70" i="14"/>
  <c r="AL65" i="14"/>
  <c r="Z65" i="14"/>
  <c r="AQ64" i="14"/>
  <c r="AL64" i="14"/>
  <c r="Z64" i="14"/>
  <c r="AQ63" i="14"/>
  <c r="AL63" i="14"/>
  <c r="AH63" i="14"/>
  <c r="Z63" i="14"/>
  <c r="AL61" i="14"/>
  <c r="Z61" i="14"/>
  <c r="AQ60" i="14"/>
  <c r="AL60" i="14"/>
  <c r="Z60" i="14"/>
  <c r="C60" i="14"/>
  <c r="AQ59" i="14"/>
  <c r="AL59" i="14"/>
  <c r="AH59" i="14"/>
  <c r="Z59" i="14"/>
  <c r="V59" i="14"/>
  <c r="L59" i="14"/>
  <c r="L67" i="14" s="1"/>
  <c r="C59" i="14"/>
  <c r="V58" i="14"/>
  <c r="AL57" i="14"/>
  <c r="Z57" i="14"/>
  <c r="V57" i="14"/>
  <c r="AL56" i="14"/>
  <c r="Z56" i="14"/>
  <c r="AQ55" i="14"/>
  <c r="AL55" i="14"/>
  <c r="AH55" i="14"/>
  <c r="Z55" i="14"/>
  <c r="L52" i="14"/>
  <c r="C52" i="14"/>
  <c r="AN51" i="14"/>
  <c r="AF51" i="14"/>
  <c r="AE51" i="14"/>
  <c r="AI44" i="14" s="1"/>
  <c r="AC51" i="14"/>
  <c r="AB51" i="14"/>
  <c r="AM49" i="14"/>
  <c r="AE49" i="14"/>
  <c r="AA49" i="14"/>
  <c r="C49" i="14"/>
  <c r="AM48" i="14"/>
  <c r="AE48" i="14"/>
  <c r="AA48" i="14"/>
  <c r="AQ47" i="14"/>
  <c r="AN47" i="14"/>
  <c r="AM47" i="14" s="1"/>
  <c r="AB47" i="14"/>
  <c r="AA47" i="14"/>
  <c r="J47" i="14"/>
  <c r="AN46" i="14"/>
  <c r="AM46" i="14"/>
  <c r="AB46" i="14"/>
  <c r="AA46" i="14"/>
  <c r="U46" i="14"/>
  <c r="G46" i="14"/>
  <c r="AR45" i="14"/>
  <c r="AN45" i="14"/>
  <c r="AM45" i="14"/>
  <c r="AB45" i="14"/>
  <c r="AA45" i="14"/>
  <c r="U45" i="14"/>
  <c r="AR44" i="14"/>
  <c r="AM44" i="14"/>
  <c r="AJ44" i="14"/>
  <c r="AE44" i="14"/>
  <c r="AA44" i="14"/>
  <c r="AV43" i="14"/>
  <c r="AR43" i="14"/>
  <c r="AN43" i="14"/>
  <c r="AM43" i="14" s="1"/>
  <c r="AJ43" i="14"/>
  <c r="AB43" i="14"/>
  <c r="AA43" i="14"/>
  <c r="AV42" i="14"/>
  <c r="AR42" i="14"/>
  <c r="AN42" i="14"/>
  <c r="AM42" i="14"/>
  <c r="AJ42" i="14"/>
  <c r="AB42" i="14"/>
  <c r="AA42" i="14"/>
  <c r="AV41" i="14"/>
  <c r="AR41" i="14"/>
  <c r="AM41" i="14"/>
  <c r="AA41" i="14"/>
  <c r="AS40" i="14"/>
  <c r="AM40" i="14"/>
  <c r="AI40" i="14"/>
  <c r="AA40" i="14"/>
  <c r="N30" i="14"/>
  <c r="N29" i="14"/>
  <c r="N28" i="14"/>
  <c r="N27" i="14"/>
  <c r="X26" i="14"/>
  <c r="L28" i="14" s="1"/>
  <c r="V26" i="14"/>
  <c r="H28" i="14" s="1"/>
  <c r="N26" i="14"/>
  <c r="L26" i="14"/>
  <c r="X25" i="14"/>
  <c r="L27" i="14" s="1"/>
  <c r="N25" i="14"/>
  <c r="W24" i="14"/>
  <c r="U24" i="14"/>
  <c r="H26" i="14" s="1"/>
  <c r="N24" i="14"/>
  <c r="X23" i="14"/>
  <c r="L25" i="14" s="1"/>
  <c r="N23" i="14"/>
  <c r="X22" i="14"/>
  <c r="L24" i="14" s="1"/>
  <c r="V22" i="14"/>
  <c r="H24" i="14" s="1"/>
  <c r="N22" i="14"/>
  <c r="W21" i="14"/>
  <c r="L23" i="14" s="1"/>
  <c r="U21" i="14"/>
  <c r="H23" i="14" s="1"/>
  <c r="N21" i="14"/>
  <c r="J21" i="14"/>
  <c r="X20" i="14"/>
  <c r="W20" i="14"/>
  <c r="V20" i="14"/>
  <c r="U20" i="14"/>
  <c r="H22" i="14" s="1"/>
  <c r="N20" i="14"/>
  <c r="J20" i="14"/>
  <c r="V19" i="14"/>
  <c r="H21" i="14" s="1"/>
  <c r="U18" i="14"/>
  <c r="U27" i="14" s="1"/>
  <c r="J18" i="14"/>
  <c r="G18" i="14"/>
  <c r="C44" i="14" s="1"/>
  <c r="X16" i="14"/>
  <c r="V16" i="14"/>
  <c r="V25" i="14" s="1"/>
  <c r="H27" i="14" s="1"/>
  <c r="C15" i="14"/>
  <c r="B3" i="14"/>
  <c r="L114" i="13"/>
  <c r="L115" i="13" s="1"/>
  <c r="H102" i="13"/>
  <c r="H101" i="13"/>
  <c r="H100" i="13"/>
  <c r="H98" i="13"/>
  <c r="J70" i="13"/>
  <c r="AL65" i="13"/>
  <c r="Z65" i="13"/>
  <c r="AQ64" i="13"/>
  <c r="AL64" i="13"/>
  <c r="Z64" i="13"/>
  <c r="AQ63" i="13"/>
  <c r="AL63" i="13"/>
  <c r="AH63" i="13"/>
  <c r="Z63" i="13"/>
  <c r="AL61" i="13"/>
  <c r="Z61" i="13"/>
  <c r="J61" i="13"/>
  <c r="AQ60" i="13"/>
  <c r="AL60" i="13"/>
  <c r="Z60" i="13"/>
  <c r="C60" i="13"/>
  <c r="AQ59" i="13"/>
  <c r="AL59" i="13"/>
  <c r="AH59" i="13"/>
  <c r="Z59" i="13"/>
  <c r="V59" i="13"/>
  <c r="L59" i="13"/>
  <c r="L67" i="13" s="1"/>
  <c r="C59" i="13"/>
  <c r="V58" i="13"/>
  <c r="AL57" i="13"/>
  <c r="Z57" i="13"/>
  <c r="V57" i="13"/>
  <c r="V61" i="13" s="1"/>
  <c r="AL56" i="13"/>
  <c r="Z56" i="13"/>
  <c r="AQ55" i="13"/>
  <c r="AL55" i="13"/>
  <c r="AH55" i="13"/>
  <c r="Z55" i="13"/>
  <c r="L52" i="13"/>
  <c r="C52" i="13"/>
  <c r="AN51" i="13"/>
  <c r="AF51" i="13"/>
  <c r="AE51" i="13"/>
  <c r="C49" i="13" s="1"/>
  <c r="AC51" i="13"/>
  <c r="AB51" i="13"/>
  <c r="AM49" i="13"/>
  <c r="AE49" i="13"/>
  <c r="AA49" i="13"/>
  <c r="AM48" i="13"/>
  <c r="AE48" i="13"/>
  <c r="AA48" i="13"/>
  <c r="AQ47" i="13"/>
  <c r="AN47" i="13"/>
  <c r="AM47" i="13"/>
  <c r="AB47" i="13"/>
  <c r="AA47" i="13"/>
  <c r="J47" i="13"/>
  <c r="AN46" i="13"/>
  <c r="AM46" i="13"/>
  <c r="AB46" i="13"/>
  <c r="AA46" i="13"/>
  <c r="U46" i="13"/>
  <c r="G46" i="13"/>
  <c r="AR45" i="13"/>
  <c r="AN45" i="13"/>
  <c r="AM45" i="13"/>
  <c r="AB45" i="13"/>
  <c r="AA45" i="13"/>
  <c r="U45" i="13"/>
  <c r="AR44" i="13"/>
  <c r="AM44" i="13"/>
  <c r="AJ44" i="13"/>
  <c r="AE44" i="13"/>
  <c r="AA44" i="13"/>
  <c r="AV43" i="13"/>
  <c r="AR43" i="13"/>
  <c r="AN43" i="13"/>
  <c r="AM43" i="13" s="1"/>
  <c r="AJ43" i="13"/>
  <c r="AB43" i="13"/>
  <c r="AA43" i="13"/>
  <c r="AV42" i="13"/>
  <c r="AR42" i="13"/>
  <c r="AN42" i="13"/>
  <c r="AM42" i="13"/>
  <c r="AJ42" i="13"/>
  <c r="AB42" i="13"/>
  <c r="AA42" i="13" s="1"/>
  <c r="AV41" i="13"/>
  <c r="AR41" i="13"/>
  <c r="AR47" i="13" s="1"/>
  <c r="AM41" i="13"/>
  <c r="AA41" i="13"/>
  <c r="AS40" i="13"/>
  <c r="AM40" i="13"/>
  <c r="AI40" i="13"/>
  <c r="AA40" i="13"/>
  <c r="N30" i="13"/>
  <c r="N29" i="13"/>
  <c r="N28" i="13"/>
  <c r="H28" i="13"/>
  <c r="F28" i="13" s="1"/>
  <c r="N27" i="13"/>
  <c r="X26" i="13"/>
  <c r="L28" i="13" s="1"/>
  <c r="V26" i="13"/>
  <c r="N26" i="13"/>
  <c r="X25" i="13"/>
  <c r="L27" i="13" s="1"/>
  <c r="N25" i="13"/>
  <c r="W24" i="13"/>
  <c r="L26" i="13" s="1"/>
  <c r="U24" i="13"/>
  <c r="H26" i="13" s="1"/>
  <c r="N24" i="13"/>
  <c r="X23" i="13"/>
  <c r="L25" i="13" s="1"/>
  <c r="V23" i="13"/>
  <c r="H25" i="13" s="1"/>
  <c r="D25" i="13" s="1"/>
  <c r="N23" i="13"/>
  <c r="X22" i="13"/>
  <c r="L24" i="13" s="1"/>
  <c r="V22" i="13"/>
  <c r="H24" i="13" s="1"/>
  <c r="N22" i="13"/>
  <c r="W21" i="13"/>
  <c r="L23" i="13" s="1"/>
  <c r="U21" i="13"/>
  <c r="H23" i="13" s="1"/>
  <c r="D23" i="13" s="1"/>
  <c r="N21" i="13"/>
  <c r="J21" i="13"/>
  <c r="X20" i="13"/>
  <c r="W20" i="13"/>
  <c r="V20" i="13"/>
  <c r="U20" i="13"/>
  <c r="N20" i="13"/>
  <c r="J20" i="13"/>
  <c r="V19" i="13"/>
  <c r="H21" i="13" s="1"/>
  <c r="F21" i="13" s="1"/>
  <c r="U18" i="13"/>
  <c r="J18" i="13"/>
  <c r="G18" i="13"/>
  <c r="X16" i="13"/>
  <c r="X19" i="13" s="1"/>
  <c r="L21" i="13" s="1"/>
  <c r="V16" i="13"/>
  <c r="V25" i="13" s="1"/>
  <c r="H27" i="13" s="1"/>
  <c r="C15" i="13"/>
  <c r="B3" i="13"/>
  <c r="AI41" i="14" l="1"/>
  <c r="AI42" i="14"/>
  <c r="AI46" i="14" s="1"/>
  <c r="AI43" i="14"/>
  <c r="AR47" i="14"/>
  <c r="AA51" i="14"/>
  <c r="G50" i="14" s="1"/>
  <c r="U43" i="14" s="1"/>
  <c r="V61" i="14"/>
  <c r="F23" i="14"/>
  <c r="D23" i="14"/>
  <c r="V23" i="14"/>
  <c r="H25" i="14" s="1"/>
  <c r="L22" i="14"/>
  <c r="F25" i="14"/>
  <c r="D25" i="14"/>
  <c r="L60" i="13"/>
  <c r="AA51" i="13"/>
  <c r="G50" i="13" s="1"/>
  <c r="U43" i="13" s="1"/>
  <c r="AI41" i="13"/>
  <c r="AI43" i="13"/>
  <c r="AM51" i="13"/>
  <c r="AR40" i="13" s="1"/>
  <c r="F26" i="13"/>
  <c r="D26" i="13"/>
  <c r="H22" i="13"/>
  <c r="L22" i="13"/>
  <c r="D28" i="13"/>
  <c r="J30" i="13"/>
  <c r="F24" i="13"/>
  <c r="D24" i="13"/>
  <c r="F27" i="14"/>
  <c r="D27" i="14"/>
  <c r="D22" i="14"/>
  <c r="F22" i="14"/>
  <c r="D26" i="14"/>
  <c r="F26" i="14"/>
  <c r="D28" i="14"/>
  <c r="F28" i="14"/>
  <c r="D21" i="14"/>
  <c r="F21" i="14"/>
  <c r="V27" i="14"/>
  <c r="V29" i="14" s="1"/>
  <c r="D24" i="14"/>
  <c r="F24" i="14"/>
  <c r="AM51" i="14"/>
  <c r="X19" i="14"/>
  <c r="V28" i="14"/>
  <c r="G47" i="14"/>
  <c r="G70" i="14"/>
  <c r="H103" i="14"/>
  <c r="W18" i="14"/>
  <c r="H20" i="14"/>
  <c r="J30" i="14"/>
  <c r="L60" i="14"/>
  <c r="D27" i="13"/>
  <c r="F27" i="13"/>
  <c r="F22" i="13"/>
  <c r="D22" i="13"/>
  <c r="G70" i="13"/>
  <c r="G47" i="13"/>
  <c r="C44" i="13"/>
  <c r="V28" i="13"/>
  <c r="U27" i="13"/>
  <c r="X27" i="13"/>
  <c r="V27" i="13"/>
  <c r="V29" i="13" s="1"/>
  <c r="H20" i="13"/>
  <c r="D21" i="13"/>
  <c r="F23" i="13"/>
  <c r="F25" i="13"/>
  <c r="G52" i="13"/>
  <c r="U44" i="13" s="1"/>
  <c r="W18" i="13"/>
  <c r="AI42" i="13"/>
  <c r="AI44" i="13"/>
  <c r="H103" i="13"/>
  <c r="L114" i="12"/>
  <c r="L115" i="12" s="1"/>
  <c r="H102" i="12"/>
  <c r="H101" i="12"/>
  <c r="H100" i="12"/>
  <c r="H98" i="12"/>
  <c r="J70" i="12"/>
  <c r="G70" i="12"/>
  <c r="AL65" i="12"/>
  <c r="Z65" i="12"/>
  <c r="AQ64" i="12"/>
  <c r="AL64" i="12"/>
  <c r="Z64" i="12"/>
  <c r="AQ63" i="12"/>
  <c r="AL63" i="12"/>
  <c r="AH63" i="12"/>
  <c r="Z63" i="12"/>
  <c r="AL61" i="12"/>
  <c r="Z61" i="12"/>
  <c r="AQ60" i="12"/>
  <c r="AL60" i="12"/>
  <c r="Z60" i="12"/>
  <c r="AQ59" i="12"/>
  <c r="AL59" i="12"/>
  <c r="AH59" i="12"/>
  <c r="Z59" i="12"/>
  <c r="V59" i="12"/>
  <c r="L59" i="12"/>
  <c r="L67" i="12" s="1"/>
  <c r="C59" i="12"/>
  <c r="V58" i="12"/>
  <c r="AL57" i="12"/>
  <c r="Z57" i="12"/>
  <c r="V57" i="12"/>
  <c r="AL56" i="12"/>
  <c r="Z56" i="12"/>
  <c r="AQ55" i="12"/>
  <c r="AL55" i="12"/>
  <c r="AH55" i="12"/>
  <c r="Z55" i="12"/>
  <c r="L52" i="12"/>
  <c r="C52" i="12"/>
  <c r="AN51" i="12"/>
  <c r="AF51" i="12"/>
  <c r="AE51" i="12"/>
  <c r="AC51" i="12"/>
  <c r="AB51" i="12"/>
  <c r="AM49" i="12"/>
  <c r="AE49" i="12"/>
  <c r="AA49" i="12"/>
  <c r="C49" i="12"/>
  <c r="AM48" i="12"/>
  <c r="AE48" i="12"/>
  <c r="AA48" i="12"/>
  <c r="AQ47" i="12"/>
  <c r="AN47" i="12"/>
  <c r="AM47" i="12"/>
  <c r="AB47" i="12"/>
  <c r="AA47" i="12"/>
  <c r="J47" i="12"/>
  <c r="AN46" i="12"/>
  <c r="AM46" i="12"/>
  <c r="AB46" i="12"/>
  <c r="AA46" i="12"/>
  <c r="U46" i="12"/>
  <c r="G46" i="12"/>
  <c r="AR45" i="12"/>
  <c r="AN45" i="12"/>
  <c r="AM45" i="12"/>
  <c r="AB45" i="12"/>
  <c r="AA45" i="12"/>
  <c r="U45" i="12"/>
  <c r="AR44" i="12"/>
  <c r="AM44" i="12"/>
  <c r="AJ44" i="12"/>
  <c r="AI44" i="12"/>
  <c r="AE44" i="12"/>
  <c r="AA44" i="12"/>
  <c r="AV43" i="12"/>
  <c r="AR43" i="12"/>
  <c r="AN43" i="12"/>
  <c r="AM43" i="12"/>
  <c r="AJ43" i="12"/>
  <c r="AI43" i="12"/>
  <c r="AB43" i="12"/>
  <c r="AA43" i="12"/>
  <c r="AV42" i="12"/>
  <c r="AR42" i="12"/>
  <c r="AN42" i="12"/>
  <c r="AM42" i="12"/>
  <c r="AJ42" i="12"/>
  <c r="AI42" i="12"/>
  <c r="AB42" i="12"/>
  <c r="AA42" i="12"/>
  <c r="AV41" i="12"/>
  <c r="AR41" i="12"/>
  <c r="AR47" i="12" s="1"/>
  <c r="AM41" i="12"/>
  <c r="AI41" i="12"/>
  <c r="AI46" i="12" s="1"/>
  <c r="AA41" i="12"/>
  <c r="AS40" i="12"/>
  <c r="AM40" i="12"/>
  <c r="AI40" i="12"/>
  <c r="AA40" i="12"/>
  <c r="N30" i="12"/>
  <c r="N29" i="12"/>
  <c r="N28" i="12"/>
  <c r="N27" i="12"/>
  <c r="X26" i="12"/>
  <c r="L28" i="12" s="1"/>
  <c r="V26" i="12"/>
  <c r="H28" i="12" s="1"/>
  <c r="N26" i="12"/>
  <c r="X25" i="12"/>
  <c r="L27" i="12" s="1"/>
  <c r="N25" i="12"/>
  <c r="W24" i="12"/>
  <c r="L26" i="12" s="1"/>
  <c r="U24" i="12"/>
  <c r="H26" i="12" s="1"/>
  <c r="N24" i="12"/>
  <c r="X23" i="12"/>
  <c r="L25" i="12" s="1"/>
  <c r="N23" i="12"/>
  <c r="X22" i="12"/>
  <c r="L24" i="12" s="1"/>
  <c r="V22" i="12"/>
  <c r="H24" i="12" s="1"/>
  <c r="N22" i="12"/>
  <c r="W21" i="12"/>
  <c r="L23" i="12" s="1"/>
  <c r="U21" i="12"/>
  <c r="H23" i="12" s="1"/>
  <c r="N21" i="12"/>
  <c r="J21" i="12"/>
  <c r="X20" i="12"/>
  <c r="W20" i="12"/>
  <c r="V20" i="12"/>
  <c r="U20" i="12"/>
  <c r="H22" i="12" s="1"/>
  <c r="N20" i="12"/>
  <c r="J20" i="12"/>
  <c r="V19" i="12"/>
  <c r="H21" i="12" s="1"/>
  <c r="U18" i="12"/>
  <c r="U27" i="12" s="1"/>
  <c r="J18" i="12"/>
  <c r="G18" i="12"/>
  <c r="C44" i="12" s="1"/>
  <c r="X16" i="12"/>
  <c r="V16" i="12"/>
  <c r="V23" i="12" s="1"/>
  <c r="H25" i="12" s="1"/>
  <c r="C15" i="12"/>
  <c r="B3" i="12"/>
  <c r="AN49" i="14" l="1"/>
  <c r="AN44" i="14"/>
  <c r="AB48" i="14"/>
  <c r="AN48" i="14"/>
  <c r="AB49" i="14"/>
  <c r="AB44" i="14"/>
  <c r="U29" i="14"/>
  <c r="AI46" i="13"/>
  <c r="G53" i="13"/>
  <c r="L21" i="14"/>
  <c r="X27" i="14"/>
  <c r="X28" i="14"/>
  <c r="W27" i="14"/>
  <c r="L20" i="14"/>
  <c r="H109" i="14"/>
  <c r="H104" i="14"/>
  <c r="AR40" i="14"/>
  <c r="G52" i="14"/>
  <c r="U44" i="14" s="1"/>
  <c r="G53" i="14" s="1"/>
  <c r="D20" i="14"/>
  <c r="F20" i="14"/>
  <c r="H31" i="14"/>
  <c r="H105" i="14"/>
  <c r="V30" i="14"/>
  <c r="H29" i="14" s="1"/>
  <c r="AB49" i="13"/>
  <c r="AB48" i="13"/>
  <c r="AB44" i="13"/>
  <c r="AN49" i="13"/>
  <c r="AN48" i="13"/>
  <c r="AN44" i="13"/>
  <c r="X28" i="13"/>
  <c r="W27" i="13"/>
  <c r="X29" i="13" s="1"/>
  <c r="L20" i="13"/>
  <c r="H31" i="13"/>
  <c r="H109" i="13"/>
  <c r="H104" i="13"/>
  <c r="H105" i="13"/>
  <c r="AS47" i="13"/>
  <c r="AS45" i="13"/>
  <c r="AS43" i="13"/>
  <c r="AS44" i="13"/>
  <c r="AS42" i="13"/>
  <c r="F20" i="13"/>
  <c r="D20" i="13"/>
  <c r="V30" i="13"/>
  <c r="H29" i="13" s="1"/>
  <c r="U29" i="13"/>
  <c r="AA51" i="12"/>
  <c r="G50" i="12" s="1"/>
  <c r="U43" i="12" s="1"/>
  <c r="AM51" i="12"/>
  <c r="G52" i="12" s="1"/>
  <c r="U44" i="12" s="1"/>
  <c r="V61" i="12"/>
  <c r="F23" i="12"/>
  <c r="D23" i="12"/>
  <c r="V25" i="12"/>
  <c r="H27" i="12" s="1"/>
  <c r="L22" i="12"/>
  <c r="F27" i="12"/>
  <c r="D27" i="12"/>
  <c r="G47" i="12"/>
  <c r="D21" i="12"/>
  <c r="F21" i="12"/>
  <c r="V28" i="12"/>
  <c r="D24" i="12"/>
  <c r="F24" i="12"/>
  <c r="D26" i="12"/>
  <c r="F26" i="12"/>
  <c r="F25" i="12"/>
  <c r="D25" i="12"/>
  <c r="D22" i="12"/>
  <c r="F22" i="12"/>
  <c r="D28" i="12"/>
  <c r="F28" i="12"/>
  <c r="AN49" i="12"/>
  <c r="AN48" i="12"/>
  <c r="AN44" i="12"/>
  <c r="AB49" i="12"/>
  <c r="AB48" i="12"/>
  <c r="AB44" i="12"/>
  <c r="W18" i="12"/>
  <c r="X19" i="12"/>
  <c r="V27" i="12"/>
  <c r="V29" i="12" s="1"/>
  <c r="H103" i="12"/>
  <c r="H20" i="12"/>
  <c r="J30" i="12"/>
  <c r="L60" i="12"/>
  <c r="J61" i="12"/>
  <c r="H98" i="4"/>
  <c r="C59" i="4"/>
  <c r="L31" i="14" l="1"/>
  <c r="N31" i="14"/>
  <c r="D35" i="14"/>
  <c r="L31" i="13"/>
  <c r="D35" i="13" s="1"/>
  <c r="N31" i="13"/>
  <c r="W29" i="14"/>
  <c r="X30" i="14" s="1"/>
  <c r="L29" i="14" s="1"/>
  <c r="AS44" i="14"/>
  <c r="AS42" i="14"/>
  <c r="AS47" i="14"/>
  <c r="AS45" i="14"/>
  <c r="AS43" i="14"/>
  <c r="H116" i="14"/>
  <c r="H110" i="14"/>
  <c r="K65" i="14"/>
  <c r="L65" i="14" s="1"/>
  <c r="X29" i="14"/>
  <c r="L35" i="14"/>
  <c r="J50" i="14"/>
  <c r="H110" i="13"/>
  <c r="K65" i="13"/>
  <c r="L65" i="13" s="1"/>
  <c r="H116" i="13"/>
  <c r="X30" i="13"/>
  <c r="L29" i="13" s="1"/>
  <c r="W29" i="13"/>
  <c r="L35" i="13"/>
  <c r="AR40" i="12"/>
  <c r="G53" i="12"/>
  <c r="U29" i="12"/>
  <c r="D20" i="12"/>
  <c r="F20" i="12"/>
  <c r="L21" i="12"/>
  <c r="X27" i="12"/>
  <c r="X28" i="12"/>
  <c r="W27" i="12"/>
  <c r="L20" i="12"/>
  <c r="V30" i="12"/>
  <c r="H29" i="12" s="1"/>
  <c r="H31" i="12"/>
  <c r="H109" i="12"/>
  <c r="H104" i="12"/>
  <c r="H105" i="12"/>
  <c r="AS44" i="12"/>
  <c r="AS42" i="12"/>
  <c r="AS47" i="12"/>
  <c r="AS45" i="12"/>
  <c r="AS43" i="12"/>
  <c r="C27" i="5"/>
  <c r="E27" i="5" s="1"/>
  <c r="I24" i="5"/>
  <c r="J50" i="13" l="1"/>
  <c r="J53" i="14"/>
  <c r="L50" i="14"/>
  <c r="N50" i="14"/>
  <c r="J66" i="14"/>
  <c r="H114" i="14"/>
  <c r="H113" i="14"/>
  <c r="J53" i="13"/>
  <c r="L50" i="13"/>
  <c r="N50" i="13"/>
  <c r="J66" i="13"/>
  <c r="H113" i="13"/>
  <c r="H114" i="13"/>
  <c r="X29" i="12"/>
  <c r="W29" i="12"/>
  <c r="X30" i="12" s="1"/>
  <c r="L29" i="12" s="1"/>
  <c r="H116" i="12"/>
  <c r="H110" i="12"/>
  <c r="K65" i="12"/>
  <c r="L65" i="12" s="1"/>
  <c r="L31" i="12"/>
  <c r="N31" i="12"/>
  <c r="G27" i="5"/>
  <c r="C60" i="4"/>
  <c r="J71" i="14" l="1"/>
  <c r="G71" i="14"/>
  <c r="AV40" i="14"/>
  <c r="L53" i="14"/>
  <c r="N53" i="14"/>
  <c r="J71" i="13"/>
  <c r="G71" i="13"/>
  <c r="N53" i="13"/>
  <c r="L53" i="13"/>
  <c r="AV40" i="13"/>
  <c r="L35" i="12"/>
  <c r="J50" i="12"/>
  <c r="D35" i="12"/>
  <c r="J66" i="12"/>
  <c r="H113" i="12"/>
  <c r="H114" i="12"/>
  <c r="C15" i="4"/>
  <c r="AW44" i="14" l="1"/>
  <c r="AV44" i="14" s="1"/>
  <c r="AV46" i="14" s="1"/>
  <c r="AW46" i="14" s="1"/>
  <c r="D55" i="14" s="1"/>
  <c r="AW42" i="14"/>
  <c r="AW41" i="14"/>
  <c r="AW43" i="14"/>
  <c r="AW43" i="13"/>
  <c r="AW44" i="13"/>
  <c r="AV44" i="13" s="1"/>
  <c r="AV46" i="13" s="1"/>
  <c r="AW46" i="13" s="1"/>
  <c r="D55" i="13" s="1"/>
  <c r="AW42" i="13"/>
  <c r="AW41" i="13"/>
  <c r="J71" i="12"/>
  <c r="G71" i="12"/>
  <c r="J53" i="12"/>
  <c r="L50" i="12"/>
  <c r="N50" i="12"/>
  <c r="L59" i="4"/>
  <c r="N30" i="4"/>
  <c r="N21" i="4"/>
  <c r="N22" i="4"/>
  <c r="N23" i="4"/>
  <c r="N24" i="4"/>
  <c r="N25" i="4"/>
  <c r="N26" i="4"/>
  <c r="N27" i="4"/>
  <c r="N28" i="4"/>
  <c r="N29" i="4"/>
  <c r="N20" i="4"/>
  <c r="N53" i="12" l="1"/>
  <c r="AV40" i="12"/>
  <c r="L53" i="12"/>
  <c r="AW44" i="12" l="1"/>
  <c r="AV44" i="12" s="1"/>
  <c r="AV46" i="12" s="1"/>
  <c r="AW46" i="12" s="1"/>
  <c r="D55" i="12" s="1"/>
  <c r="AW42" i="12"/>
  <c r="AW41" i="12"/>
  <c r="AW43" i="12"/>
  <c r="C26" i="5" l="1"/>
  <c r="C25" i="5"/>
  <c r="G24" i="5"/>
  <c r="E24" i="5"/>
  <c r="G19" i="5"/>
  <c r="C19" i="5" s="1"/>
  <c r="E19" i="5" s="1"/>
  <c r="G20" i="5"/>
  <c r="I20" i="5" s="1"/>
  <c r="K18" i="5"/>
  <c r="I18" i="5"/>
  <c r="C18" i="5"/>
  <c r="E18" i="5" s="1"/>
  <c r="G16" i="5"/>
  <c r="I16" i="5" s="1"/>
  <c r="C17" i="5"/>
  <c r="G17" i="5" s="1"/>
  <c r="K16" i="5"/>
  <c r="E16" i="5"/>
  <c r="G25" i="5" l="1"/>
  <c r="I25" i="5"/>
  <c r="E26" i="5"/>
  <c r="I26" i="5"/>
  <c r="C20" i="5"/>
  <c r="E20" i="5" s="1"/>
  <c r="K19" i="5"/>
  <c r="K17" i="5"/>
  <c r="I17" i="5"/>
  <c r="E10" i="5"/>
  <c r="C12" i="5"/>
  <c r="E12" i="5" s="1"/>
  <c r="G10" i="5"/>
  <c r="C11" i="5"/>
  <c r="G11" i="5" s="1"/>
  <c r="G46" i="4" l="1"/>
  <c r="L67" i="4" l="1"/>
  <c r="L60" i="4" l="1"/>
  <c r="L52" i="4" l="1"/>
  <c r="C52" i="4" l="1"/>
  <c r="C6" i="5" l="1"/>
  <c r="E5" i="5"/>
  <c r="AF51" i="4" l="1"/>
  <c r="AE51" i="4"/>
  <c r="C49" i="4" s="1"/>
  <c r="AE49" i="4" l="1"/>
  <c r="AE48" i="4"/>
  <c r="AI41" i="4" s="1"/>
  <c r="AE44" i="4"/>
  <c r="H101" i="4" l="1"/>
  <c r="H100" i="4"/>
  <c r="J61" i="4" l="1"/>
  <c r="L114" i="4"/>
  <c r="L115" i="4" s="1"/>
  <c r="W24" i="4" l="1"/>
  <c r="W21" i="4"/>
  <c r="W20" i="4"/>
  <c r="X26" i="4"/>
  <c r="X25" i="4"/>
  <c r="X23" i="4"/>
  <c r="X22" i="4"/>
  <c r="X20" i="4"/>
  <c r="X16" i="4"/>
  <c r="V16" i="4"/>
  <c r="AQ64" i="4" l="1"/>
  <c r="AQ63" i="4"/>
  <c r="AQ60" i="4"/>
  <c r="AQ59" i="4"/>
  <c r="AQ55" i="4"/>
  <c r="AL65" i="4"/>
  <c r="AL64" i="4"/>
  <c r="AL63" i="4"/>
  <c r="AL61" i="4"/>
  <c r="AL60" i="4"/>
  <c r="AL59" i="4"/>
  <c r="AL56" i="4"/>
  <c r="AL57" i="4"/>
  <c r="AL55" i="4"/>
  <c r="V58" i="4"/>
  <c r="V59" i="4"/>
  <c r="V57" i="4"/>
  <c r="V61" i="4" l="1"/>
  <c r="AH63" i="4" l="1"/>
  <c r="AH59" i="4"/>
  <c r="AH55" i="4"/>
  <c r="Z65" i="4"/>
  <c r="Z64" i="4"/>
  <c r="Z63" i="4"/>
  <c r="Z61" i="4"/>
  <c r="Z60" i="4"/>
  <c r="Z59" i="4"/>
  <c r="Z56" i="4"/>
  <c r="Z57" i="4"/>
  <c r="Z55" i="4"/>
  <c r="AC51" i="4"/>
  <c r="AB51" i="4"/>
  <c r="AN51" i="4" l="1"/>
  <c r="AA41" i="4" l="1"/>
  <c r="AR41" i="4" l="1"/>
  <c r="AM41" i="4"/>
  <c r="J18" i="4" l="1"/>
  <c r="J70" i="4"/>
  <c r="J47" i="4"/>
  <c r="AB43" i="4" l="1"/>
  <c r="AA43" i="4" s="1"/>
  <c r="AN42" i="4"/>
  <c r="AM42" i="4" s="1"/>
  <c r="AV42" i="4" l="1"/>
  <c r="AQ47" i="4"/>
  <c r="AS40" i="4"/>
  <c r="AM47" i="4" l="1"/>
  <c r="AA47" i="4"/>
  <c r="AM40" i="4" l="1"/>
  <c r="AI40" i="4"/>
  <c r="AA40" i="4"/>
  <c r="AN47" i="4" l="1"/>
  <c r="AN46" i="4"/>
  <c r="AM46" i="4" s="1"/>
  <c r="AN45" i="4"/>
  <c r="AM45" i="4" s="1"/>
  <c r="AN43" i="4"/>
  <c r="AM43" i="4" s="1"/>
  <c r="AJ42" i="4"/>
  <c r="AI42" i="4" s="1"/>
  <c r="AJ44" i="4"/>
  <c r="AI44" i="4" s="1"/>
  <c r="AJ43" i="4"/>
  <c r="AI43" i="4" s="1"/>
  <c r="AB47" i="4"/>
  <c r="AB46" i="4"/>
  <c r="AA46" i="4" s="1"/>
  <c r="AB45" i="4"/>
  <c r="AA45" i="4" s="1"/>
  <c r="AB42" i="4"/>
  <c r="AA42" i="4" s="1"/>
  <c r="G18" i="4" l="1"/>
  <c r="C44" i="4" s="1"/>
  <c r="G70" i="4" l="1"/>
  <c r="G47" i="4"/>
  <c r="L28" i="4"/>
  <c r="J20" i="4" l="1"/>
  <c r="J21" i="4"/>
  <c r="U46" i="4" l="1"/>
  <c r="U45" i="4"/>
  <c r="B3" i="4" l="1"/>
  <c r="C7" i="1" l="1"/>
  <c r="H102" i="4"/>
  <c r="H103" i="4" s="1"/>
  <c r="H104" i="4" l="1"/>
  <c r="A20" i="1"/>
  <c r="D16" i="1"/>
  <c r="E16" i="1" s="1"/>
  <c r="H109" i="4"/>
  <c r="K65" i="4" s="1"/>
  <c r="L65" i="4" s="1"/>
  <c r="H105" i="4" l="1"/>
  <c r="H110" i="4"/>
  <c r="H113" i="4" l="1"/>
  <c r="H114" i="4"/>
  <c r="J66" i="4"/>
  <c r="H116" i="4"/>
  <c r="V26" i="4"/>
  <c r="H28" i="4" s="1"/>
  <c r="V25" i="4"/>
  <c r="J30" i="4"/>
  <c r="L24" i="4"/>
  <c r="L27" i="4"/>
  <c r="L26" i="4"/>
  <c r="L25" i="4"/>
  <c r="L23" i="4"/>
  <c r="L22" i="4" l="1"/>
  <c r="F28" i="4"/>
  <c r="D28" i="4"/>
  <c r="A2" i="1"/>
  <c r="D14" i="1" l="1"/>
  <c r="E14" i="1" s="1"/>
  <c r="D15" i="1"/>
  <c r="U24" i="4" l="1"/>
  <c r="H26" i="4" s="1"/>
  <c r="F26" i="4" l="1"/>
  <c r="D26" i="4"/>
  <c r="D13" i="1"/>
  <c r="D12" i="1"/>
  <c r="E12" i="1" s="1"/>
  <c r="D11" i="1"/>
  <c r="V22" i="4" l="1"/>
  <c r="H24" i="4" s="1"/>
  <c r="E11" i="1"/>
  <c r="D24" i="4" l="1"/>
  <c r="F24" i="4"/>
  <c r="U21" i="4"/>
  <c r="H23" i="4" s="1"/>
  <c r="E15" i="1"/>
  <c r="D23" i="4" l="1"/>
  <c r="F23" i="4"/>
  <c r="H27" i="4"/>
  <c r="E13" i="1"/>
  <c r="V23" i="4" s="1"/>
  <c r="D10" i="1"/>
  <c r="E10" i="1" s="1"/>
  <c r="D9" i="1"/>
  <c r="E9" i="1" s="1"/>
  <c r="X19" i="4" s="1"/>
  <c r="D8" i="1"/>
  <c r="E8" i="1" s="1"/>
  <c r="W18" i="4" s="1"/>
  <c r="H25" i="4" l="1"/>
  <c r="D25" i="4" s="1"/>
  <c r="F27" i="4"/>
  <c r="D27" i="4"/>
  <c r="U18" i="4"/>
  <c r="V20" i="4"/>
  <c r="U20" i="4"/>
  <c r="V19" i="4"/>
  <c r="H21" i="4" s="1"/>
  <c r="D21" i="4" s="1"/>
  <c r="X27" i="4"/>
  <c r="F25" i="4" l="1"/>
  <c r="V27" i="4"/>
  <c r="X28" i="4"/>
  <c r="J71" i="4" s="1"/>
  <c r="W27" i="4"/>
  <c r="U27" i="4"/>
  <c r="V28" i="4"/>
  <c r="G71" i="4" s="1"/>
  <c r="F21" i="4"/>
  <c r="H20" i="4"/>
  <c r="H22" i="4"/>
  <c r="F22" i="4" s="1"/>
  <c r="L21" i="4"/>
  <c r="L20" i="4"/>
  <c r="H31" i="4" l="1"/>
  <c r="N31" i="4"/>
  <c r="F20" i="4"/>
  <c r="D20" i="4"/>
  <c r="U29" i="4"/>
  <c r="V29" i="4"/>
  <c r="W29" i="4"/>
  <c r="X29" i="4"/>
  <c r="D22" i="4"/>
  <c r="L31" i="4"/>
  <c r="L35" i="4" l="1"/>
  <c r="D35" i="4"/>
  <c r="V30" i="4"/>
  <c r="H29" i="4" s="1"/>
  <c r="X30" i="4"/>
  <c r="L29" i="4" s="1"/>
  <c r="AV43" i="4"/>
  <c r="AI46" i="4" l="1"/>
  <c r="AN49" i="4" l="1"/>
  <c r="AM49" i="4" s="1"/>
  <c r="AB49" i="4"/>
  <c r="AA49" i="4" s="1"/>
  <c r="AN48" i="4"/>
  <c r="AM48" i="4" s="1"/>
  <c r="AB44" i="4"/>
  <c r="AA44" i="4" s="1"/>
  <c r="AB48" i="4"/>
  <c r="AA48" i="4" s="1"/>
  <c r="AN44" i="4"/>
  <c r="AM44" i="4" s="1"/>
  <c r="AM51" i="4" l="1"/>
  <c r="AR40" i="4" s="1"/>
  <c r="AA51" i="4"/>
  <c r="G52" i="4" l="1"/>
  <c r="U44" i="4" s="1"/>
  <c r="AS45" i="4"/>
  <c r="AR45" i="4" s="1"/>
  <c r="AS43" i="4"/>
  <c r="AR43" i="4" s="1"/>
  <c r="AS42" i="4"/>
  <c r="AR42" i="4" s="1"/>
  <c r="AS44" i="4"/>
  <c r="AR44" i="4" s="1"/>
  <c r="G50" i="4"/>
  <c r="U43" i="4" s="1"/>
  <c r="J50" i="4" l="1"/>
  <c r="N50" i="4" s="1"/>
  <c r="AR47" i="4"/>
  <c r="AS47" i="4" s="1"/>
  <c r="G53" i="4"/>
  <c r="L50" i="4" l="1"/>
  <c r="J53" i="4"/>
  <c r="L53" i="4" s="1"/>
  <c r="N53" i="4" l="1"/>
  <c r="AV40" i="4"/>
  <c r="AW42" i="4" s="1"/>
  <c r="AW44" i="4" l="1"/>
  <c r="AV44" i="4" s="1"/>
  <c r="AW41" i="4"/>
  <c r="AV41" i="4" s="1"/>
  <c r="AW43" i="4"/>
  <c r="AV46" i="4" l="1"/>
  <c r="AW46" i="4" s="1"/>
  <c r="D55" i="4" s="1"/>
</calcChain>
</file>

<file path=xl/comments1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2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3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comments4.xml><?xml version="1.0" encoding="utf-8"?>
<comments xmlns="http://schemas.openxmlformats.org/spreadsheetml/2006/main">
  <authors>
    <author>andreas</author>
  </authors>
  <commentList>
    <comment ref="F46" authorId="0" shapeId="0">
      <text>
        <r>
          <rPr>
            <sz val="11"/>
            <color indexed="81"/>
            <rFont val="Calibri"/>
            <family val="2"/>
            <scheme val="minor"/>
          </rPr>
          <t>How to select your</t>
        </r>
        <r>
          <rPr>
            <b/>
            <sz val="11"/>
            <color indexed="81"/>
            <rFont val="Calibri"/>
            <family val="2"/>
            <scheme val="minor"/>
          </rPr>
          <t xml:space="preserve"> System of measurement:</t>
        </r>
        <r>
          <rPr>
            <sz val="11"/>
            <color indexed="81"/>
            <rFont val="Calibri"/>
            <family val="2"/>
            <scheme val="minor"/>
          </rPr>
          <t xml:space="preserve">
If you are familiar with
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Kilogram, Metric ton, Litre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International system of units (SI)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ton, </t>
        </r>
        <r>
          <rPr>
            <sz val="11"/>
            <color indexed="81"/>
            <rFont val="Calibri"/>
            <family val="2"/>
            <scheme val="minor"/>
          </rPr>
          <t>(British)</t>
        </r>
        <r>
          <rPr>
            <b/>
            <sz val="11"/>
            <color indexed="81"/>
            <rFont val="Calibri"/>
            <family val="2"/>
            <scheme val="minor"/>
          </rPr>
          <t xml:space="preserve"> Imperial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British Imperial system of units</t>
        </r>
        <r>
          <rPr>
            <b/>
            <sz val="11"/>
            <color indexed="81"/>
            <rFont val="Calibri"/>
            <family val="2"/>
            <scheme val="minor"/>
          </rPr>
          <t xml:space="preserve">
●  Pound, US short ton, US gallon
</t>
        </r>
        <r>
          <rPr>
            <sz val="11"/>
            <color indexed="81"/>
            <rFont val="Calibri"/>
            <family val="2"/>
            <scheme val="minor"/>
          </rPr>
          <t xml:space="preserve">     → Select</t>
        </r>
        <r>
          <rPr>
            <b/>
            <sz val="11"/>
            <color indexed="81"/>
            <rFont val="Calibri"/>
            <family val="2"/>
            <scheme val="minor"/>
          </rPr>
          <t xml:space="preserve"> </t>
        </r>
        <r>
          <rPr>
            <b/>
            <i/>
            <sz val="11"/>
            <color indexed="81"/>
            <rFont val="Calibri"/>
            <family val="2"/>
            <scheme val="minor"/>
          </rPr>
          <t>United States customary units</t>
        </r>
      </text>
    </comment>
  </commentList>
</comments>
</file>

<file path=xl/sharedStrings.xml><?xml version="1.0" encoding="utf-8"?>
<sst xmlns="http://schemas.openxmlformats.org/spreadsheetml/2006/main" count="1147" uniqueCount="306">
  <si>
    <t>Oxygen</t>
  </si>
  <si>
    <t>O</t>
  </si>
  <si>
    <t>Iron</t>
  </si>
  <si>
    <t>Fe</t>
  </si>
  <si>
    <t>Wuestite</t>
  </si>
  <si>
    <t>FeO</t>
  </si>
  <si>
    <t>Hematite</t>
  </si>
  <si>
    <t>Magnetite</t>
  </si>
  <si>
    <t>Hydrogen</t>
  </si>
  <si>
    <t>H</t>
  </si>
  <si>
    <t>Chlorine</t>
  </si>
  <si>
    <t>Cl</t>
  </si>
  <si>
    <t>Ferrous Chloride</t>
  </si>
  <si>
    <t>Ferric Chloride</t>
  </si>
  <si>
    <t>Ferric Oxyhydroxide</t>
  </si>
  <si>
    <t>FeO(OH)</t>
  </si>
  <si>
    <r>
      <t>Fe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4</t>
    </r>
  </si>
  <si>
    <r>
      <t>FeCl</t>
    </r>
    <r>
      <rPr>
        <vertAlign val="subscript"/>
        <sz val="11"/>
        <color theme="1"/>
        <rFont val="Calibri"/>
        <family val="2"/>
        <scheme val="minor"/>
      </rPr>
      <t>2</t>
    </r>
  </si>
  <si>
    <r>
      <t>FeCl</t>
    </r>
    <r>
      <rPr>
        <vertAlign val="subscript"/>
        <sz val="11"/>
        <color theme="1"/>
        <rFont val="Calibri"/>
        <family val="2"/>
        <scheme val="minor"/>
      </rPr>
      <t>3</t>
    </r>
  </si>
  <si>
    <t>SBGx</t>
  </si>
  <si>
    <r>
      <t>Fe(OH)</t>
    </r>
    <r>
      <rPr>
        <vertAlign val="subscript"/>
        <sz val="11"/>
        <color theme="1"/>
        <rFont val="Calibri"/>
        <family val="2"/>
        <scheme val="minor"/>
      </rPr>
      <t>3</t>
    </r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</si>
  <si>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</si>
  <si>
    <t>Chemical name</t>
  </si>
  <si>
    <t>Chemical formula</t>
  </si>
  <si>
    <t>FeO [%]</t>
  </si>
  <si>
    <r>
      <t>Fe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O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[%]</t>
    </r>
  </si>
  <si>
    <t>RIIC [%]</t>
  </si>
  <si>
    <t>Fe₂O₃</t>
  </si>
  <si>
    <t>Fe₃O₄</t>
  </si>
  <si>
    <t>FeCl₂</t>
  </si>
  <si>
    <t>FeCl₃</t>
  </si>
  <si>
    <t>Fe(OH)₃</t>
  </si>
  <si>
    <r>
      <t>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= molecular mass of iron [g/mol]</t>
    </r>
  </si>
  <si>
    <r>
      <t>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= 10 ^ -pH</t>
    </r>
  </si>
  <si>
    <t>Ks1 = 10 ^ -(1351.9 / T[K] + 0.0992 + 0.00792 * T[K])</t>
  </si>
  <si>
    <t>Ks2 = 10 ^ -11.96</t>
  </si>
  <si>
    <r>
      <t xml:space="preserve">Quotient 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S(aq) / f</t>
    </r>
    <r>
      <rPr>
        <b/>
        <vertAlign val="subscript"/>
        <sz val="11"/>
        <color theme="1"/>
        <rFont val="Calibri"/>
        <family val="2"/>
        <scheme val="minor"/>
      </rPr>
      <t>H2S(aq)</t>
    </r>
    <r>
      <rPr>
        <b/>
        <sz val="11"/>
        <color theme="1"/>
        <rFont val="Calibri"/>
        <family val="2"/>
        <scheme val="minor"/>
      </rPr>
      <t xml:space="preserve"> = 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S(aq-ges)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S(aq) + HS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+ S</t>
    </r>
    <r>
      <rPr>
        <vertAlign val="superscript"/>
        <sz val="11"/>
        <color theme="1"/>
        <rFont val="Calibri"/>
        <family val="2"/>
        <scheme val="minor"/>
      </rPr>
      <t>2-</t>
    </r>
  </si>
  <si>
    <r>
      <t xml:space="preserve">     = e((ln(H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S(g)) - 6.42) / 0.78) / f</t>
    </r>
    <r>
      <rPr>
        <vertAlign val="subscript"/>
        <sz val="11"/>
        <color theme="1"/>
        <rFont val="Calibri"/>
        <family val="2"/>
        <scheme val="minor"/>
      </rPr>
      <t>H2S(aq)</t>
    </r>
    <r>
      <rPr>
        <sz val="11"/>
        <color theme="1"/>
        <rFont val="Calibri"/>
        <family val="2"/>
        <scheme val="minor"/>
      </rPr>
      <t xml:space="preserve">     (See formula </t>
    </r>
    <r>
      <rPr>
        <sz val="11"/>
        <color rgb="FF0000FF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>)</t>
    </r>
  </si>
  <si>
    <t>[1]: Polster, A. und Brummack, J. (2006): Verbesserung von Entschwefelungsverfahren in landwirtschaftlichen Biogasanlagen.</t>
  </si>
  <si>
    <t>Abschlussbericht der Technischen Universität Dresden, Fakultät Maschinenbau, Institut für Verfahrenstechnik, Lehrstuhl für</t>
  </si>
  <si>
    <t>Thermische Verfahrenstechnik und Umwelttechnik.</t>
  </si>
  <si>
    <t>Sources:</t>
  </si>
  <si>
    <t>https://www.teknologisk.dk/_/media/60599_Biogas%20upgrading.%20Evaluation%20of%20methods%20for%20H2S%20removal.pdf</t>
  </si>
  <si>
    <t>See p. 7</t>
  </si>
  <si>
    <t>https://www.biogas-forum-bayern.de/media/files/0002/Entschwefelung-von-Biogas-in-landwirtschaftlichen-Biogasanlagen-2013.pdf</t>
  </si>
  <si>
    <t>See p. 8f.</t>
  </si>
  <si>
    <t>https://tu-dresden.de/ing/maschinenwesen/ifvu/ressourcen/dateien/tvu/forschungsprojekte/forschung_alt/entschwefelungsverfahren/bge_in_landw_anlagen.pdf</t>
  </si>
  <si>
    <t>See pp. 26f. and 108f.</t>
  </si>
  <si>
    <t>powered by SwissBiogas.com</t>
  </si>
  <si>
    <t>Remarks:</t>
  </si>
  <si>
    <t>SBGx by SwissBiogas.com</t>
  </si>
  <si>
    <t xml:space="preserve">   → Potentially less additive waste/residue/non-fe content in the discharge</t>
  </si>
  <si>
    <t>Ferric Hydroxide</t>
  </si>
  <si>
    <t>Ferrous Hydroxide</t>
  </si>
  <si>
    <r>
      <t>Fe(OH)</t>
    </r>
    <r>
      <rPr>
        <vertAlign val="subscript"/>
        <sz val="11"/>
        <color theme="1"/>
        <rFont val="Calibri"/>
        <family val="2"/>
        <scheme val="minor"/>
      </rPr>
      <t>2</t>
    </r>
  </si>
  <si>
    <t>Fe(OH)₂</t>
  </si>
  <si>
    <t>•  Reactive Iron Ions (RII) bind the sulphur contained in substrates</t>
  </si>
  <si>
    <t>•  A higher Reactive Iron Ion Content (RIIC) in an additive means, that less additive is needed for desulphurisation</t>
  </si>
  <si>
    <t>Std. atomic mass</t>
  </si>
  <si>
    <t>Molar mass [g/mol]</t>
  </si>
  <si>
    <t>RIIC factor [%]
= CNT Fe ion [%]</t>
  </si>
  <si>
    <t>Moisture</t>
  </si>
  <si>
    <t>Formula</t>
  </si>
  <si>
    <t>Result:</t>
  </si>
  <si>
    <t>C)</t>
  </si>
  <si>
    <t>B)</t>
  </si>
  <si>
    <t>A)</t>
  </si>
  <si>
    <t>Calculating your additive's Reactive Iron Ion Content (RIIC) and comparing it with the one of SwissBiogas.com's SBGx</t>
  </si>
  <si>
    <t>Reactive Iron Ion Content (RIIC) Calculation, Additive Dosage Comparison and Additive Dosage Calculation</t>
  </si>
  <si>
    <t>•</t>
  </si>
  <si>
    <t>Moisture [%]
SDS</t>
  </si>
  <si>
    <t>were you using SBGx.</t>
  </si>
  <si>
    <t>Based on this data, your additive's RIIC value can be established and be compared with the SBGx RIIC value.</t>
  </si>
  <si>
    <t>This document provides you with three tools focused and based on the RIIC value of your additive and compares it with SBGx's.</t>
  </si>
  <si>
    <r>
      <t>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>(Add)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</si>
  <si>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(Add)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</si>
  <si>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>(SBGx)</t>
    </r>
  </si>
  <si>
    <r>
      <t>RIIIC</t>
    </r>
    <r>
      <rPr>
        <vertAlign val="subscript"/>
        <sz val="11"/>
        <color theme="1"/>
        <rFont val="Calibri"/>
        <family val="2"/>
        <scheme val="minor"/>
      </rPr>
      <t>Fe³⁺</t>
    </r>
    <r>
      <rPr>
        <sz val="11"/>
        <color theme="1"/>
        <rFont val="Calibri"/>
        <family val="2"/>
        <scheme val="minor"/>
      </rPr>
      <t>(SBGx)</t>
    </r>
  </si>
  <si>
    <t>⅓ Fe²⁺ + ⅔ Fe³⁺</t>
  </si>
  <si>
    <t>Oxidation State</t>
  </si>
  <si>
    <t>Fe²⁺</t>
  </si>
  <si>
    <t>Fe³⁺</t>
  </si>
  <si>
    <t>Daily dosage</t>
  </si>
  <si>
    <t>Price add</t>
  </si>
  <si>
    <t>Price sbg</t>
  </si>
  <si>
    <t>El. power</t>
  </si>
  <si>
    <r>
      <t>Total RIIIC</t>
    </r>
    <r>
      <rPr>
        <vertAlign val="subscript"/>
        <sz val="11"/>
        <color theme="1"/>
        <rFont val="Calibri"/>
        <family val="2"/>
        <scheme val="minor"/>
      </rPr>
      <t>Fe²⁺</t>
    </r>
    <r>
      <rPr>
        <sz val="11"/>
        <color theme="1"/>
        <rFont val="Calibri"/>
        <family val="2"/>
        <scheme val="minor"/>
      </rPr>
      <t xml:space="preserve"> + RIIIC</t>
    </r>
    <r>
      <rPr>
        <vertAlign val="subscript"/>
        <sz val="11"/>
        <color theme="1"/>
        <rFont val="Calibri"/>
        <family val="2"/>
        <scheme val="minor"/>
      </rPr>
      <t>Fe³⁺</t>
    </r>
  </si>
  <si>
    <t>Additive:</t>
  </si>
  <si>
    <t>SBGx:</t>
  </si>
  <si>
    <t>Total each</t>
  </si>
  <si>
    <t>Fe²⁺ : Fe³⁺ ratio</t>
  </si>
  <si>
    <t>Moisture [%]</t>
  </si>
  <si>
    <t>Oxidation state</t>
  </si>
  <si>
    <t>IUPAC name</t>
  </si>
  <si>
    <r>
      <rPr>
        <b/>
        <sz val="11"/>
        <color theme="1"/>
        <rFont val="Calibri"/>
        <family val="2"/>
        <scheme val="minor"/>
      </rPr>
      <t>Section A)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RIIC Calculator</t>
    </r>
    <r>
      <rPr>
        <sz val="11"/>
        <color theme="1"/>
        <rFont val="Calibri"/>
        <family val="2"/>
        <scheme val="minor"/>
      </rPr>
      <t>, where you can fill in your additive's iron compounds' contents and moisture.</t>
    </r>
  </si>
  <si>
    <r>
      <rPr>
        <b/>
        <sz val="11"/>
        <color theme="1"/>
        <rFont val="Calibri"/>
        <family val="2"/>
        <scheme val="minor"/>
      </rPr>
      <t>Section C)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Dosage Calculator</t>
    </r>
    <r>
      <rPr>
        <sz val="11"/>
        <color theme="1"/>
        <rFont val="Calibri"/>
        <family val="2"/>
        <scheme val="minor"/>
      </rPr>
      <t xml:space="preserve"> where you can establish your biogas reactor's required</t>
    </r>
  </si>
  <si>
    <t>Ferric Oxide Trihydrate</t>
  </si>
  <si>
    <r>
      <t>Fe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·3H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</si>
  <si>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Fe₂O₃·3H₂O</t>
  </si>
  <si>
    <t>kg/day</t>
  </si>
  <si>
    <t>Mass</t>
  </si>
  <si>
    <t>Kilogram [kg]</t>
  </si>
  <si>
    <t>1 Pound [lb] =</t>
  </si>
  <si>
    <t>1 Imp ton [t] =</t>
  </si>
  <si>
    <t>1 US ton [t] =</t>
  </si>
  <si>
    <t>Volume</t>
  </si>
  <si>
    <t>Litre [l]</t>
  </si>
  <si>
    <t>1 Imp gallon [gal] =</t>
  </si>
  <si>
    <t>Conversion factors</t>
  </si>
  <si>
    <t>Imperial/US</t>
  </si>
  <si>
    <t>Metric</t>
  </si>
  <si>
    <t>/metric ton</t>
  </si>
  <si>
    <t>kg/litre</t>
  </si>
  <si>
    <t>Density in kg/l</t>
  </si>
  <si>
    <t>Dosage in kg/day</t>
  </si>
  <si>
    <t>Input value for dosage</t>
  </si>
  <si>
    <t>Input value for density</t>
  </si>
  <si>
    <t>Input value for price</t>
  </si>
  <si>
    <t>Caution: There could be rows hidden</t>
  </si>
  <si>
    <t>Price per metric ton</t>
  </si>
  <si>
    <t>Input price comparison</t>
  </si>
  <si>
    <t>daily</t>
  </si>
  <si>
    <t>weekly</t>
  </si>
  <si>
    <t>monthly</t>
  </si>
  <si>
    <t>Calculation</t>
  </si>
  <si>
    <t>yearly</t>
  </si>
  <si>
    <t>liq</t>
  </si>
  <si>
    <t>input timeframe</t>
  </si>
  <si>
    <t>adjective</t>
  </si>
  <si>
    <t>Additive cost savings per</t>
  </si>
  <si>
    <t>SBGx short</t>
  </si>
  <si>
    <t>SBGx long</t>
  </si>
  <si>
    <t>RIIR [Fe²⁺ : Fe³⁺], Reactive Iron Ion Ratio</t>
  </si>
  <si>
    <r>
      <t>Content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A</t>
    </r>
    <r>
      <rPr>
        <b/>
        <i/>
        <sz val="11"/>
        <color theme="1"/>
        <rFont val="Calibri"/>
        <family val="2"/>
        <scheme val="minor"/>
      </rPr>
      <t xml:space="preserve"> [%]</t>
    </r>
  </si>
  <si>
    <r>
      <rPr>
        <b/>
        <sz val="11"/>
        <color theme="1"/>
        <rFont val="Calibri"/>
        <family val="2"/>
        <scheme val="minor"/>
      </rPr>
      <t>Section B)</t>
    </r>
    <r>
      <rPr>
        <sz val="11"/>
        <color theme="1"/>
        <rFont val="Calibri"/>
        <family val="2"/>
        <scheme val="minor"/>
      </rPr>
      <t xml:space="preserve"> contains our </t>
    </r>
    <r>
      <rPr>
        <b/>
        <i/>
        <sz val="11"/>
        <color theme="1"/>
        <rFont val="Calibri"/>
        <family val="2"/>
        <scheme val="minor"/>
      </rPr>
      <t>Additive Dosage and Cost Comparing</t>
    </r>
    <r>
      <rPr>
        <sz val="11"/>
        <color theme="1"/>
        <rFont val="Calibri"/>
        <family val="2"/>
        <scheme val="minor"/>
      </rPr>
      <t xml:space="preserve"> tool, which uses the data you already entered in section A).</t>
    </r>
  </si>
  <si>
    <t>In section B) you can additionally fill in the values for your additive's actual dosage and price, and see what they would look like,</t>
  </si>
  <si>
    <r>
      <rPr>
        <i/>
        <sz val="11"/>
        <color theme="1"/>
        <rFont val="Calibri"/>
        <family val="2"/>
        <scheme val="minor"/>
      </rPr>
      <t>Reactive Iron Ion Mass (RIIM)</t>
    </r>
    <r>
      <rPr>
        <sz val="11"/>
        <color theme="1"/>
        <rFont val="Calibri"/>
        <family val="2"/>
        <scheme val="minor"/>
      </rPr>
      <t xml:space="preserve"> to successfully desulphurise its biogas. Based on the data already entered in section A), the calculator</t>
    </r>
  </si>
  <si>
    <t>will then provide you with the optimal dosage for your additive and compare it with the equivalent dosage for the SBGx additive.</t>
  </si>
  <si>
    <t>Kilogram [kg/day]</t>
  </si>
  <si>
    <t>Metric ton (Tonne) [t/day]</t>
  </si>
  <si>
    <t>Litre [l/day]</t>
  </si>
  <si>
    <t>Pound [lb/day]</t>
  </si>
  <si>
    <t>Day</t>
  </si>
  <si>
    <t>Week</t>
  </si>
  <si>
    <t>Month</t>
  </si>
  <si>
    <t>Year</t>
  </si>
  <si>
    <t>Kilogram per litre [kg/l]</t>
  </si>
  <si>
    <t>Pound per US gallon [lb/gal]</t>
  </si>
  <si>
    <t>Kilogram [/kg]</t>
  </si>
  <si>
    <t>Metric ton (Tonne) [/t]</t>
  </si>
  <si>
    <t>Litre [/l]</t>
  </si>
  <si>
    <t>Pound [/lb]</t>
  </si>
  <si>
    <t>sys</t>
  </si>
  <si>
    <t>si</t>
  </si>
  <si>
    <t>uk/us</t>
  </si>
  <si>
    <t>United States customary units</t>
  </si>
  <si>
    <t>Preselection</t>
  </si>
  <si>
    <t>SI</t>
  </si>
  <si>
    <t>Imperial</t>
  </si>
  <si>
    <t>US</t>
  </si>
  <si>
    <t>US short ton [t/day]</t>
  </si>
  <si>
    <t>US short ton [/t]</t>
  </si>
  <si>
    <t>Imperial ton [/t]</t>
  </si>
  <si>
    <t>Imperial gallon [/gal]</t>
  </si>
  <si>
    <t>Pound per Imperial gallon [lb/gal]</t>
  </si>
  <si>
    <t>Imperial ton [t/day]</t>
  </si>
  <si>
    <t>Imperial gallon [gal/day]</t>
  </si>
  <si>
    <r>
      <t xml:space="preserve">                                 </t>
    </r>
    <r>
      <rPr>
        <b/>
        <sz val="11"/>
        <color theme="1"/>
        <rFont val="Calibri"/>
        <family val="2"/>
        <scheme val="minor"/>
      </rPr>
      <t>&lt;Click here&gt;</t>
    </r>
    <r>
      <rPr>
        <sz val="11"/>
        <color theme="1"/>
        <rFont val="Calibri"/>
        <family val="2"/>
        <scheme val="minor"/>
      </rPr>
      <t xml:space="preserve"> to select your system of measurement units</t>
    </r>
  </si>
  <si>
    <t>British Imperial system of units</t>
  </si>
  <si>
    <r>
      <t>Content</t>
    </r>
    <r>
      <rPr>
        <b/>
        <i/>
        <vertAlign val="superscript"/>
        <sz val="11"/>
        <color theme="1"/>
        <rFont val="Calibri"/>
        <family val="2"/>
        <scheme val="minor"/>
      </rPr>
      <t xml:space="preserve"> B</t>
    </r>
    <r>
      <rPr>
        <b/>
        <i/>
        <sz val="11"/>
        <color theme="1"/>
        <rFont val="Calibri"/>
        <family val="2"/>
        <scheme val="minor"/>
      </rPr>
      <t xml:space="preserve"> [%]</t>
    </r>
  </si>
  <si>
    <t>Calculation according Formula Gl. A1-10, p. 109</t>
  </si>
  <si>
    <r>
      <t xml:space="preserve">     = Concentration of dissolved sulphur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S(aq-ges) in substrate [g/m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</si>
  <si>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Your_De-Sulph</t>
  </si>
  <si>
    <t>1 US gallon [gal] =</t>
  </si>
  <si>
    <t>US gallon [gal/day]</t>
  </si>
  <si>
    <t>US gallon [/gal]</t>
  </si>
  <si>
    <t>Moisture [%]
@ 105 °C</t>
  </si>
  <si>
    <r>
      <t xml:space="preserve">Your additive's name </t>
    </r>
    <r>
      <rPr>
        <sz val="11"/>
        <color theme="1"/>
        <rFont val="Calibri"/>
        <family val="2"/>
        <scheme val="minor"/>
      </rPr>
      <t>(optional)</t>
    </r>
    <r>
      <rPr>
        <b/>
        <sz val="11"/>
        <color theme="1"/>
        <rFont val="Calibri"/>
        <family val="2"/>
        <scheme val="minor"/>
      </rPr>
      <t>:</t>
    </r>
  </si>
  <si>
    <t>Anaerobe Abwasserreinigung – Ein Modell zur Berechnung und Darstellung der maßgebenden chemischen Parameter</t>
  </si>
  <si>
    <t>Feᴺ⁺ ratio value</t>
  </si>
  <si>
    <r>
      <t>fH₂S(aq) = (1 + Ks1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+ Ks1 * Ks2 / 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^ 2) ^ -1</t>
    </r>
  </si>
  <si>
    <r>
      <t>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= molecular mass of hydrogen sulfide [g/mol]</t>
    </r>
  </si>
  <si>
    <t>see https://en.wikipedia.org/wiki/Hydrogen_sulfide</t>
  </si>
  <si>
    <t>see: https://teesing.com/en/library/tools/ppm-mg3-converter</t>
  </si>
  <si>
    <r>
      <t>cc(mg/m</t>
    </r>
    <r>
      <rPr>
        <sz val="11"/>
        <color theme="1"/>
        <rFont val="Calibri"/>
        <family val="2"/>
      </rPr>
      <t xml:space="preserve">³, ppm) = </t>
    </r>
    <r>
      <rPr>
        <sz val="11"/>
        <color theme="1"/>
        <rFont val="Calibri"/>
        <family val="2"/>
        <scheme val="minor"/>
      </rPr>
      <t>Conversion constant mg/m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ppm</t>
    </r>
  </si>
  <si>
    <r>
      <t xml:space="preserve">Formeln S. 108 nicht korrekt: Gl A1-2, Gl A1-3. Die korrekten Formeln für </t>
    </r>
    <r>
      <rPr>
        <b/>
        <sz val="11"/>
        <color theme="1"/>
        <rFont val="Calibri"/>
        <family val="2"/>
        <scheme val="minor"/>
      </rPr>
      <t>fHS⁻</t>
    </r>
    <r>
      <rPr>
        <sz val="11"/>
        <color theme="1"/>
        <rFont val="Calibri"/>
        <family val="2"/>
        <scheme val="minor"/>
      </rPr>
      <t xml:space="preserve"> und </t>
    </r>
    <r>
      <rPr>
        <b/>
        <sz val="11"/>
        <color theme="1"/>
        <rFont val="Calibri"/>
        <family val="2"/>
        <scheme val="minor"/>
      </rPr>
      <t>fS²⁻</t>
    </r>
    <r>
      <rPr>
        <sz val="11"/>
        <color theme="1"/>
        <rFont val="Calibri"/>
        <family val="2"/>
        <scheme val="minor"/>
      </rPr>
      <t xml:space="preserve"> können hier gefunden werden, Seite 33:</t>
    </r>
  </si>
  <si>
    <t xml:space="preserve">Total sulphur contained in biogas reactor per day [g/day] (β = 1) </t>
  </si>
  <si>
    <t>Total M(H2S(gas)) per day [g/day]</t>
  </si>
  <si>
    <r>
      <t xml:space="preserve">     = β * M</t>
    </r>
    <r>
      <rPr>
        <vertAlign val="subscript"/>
        <sz val="11"/>
        <rFont val="Calibri"/>
        <family val="2"/>
        <scheme val="minor"/>
      </rPr>
      <t>Fe</t>
    </r>
    <r>
      <rPr>
        <sz val="11"/>
        <rFont val="Calibri"/>
        <family val="2"/>
        <scheme val="minor"/>
      </rPr>
      <t xml:space="preserve"> / </t>
    </r>
    <r>
      <rPr>
        <vertAlign val="subscript"/>
        <sz val="11"/>
        <rFont val="Calibri"/>
        <family val="2"/>
        <scheme val="minor"/>
      </rPr>
      <t>MH2S</t>
    </r>
    <r>
      <rPr>
        <sz val="11"/>
        <rFont val="Calibri"/>
        <family val="2"/>
        <scheme val="minor"/>
      </rPr>
      <t xml:space="preserve"> * (H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S(aq-ges) * V</t>
    </r>
    <r>
      <rPr>
        <vertAlign val="subscript"/>
        <sz val="11"/>
        <rFont val="Calibri"/>
        <family val="2"/>
        <scheme val="minor"/>
      </rPr>
      <t>Substrate</t>
    </r>
    <r>
      <rPr>
        <sz val="11"/>
        <rFont val="Calibri"/>
        <family val="2"/>
        <scheme val="minor"/>
      </rPr>
      <t xml:space="preserve"> + ΔH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S(g) / 1000 / cc(mg/m³, ppm) * M</t>
    </r>
    <r>
      <rPr>
        <vertAlign val="subscript"/>
        <sz val="11"/>
        <rFont val="Calibri"/>
        <family val="2"/>
        <scheme val="minor"/>
      </rPr>
      <t>H2S</t>
    </r>
    <r>
      <rPr>
        <sz val="11"/>
        <rFont val="Calibri"/>
        <family val="2"/>
        <scheme val="minor"/>
      </rPr>
      <t xml:space="preserve"> * V</t>
    </r>
    <r>
      <rPr>
        <vertAlign val="subscript"/>
        <sz val="11"/>
        <rFont val="Calibri"/>
        <family val="2"/>
        <scheme val="minor"/>
      </rPr>
      <t>Biogas</t>
    </r>
    <r>
      <rPr>
        <sz val="11"/>
        <rFont val="Calibri"/>
        <family val="2"/>
        <scheme val="minor"/>
      </rPr>
      <t>)     (See formula A2)</t>
    </r>
  </si>
  <si>
    <t>Calculation only with M(H2S(gas)) in Biogas</t>
  </si>
  <si>
    <r>
      <t>Fe = iron ions  (β * MFe /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M(H2S(gas)) [g/day]</t>
    </r>
  </si>
  <si>
    <r>
      <t xml:space="preserve">fHS⁻ = Ks1 / H⁺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 </t>
    </r>
    <r>
      <rPr>
        <b/>
        <sz val="11"/>
        <color rgb="FFFF0000"/>
        <rFont val="Calibri"/>
        <family val="2"/>
        <scheme val="minor"/>
      </rPr>
      <t>is wrong</t>
    </r>
    <r>
      <rPr>
        <sz val="11"/>
        <color theme="1"/>
        <rFont val="Calibri"/>
        <family val="2"/>
        <scheme val="minor"/>
      </rPr>
      <t xml:space="preserve">; Correct formula: </t>
    </r>
    <r>
      <rPr>
        <sz val="11"/>
        <color rgb="FF0070C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HS⁻ = Ks1 / H⁺ * </t>
    </r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</si>
  <si>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 xml:space="preserve">fS²⁻ = Ks1 * Ks2 / (H⁺)² * </t>
    </r>
    <r>
      <rPr>
        <b/>
        <sz val="11"/>
        <color theme="1"/>
        <rFont val="Calibri"/>
        <family val="2"/>
        <scheme val="minor"/>
      </rPr>
      <t>H₂S(aq)</t>
    </r>
    <r>
      <rPr>
        <sz val="11"/>
        <color theme="1"/>
        <rFont val="Calibri"/>
        <family val="2"/>
        <scheme val="minor"/>
      </rPr>
      <t xml:space="preserve"> Formula </t>
    </r>
    <r>
      <rPr>
        <b/>
        <sz val="11"/>
        <color rgb="FFFF0000"/>
        <rFont val="Calibri"/>
        <family val="2"/>
        <scheme val="minor"/>
      </rPr>
      <t>is wrong</t>
    </r>
    <r>
      <rPr>
        <sz val="11"/>
        <color theme="1"/>
        <rFont val="Calibri"/>
        <family val="2"/>
        <scheme val="minor"/>
      </rPr>
      <t xml:space="preserve">: fS²⁻ =  Ks1 * Ks2 / (H⁺)² * </t>
    </r>
    <r>
      <rPr>
        <b/>
        <sz val="11"/>
        <color rgb="FFFF0000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H₂S(aq)</t>
    </r>
  </si>
  <si>
    <r>
      <t>Mass(H₂S(gas)) = H₂S / 1000 / 24.45 * MH₂S * V</t>
    </r>
    <r>
      <rPr>
        <b/>
        <vertAlign val="subscript"/>
        <sz val="11"/>
        <color theme="1"/>
        <rFont val="Calibri"/>
        <family val="2"/>
        <scheme val="minor"/>
      </rPr>
      <t>Biogas</t>
    </r>
    <r>
      <rPr>
        <b/>
        <sz val="11"/>
        <color theme="1"/>
        <rFont val="Calibri"/>
        <family val="2"/>
        <scheme val="minor"/>
      </rPr>
      <t xml:space="preserve"> [g/day]</t>
    </r>
  </si>
  <si>
    <r>
      <t>Mass(H₂S(ag-ges)) = H₂S(aq-ges) * V</t>
    </r>
    <r>
      <rPr>
        <b/>
        <vertAlign val="subscript"/>
        <sz val="11"/>
        <color theme="1"/>
        <rFont val="Calibri"/>
        <family val="2"/>
        <scheme val="minor"/>
      </rPr>
      <t>Substrate</t>
    </r>
    <r>
      <rPr>
        <b/>
        <sz val="11"/>
        <color theme="1"/>
        <rFont val="Calibri"/>
        <family val="2"/>
        <scheme val="minor"/>
      </rPr>
      <t xml:space="preserve"> [g/day]</t>
    </r>
  </si>
  <si>
    <t>concentration [ppm] = 24.45 x concentration [mg/m3] ÷ molecular weight</t>
  </si>
  <si>
    <t>Selection concentration units</t>
  </si>
  <si>
    <t>[mg/m³]</t>
  </si>
  <si>
    <t>[ppm]</t>
  </si>
  <si>
    <t xml:space="preserve"> </t>
  </si>
  <si>
    <t>Daily required additive dosage in [kg/day]</t>
  </si>
  <si>
    <t>[kg/l]</t>
  </si>
  <si>
    <t>[lb/gal]</t>
  </si>
  <si>
    <t>liquid_dens</t>
  </si>
  <si>
    <t>Daily additive dosage in</t>
  </si>
  <si>
    <r>
      <t>Price</t>
    </r>
    <r>
      <rPr>
        <sz val="11"/>
        <color theme="1"/>
        <rFont val="Calibri"/>
        <family val="2"/>
        <scheme val="minor"/>
      </rPr>
      <t xml:space="preserve"> of your additive per</t>
    </r>
  </si>
  <si>
    <t>Daily costs for the use of the additives [/day]</t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</si>
  <si>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Content of the iron compound in dry matter (DM); At least one of the yellow cells must contain a value greater than 0</t>
    </r>
  </si>
  <si>
    <r>
      <rPr>
        <vertAlign val="superscript"/>
        <sz val="9"/>
        <color theme="1"/>
        <rFont val="Calibri"/>
        <family val="2"/>
        <scheme val="minor"/>
      </rPr>
      <t>B</t>
    </r>
    <r>
      <rPr>
        <sz val="9"/>
        <color theme="1"/>
        <rFont val="Calibri"/>
        <family val="2"/>
        <scheme val="minor"/>
      </rPr>
      <t xml:space="preserve"> Data according to analysis in Nov. 2021</t>
    </r>
  </si>
  <si>
    <t>→</t>
  </si>
  <si>
    <t>←</t>
  </si>
  <si>
    <t>↔</t>
  </si>
  <si>
    <t>Volume of daily added substrate x Total content of sulfide in the reactor liquid in [g/day]</t>
  </si>
  <si>
    <t>Daily additive dosage for your reactor in [kg/day]</t>
  </si>
  <si>
    <t>Mass of hydrogen sulfide contained in the biogas in [g/day]</t>
  </si>
  <si>
    <t>◦  Temperature of reactor liquid in [°C]</t>
  </si>
  <si>
    <t>◦  Acidity (pH) of reactor liquid</t>
  </si>
  <si>
    <r>
      <rPr>
        <b/>
        <sz val="11"/>
        <color theme="1" tint="0.34998626667073579"/>
        <rFont val="Calibri"/>
        <family val="2"/>
        <scheme val="minor"/>
      </rPr>
      <t>&lt;Click here&gt;</t>
    </r>
    <r>
      <rPr>
        <sz val="11"/>
        <color theme="1" tint="0.34998626667073579"/>
        <rFont val="Calibri"/>
        <family val="2"/>
        <scheme val="minor"/>
      </rPr>
      <t xml:space="preserve"> to select your system</t>
    </r>
  </si>
  <si>
    <r>
      <t>&lt;Click here&gt;</t>
    </r>
    <r>
      <rPr>
        <sz val="11"/>
        <color theme="1" tint="0.34998626667073579"/>
        <rFont val="Calibri"/>
        <family val="2"/>
        <scheme val="minor"/>
      </rPr>
      <t xml:space="preserve"> to select your unit</t>
    </r>
  </si>
  <si>
    <t>RIIM * β [g/d]</t>
  </si>
  <si>
    <r>
      <t xml:space="preserve">RIIM =  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Fe</t>
    </r>
    <r>
      <rPr>
        <sz val="11"/>
        <color theme="1"/>
        <rFont val="Calibri"/>
        <family val="2"/>
        <scheme val="minor"/>
      </rPr>
      <t xml:space="preserve"> /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(H2S(aq-ges) * V</t>
    </r>
    <r>
      <rPr>
        <vertAlign val="subscript"/>
        <sz val="11"/>
        <color theme="1"/>
        <rFont val="Calibri"/>
        <family val="2"/>
        <scheme val="minor"/>
      </rPr>
      <t>Substrate</t>
    </r>
    <r>
      <rPr>
        <sz val="11"/>
        <color theme="1"/>
        <rFont val="Calibri"/>
        <family val="2"/>
        <scheme val="minor"/>
      </rPr>
      <t xml:space="preserve"> + ΔH2S(g) / 1000 / cc * M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* V</t>
    </r>
    <r>
      <rPr>
        <vertAlign val="subscript"/>
        <sz val="11"/>
        <color theme="1"/>
        <rFont val="Calibri"/>
        <family val="2"/>
        <scheme val="minor"/>
      </rPr>
      <t>Biogas</t>
    </r>
    <r>
      <rPr>
        <sz val="11"/>
        <color theme="1"/>
        <rFont val="Calibri"/>
        <family val="2"/>
        <scheme val="minor"/>
      </rPr>
      <t>) [g/day]</t>
    </r>
  </si>
  <si>
    <r>
      <rPr>
        <vertAlign val="super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Factor β &gt; 1 recommended, as a high iron ion content also uses up ions for the precipitation of phosphates and carbonates.</t>
    </r>
  </si>
  <si>
    <t>optional</t>
  </si>
  <si>
    <t>•  It also means, that mass and volume of the additive are potentially smaller → Lower costs for transport and storage</t>
  </si>
  <si>
    <t>Conclusion:</t>
  </si>
  <si>
    <r>
      <t xml:space="preserve">To learn more about the </t>
    </r>
    <r>
      <rPr>
        <i/>
        <sz val="11"/>
        <color theme="1"/>
        <rFont val="Calibri"/>
        <family val="2"/>
        <scheme val="minor"/>
      </rPr>
      <t>metric RIIC</t>
    </r>
    <r>
      <rPr>
        <sz val="11"/>
        <color theme="1"/>
        <rFont val="Calibri"/>
        <family val="2"/>
        <scheme val="minor"/>
      </rPr>
      <t xml:space="preserve"> we would like to refer you to our web page at SwissBiogas.com, section </t>
    </r>
    <r>
      <rPr>
        <i/>
        <sz val="11"/>
        <color theme="1"/>
        <rFont val="Calibri"/>
        <family val="2"/>
        <scheme val="minor"/>
      </rPr>
      <t>Introduction of the</t>
    </r>
  </si>
  <si>
    <t>Reactive Iron Ion Content (RIIC).</t>
  </si>
  <si>
    <r>
      <t>β</t>
    </r>
    <r>
      <rPr>
        <vertAlign val="superscript"/>
        <sz val="11"/>
        <color theme="1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>: Overdose factor for the additive dosage, empirical value.    Ries: 1.7 ≤ β ≤ 2.3    Oechsner: 3 ≤ β ≤ 5</t>
    </r>
  </si>
  <si>
    <t>Your System of measurement:</t>
  </si>
  <si>
    <t>M ton [t]</t>
  </si>
  <si>
    <t xml:space="preserve"> Kilogram [kg]</t>
  </si>
  <si>
    <t>Pound [lb]</t>
  </si>
  <si>
    <t>Imperial ton [t]</t>
  </si>
  <si>
    <t>US short ton [t]</t>
  </si>
  <si>
    <t xml:space="preserve"> Litre [l]</t>
  </si>
  <si>
    <t>US gallon [gal]</t>
  </si>
  <si>
    <r>
      <t xml:space="preserve">Unit converter: </t>
    </r>
    <r>
      <rPr>
        <i/>
        <sz val="11"/>
        <color theme="1"/>
        <rFont val="Calibri"/>
        <family val="2"/>
        <scheme val="minor"/>
      </rPr>
      <t>H₂S(gas) content</t>
    </r>
  </si>
  <si>
    <r>
      <t xml:space="preserve">Unit converter: </t>
    </r>
    <r>
      <rPr>
        <i/>
        <sz val="11"/>
        <color theme="1"/>
        <rFont val="Calibri"/>
        <family val="2"/>
        <scheme val="minor"/>
      </rPr>
      <t>Density</t>
    </r>
  </si>
  <si>
    <r>
      <t xml:space="preserve">Unit converter: </t>
    </r>
    <r>
      <rPr>
        <i/>
        <sz val="11"/>
        <color theme="1"/>
        <rFont val="Calibri"/>
        <family val="2"/>
        <scheme val="minor"/>
      </rPr>
      <t>Mass</t>
    </r>
  </si>
  <si>
    <t>Unit converter: Volume</t>
  </si>
  <si>
    <r>
      <t>[ppm] = [mg/m³] * 24.45 / M</t>
    </r>
    <r>
      <rPr>
        <vertAlign val="subscript"/>
        <sz val="11"/>
        <color theme="1"/>
        <rFont val="Calibri"/>
        <family val="2"/>
        <scheme val="minor"/>
      </rPr>
      <t>H₂S</t>
    </r>
  </si>
  <si>
    <r>
      <t>M</t>
    </r>
    <r>
      <rPr>
        <vertAlign val="subscript"/>
        <sz val="11"/>
        <color theme="1"/>
        <rFont val="Calibri"/>
        <family val="2"/>
        <scheme val="minor"/>
      </rPr>
      <t>H₂S</t>
    </r>
    <r>
      <rPr>
        <sz val="11"/>
        <color theme="1"/>
        <rFont val="Calibri"/>
        <family val="2"/>
        <scheme val="minor"/>
      </rPr>
      <t xml:space="preserve"> = Molar mass H₂S = 34.08 g/mol</t>
    </r>
  </si>
  <si>
    <t>Alternative</t>
  </si>
  <si>
    <r>
      <t>[ppm] = [mg/m³] / ρ</t>
    </r>
    <r>
      <rPr>
        <vertAlign val="subscript"/>
        <sz val="11"/>
        <color theme="1"/>
        <rFont val="Calibri"/>
        <family val="2"/>
        <scheme val="minor"/>
      </rPr>
      <t>H₂S</t>
    </r>
  </si>
  <si>
    <t>Remark</t>
  </si>
  <si>
    <t>Additive dosage calculator information</t>
  </si>
  <si>
    <t>Basis:</t>
  </si>
  <si>
    <t>Abschlussbericht der Technischen Universität Dresden, Fakultät Maschinenbau, Institut für Verfahrenstechnik, Lehrstuhl für Thermische Verfahrenstechnik und Umwelttechnik.</t>
  </si>
  <si>
    <t>Source in German:</t>
  </si>
  <si>
    <t>https://tu-dresden.de/ing/maschinenwesen/ifvu/ressourcen/dateien/tvu/forschungsprojekte/forschung_alt/entschwefelungsverfahren/bge_in_landw_anlagen.pdf?lang=en</t>
  </si>
  <si>
    <t>[1] Polster &amp; Brummack (2006): Page 26</t>
  </si>
  <si>
    <t>[1] Polster &amp; Brummack (2006): Page 109</t>
  </si>
  <si>
    <t>https://teesing.com/en/library/tools/ppm-mg3-converter</t>
  </si>
  <si>
    <r>
      <rPr>
        <sz val="11"/>
        <rFont val="Calibri"/>
        <family val="2"/>
        <scheme val="minor"/>
      </rPr>
      <t xml:space="preserve">Source: </t>
    </r>
    <r>
      <rPr>
        <u/>
        <sz val="11"/>
        <color rgb="FF0000EE"/>
        <rFont val="Calibri"/>
        <family val="2"/>
        <scheme val="minor"/>
      </rPr>
      <t>https://swissbiogas.com/</t>
    </r>
    <r>
      <rPr>
        <sz val="11"/>
        <rFont val="Calibri"/>
        <family val="2"/>
        <scheme val="minor"/>
      </rPr>
      <t xml:space="preserve"> Resources - Download Area: </t>
    </r>
    <r>
      <rPr>
        <i/>
        <sz val="11"/>
        <rFont val="Calibri"/>
        <family val="2"/>
        <scheme val="minor"/>
      </rPr>
      <t>RIIC_calculator_web</t>
    </r>
  </si>
  <si>
    <t>https://en.wikipedia.org/wiki/Gallon</t>
  </si>
  <si>
    <t>https://en.wikipedia.org/wiki/Ton</t>
  </si>
  <si>
    <t>https://en.wikipedia.org/wiki/Hydrogen_sulfide</t>
  </si>
  <si>
    <t>1 US short ton [t] =</t>
  </si>
  <si>
    <t>Ries, T. (1993): Reduzierung der Schwefelwasserstoffbildung im Faulraum durch Zugabe von Eisenchlorid. Schriftenreihe der Siedlungswasserwirtschaft Bochum, Nr. 25.</t>
  </si>
  <si>
    <t>Ries: 1.7 ≤ β ≤ 2.3</t>
  </si>
  <si>
    <t>Oechsner: 3 ≤ β ≤ 5</t>
  </si>
  <si>
    <t>Oechsner, H. (2000): Biogas in Blockheizkraftwerken. Landesanstalt für Landwirtschaftliches Maschinen- und Bauwesen der Universität Hohenheim, Stuttgart-Hohenheim.</t>
  </si>
  <si>
    <r>
      <t>ρ</t>
    </r>
    <r>
      <rPr>
        <vertAlign val="subscript"/>
        <sz val="11"/>
        <color theme="1"/>
        <rFont val="Calibri"/>
        <family val="2"/>
        <scheme val="minor"/>
      </rPr>
      <t>H2S</t>
    </r>
    <r>
      <rPr>
        <sz val="11"/>
        <color theme="1"/>
        <rFont val="Calibri"/>
        <family val="2"/>
        <scheme val="minor"/>
      </rPr>
      <t xml:space="preserve"> = Density H₂S = 1.363 g/l</t>
    </r>
  </si>
  <si>
    <t>Result A:</t>
  </si>
  <si>
    <t>Result B:</t>
  </si>
  <si>
    <t>Calculating your biogas reactor's daily required additive dosage</t>
  </si>
  <si>
    <t>For more technical details see sheet "Tools - Info"</t>
  </si>
  <si>
    <r>
      <t xml:space="preserve">Supported systems  of measurement:  </t>
    </r>
    <r>
      <rPr>
        <i/>
        <sz val="11"/>
        <color theme="1"/>
        <rFont val="Calibri"/>
        <family val="2"/>
        <scheme val="minor"/>
      </rPr>
      <t>International system of units (SI)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British Imperial system of units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United States customary units</t>
    </r>
  </si>
  <si>
    <t>My_Fe(OH)₃_Additive</t>
  </si>
  <si>
    <t>My_FeCl₃_Additive</t>
  </si>
  <si>
    <t>My_FeO(OH)_Additive</t>
  </si>
  <si>
    <t>International System of units (SI)</t>
  </si>
  <si>
    <t>◦  Total sulfide content (S²⁻ + HS⁻ + H₂S) in reactor liquid in [g/m³]</t>
  </si>
  <si>
    <t>See below</t>
  </si>
  <si>
    <t>= Total mass requirement of calculated Reactive Iron Ions (= RIIM) [g/day]</t>
  </si>
  <si>
    <r>
      <t>M</t>
    </r>
    <r>
      <rPr>
        <vertAlign val="subscript"/>
        <sz val="11"/>
        <color theme="1"/>
        <rFont val="Calibri"/>
        <family val="2"/>
        <scheme val="minor"/>
      </rPr>
      <t>Fe</t>
    </r>
  </si>
  <si>
    <t>= Molar mass iron (55.845 g/mol)</t>
  </si>
  <si>
    <t>= Molar mass hydrogen sulfide (34.08 g/mol)</t>
  </si>
  <si>
    <t>β</t>
  </si>
  <si>
    <t>H₂S(aq)</t>
  </si>
  <si>
    <t>= H₂S content dissolved in liquid [g/m³]</t>
  </si>
  <si>
    <t>fH₂S(aq)</t>
  </si>
  <si>
    <t xml:space="preserve">    → H₂S(aq-ges) = H₂S(aq) / fH₂S(aq) [g/m³]</t>
  </si>
  <si>
    <t>ΔH₂S(g)</t>
  </si>
  <si>
    <t>= H₂S content in biogas [ppm]</t>
  </si>
  <si>
    <t>= Daily added substrate volume [m³/day]</t>
  </si>
  <si>
    <t>= Daily produced biogas volume [m³/day]</t>
  </si>
  <si>
    <r>
      <t>V</t>
    </r>
    <r>
      <rPr>
        <vertAlign val="subscript"/>
        <sz val="11"/>
        <color theme="1"/>
        <rFont val="Calibri"/>
        <family val="2"/>
        <scheme val="minor"/>
      </rPr>
      <t>Substrate</t>
    </r>
  </si>
  <si>
    <r>
      <t>V</t>
    </r>
    <r>
      <rPr>
        <vertAlign val="subscript"/>
        <sz val="11"/>
        <color theme="1"/>
        <rFont val="Calibri"/>
        <family val="2"/>
        <scheme val="minor"/>
      </rPr>
      <t>Biogas</t>
    </r>
  </si>
  <si>
    <r>
      <t>M</t>
    </r>
    <r>
      <rPr>
        <vertAlign val="subscript"/>
        <sz val="11"/>
        <color theme="1"/>
        <rFont val="Calibri"/>
        <family val="2"/>
        <scheme val="minor"/>
      </rPr>
      <t>H₂S</t>
    </r>
  </si>
  <si>
    <r>
      <t>= H₂S(aq) percentage of total sulphur content (H₂S(aq-ges) = S</t>
    </r>
    <r>
      <rPr>
        <sz val="11"/>
        <color theme="1"/>
        <rFont val="Calibri"/>
        <family val="2"/>
      </rPr>
      <t>²⁻</t>
    </r>
    <r>
      <rPr>
        <sz val="11"/>
        <color theme="1"/>
        <rFont val="Calibri"/>
        <family val="2"/>
        <scheme val="minor"/>
      </rPr>
      <t xml:space="preserve"> + HS⁻ + H₂S(aq)) dissolved in liquid [%]</t>
    </r>
  </si>
  <si>
    <t>Original formula:</t>
  </si>
  <si>
    <t>Formula modified and used by SwissBiogas.com:</t>
  </si>
  <si>
    <t>Basis formula used to calculate H₂S(aq-ges):</t>
  </si>
  <si>
    <t>Overdose factor β:</t>
  </si>
  <si>
    <t>Formula used for the quick standard calculation:</t>
  </si>
  <si>
    <r>
      <t>◦  Volume of d</t>
    </r>
    <r>
      <rPr>
        <sz val="11"/>
        <color theme="1"/>
        <rFont val="Calibri"/>
        <family val="2"/>
        <scheme val="minor"/>
      </rPr>
      <t>aily added substrate in [m³/day]</t>
    </r>
  </si>
  <si>
    <t>Converters</t>
  </si>
  <si>
    <t>Cubic metre [m³]</t>
  </si>
  <si>
    <t>Selection volume units</t>
  </si>
  <si>
    <t>[m³/day]</t>
  </si>
  <si>
    <t>[Imp gal/day]</t>
  </si>
  <si>
    <t>[US gal/day]</t>
  </si>
  <si>
    <t>[lb/Imp gal]</t>
  </si>
  <si>
    <t>[lb/US gal]</t>
  </si>
  <si>
    <t>Imp gallon [gal]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</si>
</sst>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&quot;.&quot;mm&quot;.&quot;yyyy"/>
    <numFmt numFmtId="165" formatCode="0.0"/>
    <numFmt numFmtId="166" formatCode="#,##0.0"/>
    <numFmt numFmtId="167" formatCode="#,##0.000"/>
  </numFmts>
  <fonts count="99">
    <font>
      <sz val="11"/>
      <color theme="1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sz val="11"/>
      <color rgb="FF00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3257E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0"/>
      <color rgb="FF0000EE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name val="Calibri"/>
      <family val="2"/>
      <scheme val="minor"/>
    </font>
    <font>
      <sz val="11"/>
      <color theme="1"/>
      <name val="FreeSans"/>
      <family val="2"/>
    </font>
    <font>
      <b/>
      <i/>
      <sz val="9"/>
      <color theme="1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1"/>
      <color indexed="81"/>
      <name val="Calibri"/>
      <family val="2"/>
      <scheme val="minor"/>
    </font>
    <font>
      <b/>
      <i/>
      <sz val="11"/>
      <color indexed="81"/>
      <name val="Calibri"/>
      <family val="2"/>
      <scheme val="minor"/>
    </font>
    <font>
      <sz val="11"/>
      <color rgb="FFC00000"/>
      <name val="Calibri"/>
      <family val="2"/>
    </font>
    <font>
      <i/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B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rgb="FFE78587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0F0FF"/>
        <bgColor indexed="64"/>
      </patternFill>
    </fill>
    <fill>
      <patternFill patternType="solid">
        <fgColor rgb="FFF0F0FF"/>
        <bgColor rgb="FFFFFBCC"/>
      </patternFill>
    </fill>
    <fill>
      <patternFill patternType="solid">
        <fgColor rgb="FFEEEEEE"/>
        <bgColor rgb="FFEEEEE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rgb="FFFFFF00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19">
    <xf numFmtId="0" fontId="0" fillId="0" borderId="0"/>
    <xf numFmtId="0" fontId="58" fillId="0" borderId="0"/>
    <xf numFmtId="0" fontId="59" fillId="0" borderId="0"/>
    <xf numFmtId="0" fontId="56" fillId="7" borderId="0"/>
    <xf numFmtId="0" fontId="52" fillId="5" borderId="0"/>
    <xf numFmtId="0" fontId="61" fillId="8" borderId="0"/>
    <xf numFmtId="0" fontId="62" fillId="8" borderId="1"/>
    <xf numFmtId="0" fontId="50" fillId="0" borderId="0"/>
    <xf numFmtId="0" fontId="51" fillId="2" borderId="0"/>
    <xf numFmtId="0" fontId="51" fillId="3" borderId="0"/>
    <xf numFmtId="0" fontId="50" fillId="4" borderId="0"/>
    <xf numFmtId="0" fontId="53" fillId="6" borderId="0"/>
    <xf numFmtId="0" fontId="54" fillId="0" borderId="0"/>
    <xf numFmtId="0" fontId="55" fillId="0" borderId="0"/>
    <xf numFmtId="0" fontId="57" fillId="0" borderId="0"/>
    <xf numFmtId="0" fontId="60" fillId="0" borderId="0"/>
    <xf numFmtId="0" fontId="49" fillId="0" borderId="0"/>
    <xf numFmtId="0" fontId="49" fillId="0" borderId="0"/>
    <xf numFmtId="0" fontId="52" fillId="0" borderId="0"/>
  </cellStyleXfs>
  <cellXfs count="437">
    <xf numFmtId="0" fontId="0" fillId="0" borderId="0" xfId="0"/>
    <xf numFmtId="0" fontId="48" fillId="0" borderId="0" xfId="0" applyFont="1" applyProtection="1"/>
    <xf numFmtId="0" fontId="48" fillId="0" borderId="0" xfId="0" applyFont="1" applyAlignment="1" applyProtection="1">
      <alignment horizontal="right"/>
    </xf>
    <xf numFmtId="0" fontId="63" fillId="0" borderId="0" xfId="0" applyFont="1" applyAlignment="1" applyProtection="1">
      <alignment horizontal="right"/>
    </xf>
    <xf numFmtId="0" fontId="65" fillId="12" borderId="2" xfId="0" applyFont="1" applyFill="1" applyBorder="1" applyProtection="1"/>
    <xf numFmtId="0" fontId="65" fillId="12" borderId="3" xfId="0" applyFont="1" applyFill="1" applyBorder="1" applyAlignment="1" applyProtection="1">
      <alignment wrapText="1"/>
    </xf>
    <xf numFmtId="0" fontId="65" fillId="12" borderId="3" xfId="0" applyFont="1" applyFill="1" applyBorder="1" applyAlignment="1" applyProtection="1">
      <alignment horizontal="right" wrapText="1"/>
    </xf>
    <xf numFmtId="0" fontId="48" fillId="12" borderId="4" xfId="0" applyFont="1" applyFill="1" applyBorder="1" applyProtection="1"/>
    <xf numFmtId="0" fontId="48" fillId="0" borderId="5" xfId="0" applyFont="1" applyBorder="1" applyProtection="1"/>
    <xf numFmtId="0" fontId="48" fillId="0" borderId="5" xfId="0" applyFont="1" applyBorder="1" applyAlignment="1" applyProtection="1"/>
    <xf numFmtId="0" fontId="48" fillId="0" borderId="5" xfId="0" applyFont="1" applyFill="1" applyBorder="1" applyProtection="1"/>
    <xf numFmtId="164" fontId="48" fillId="0" borderId="0" xfId="0" applyNumberFormat="1" applyFont="1" applyProtection="1"/>
    <xf numFmtId="0" fontId="65" fillId="9" borderId="7" xfId="0" applyFont="1" applyFill="1" applyBorder="1" applyAlignment="1" applyProtection="1">
      <alignment horizontal="right"/>
    </xf>
    <xf numFmtId="0" fontId="65" fillId="12" borderId="7" xfId="0" applyFont="1" applyFill="1" applyBorder="1" applyAlignment="1" applyProtection="1">
      <alignment horizontal="right" wrapText="1"/>
    </xf>
    <xf numFmtId="0" fontId="48" fillId="9" borderId="8" xfId="0" applyFont="1" applyFill="1" applyBorder="1" applyProtection="1"/>
    <xf numFmtId="2" fontId="48" fillId="13" borderId="5" xfId="0" applyNumberFormat="1" applyFont="1" applyFill="1" applyBorder="1" applyProtection="1"/>
    <xf numFmtId="0" fontId="72" fillId="0" borderId="0" xfId="15" applyFont="1" applyAlignment="1" applyProtection="1">
      <alignment vertical="center"/>
    </xf>
    <xf numFmtId="0" fontId="48" fillId="13" borderId="5" xfId="0" applyFont="1" applyFill="1" applyBorder="1" applyProtection="1"/>
    <xf numFmtId="0" fontId="47" fillId="9" borderId="4" xfId="0" applyFont="1" applyFill="1" applyBorder="1" applyProtection="1"/>
    <xf numFmtId="0" fontId="47" fillId="0" borderId="5" xfId="0" applyFont="1" applyBorder="1" applyProtection="1"/>
    <xf numFmtId="0" fontId="63" fillId="0" borderId="0" xfId="0" applyFont="1" applyFill="1" applyBorder="1" applyAlignment="1" applyProtection="1"/>
    <xf numFmtId="0" fontId="78" fillId="0" borderId="0" xfId="0" applyFont="1" applyAlignment="1" applyProtection="1"/>
    <xf numFmtId="0" fontId="78" fillId="0" borderId="0" xfId="0" applyFont="1" applyProtection="1"/>
    <xf numFmtId="0" fontId="48" fillId="11" borderId="9" xfId="0" applyFont="1" applyFill="1" applyBorder="1" applyProtection="1">
      <protection locked="0"/>
    </xf>
    <xf numFmtId="0" fontId="46" fillId="9" borderId="6" xfId="0" applyFont="1" applyFill="1" applyBorder="1" applyAlignment="1" applyProtection="1">
      <alignment horizontal="right"/>
    </xf>
    <xf numFmtId="2" fontId="48" fillId="11" borderId="9" xfId="0" applyNumberFormat="1" applyFont="1" applyFill="1" applyBorder="1" applyProtection="1">
      <protection locked="0"/>
    </xf>
    <xf numFmtId="0" fontId="74" fillId="0" borderId="0" xfId="0" applyFont="1" applyFill="1" applyBorder="1" applyAlignment="1" applyProtection="1"/>
    <xf numFmtId="2" fontId="74" fillId="0" borderId="0" xfId="0" applyNumberFormat="1" applyFont="1" applyFill="1" applyBorder="1" applyAlignment="1" applyProtection="1"/>
    <xf numFmtId="0" fontId="80" fillId="0" borderId="0" xfId="0" applyFont="1" applyAlignment="1" applyProtection="1"/>
    <xf numFmtId="0" fontId="63" fillId="18" borderId="14" xfId="0" applyFont="1" applyFill="1" applyBorder="1" applyAlignment="1" applyProtection="1"/>
    <xf numFmtId="0" fontId="77" fillId="0" borderId="0" xfId="0" applyNumberFormat="1" applyFont="1" applyAlignment="1" applyProtection="1"/>
    <xf numFmtId="0" fontId="76" fillId="0" borderId="0" xfId="0" applyFont="1" applyFill="1" applyBorder="1" applyAlignment="1" applyProtection="1">
      <alignment horizontal="right"/>
    </xf>
    <xf numFmtId="2" fontId="79" fillId="0" borderId="0" xfId="0" applyNumberFormat="1" applyFont="1" applyFill="1" applyBorder="1" applyAlignment="1" applyProtection="1"/>
    <xf numFmtId="0" fontId="73" fillId="0" borderId="0" xfId="0" applyFont="1" applyFill="1" applyBorder="1" applyAlignment="1" applyProtection="1"/>
    <xf numFmtId="0" fontId="65" fillId="9" borderId="7" xfId="0" applyFont="1" applyFill="1" applyBorder="1" applyAlignment="1" applyProtection="1">
      <alignment horizontal="right" wrapText="1"/>
    </xf>
    <xf numFmtId="0" fontId="67" fillId="20" borderId="0" xfId="0" applyFont="1" applyFill="1" applyBorder="1" applyAlignment="1" applyProtection="1"/>
    <xf numFmtId="0" fontId="63" fillId="20" borderId="0" xfId="0" applyFont="1" applyFill="1" applyBorder="1" applyAlignment="1" applyProtection="1"/>
    <xf numFmtId="0" fontId="67" fillId="21" borderId="0" xfId="0" applyFont="1" applyFill="1" applyBorder="1" applyAlignment="1" applyProtection="1"/>
    <xf numFmtId="0" fontId="67" fillId="21" borderId="0" xfId="0" applyFont="1" applyFill="1" applyAlignment="1" applyProtection="1"/>
    <xf numFmtId="0" fontId="77" fillId="20" borderId="0" xfId="0" applyFont="1" applyFill="1" applyBorder="1" applyAlignment="1" applyProtection="1"/>
    <xf numFmtId="0" fontId="81" fillId="0" borderId="0" xfId="0" applyFont="1" applyFill="1" applyBorder="1" applyAlignment="1" applyProtection="1"/>
    <xf numFmtId="2" fontId="74" fillId="20" borderId="9" xfId="0" applyNumberFormat="1" applyFont="1" applyFill="1" applyBorder="1" applyAlignment="1" applyProtection="1"/>
    <xf numFmtId="2" fontId="74" fillId="9" borderId="14" xfId="0" applyNumberFormat="1" applyFont="1" applyFill="1" applyBorder="1" applyAlignment="1" applyProtection="1"/>
    <xf numFmtId="166" fontId="68" fillId="20" borderId="0" xfId="0" applyNumberFormat="1" applyFont="1" applyFill="1" applyBorder="1" applyAlignment="1" applyProtection="1"/>
    <xf numFmtId="0" fontId="74" fillId="0" borderId="0" xfId="0" applyFont="1" applyFill="1" applyBorder="1" applyAlignment="1" applyProtection="1">
      <alignment horizontal="right"/>
    </xf>
    <xf numFmtId="0" fontId="67" fillId="18" borderId="6" xfId="0" applyFont="1" applyFill="1" applyBorder="1" applyAlignment="1" applyProtection="1"/>
    <xf numFmtId="0" fontId="75" fillId="18" borderId="10" xfId="0" applyFont="1" applyFill="1" applyBorder="1" applyAlignment="1" applyProtection="1"/>
    <xf numFmtId="0" fontId="67" fillId="18" borderId="7" xfId="0" applyFont="1" applyFill="1" applyBorder="1" applyAlignment="1" applyProtection="1">
      <alignment horizontal="right"/>
    </xf>
    <xf numFmtId="0" fontId="75" fillId="18" borderId="7" xfId="0" applyFont="1" applyFill="1" applyBorder="1" applyAlignment="1" applyProtection="1">
      <alignment horizontal="right"/>
    </xf>
    <xf numFmtId="0" fontId="67" fillId="0" borderId="0" xfId="0" applyFont="1" applyAlignment="1" applyProtection="1"/>
    <xf numFmtId="0" fontId="67" fillId="18" borderId="6" xfId="0" applyFont="1" applyFill="1" applyBorder="1" applyAlignment="1" applyProtection="1">
      <alignment horizontal="right"/>
    </xf>
    <xf numFmtId="0" fontId="45" fillId="9" borderId="4" xfId="0" applyFont="1" applyFill="1" applyBorder="1" applyProtection="1"/>
    <xf numFmtId="0" fontId="45" fillId="0" borderId="5" xfId="0" applyFont="1" applyBorder="1" applyProtection="1"/>
    <xf numFmtId="2" fontId="74" fillId="9" borderId="20" xfId="0" applyNumberFormat="1" applyFont="1" applyFill="1" applyBorder="1" applyAlignment="1" applyProtection="1"/>
    <xf numFmtId="0" fontId="67" fillId="19" borderId="21" xfId="0" applyFont="1" applyFill="1" applyBorder="1" applyProtection="1"/>
    <xf numFmtId="0" fontId="67" fillId="19" borderId="15" xfId="0" applyFont="1" applyFill="1" applyBorder="1" applyProtection="1"/>
    <xf numFmtId="0" fontId="63" fillId="19" borderId="18" xfId="0" applyFont="1" applyFill="1" applyBorder="1" applyAlignment="1" applyProtection="1">
      <alignment horizontal="left"/>
    </xf>
    <xf numFmtId="0" fontId="65" fillId="0" borderId="6" xfId="0" applyFont="1" applyBorder="1" applyProtection="1"/>
    <xf numFmtId="0" fontId="65" fillId="0" borderId="6" xfId="0" applyFont="1" applyFill="1" applyBorder="1" applyAlignment="1" applyProtection="1"/>
    <xf numFmtId="0" fontId="65" fillId="0" borderId="7" xfId="0" applyFont="1" applyFill="1" applyBorder="1" applyAlignment="1" applyProtection="1"/>
    <xf numFmtId="4" fontId="63" fillId="11" borderId="9" xfId="0" applyNumberFormat="1" applyFont="1" applyFill="1" applyBorder="1" applyAlignment="1" applyProtection="1">
      <protection locked="0"/>
    </xf>
    <xf numFmtId="0" fontId="65" fillId="0" borderId="7" xfId="0" applyNumberFormat="1" applyFont="1" applyFill="1" applyBorder="1" applyAlignment="1" applyProtection="1"/>
    <xf numFmtId="0" fontId="63" fillId="0" borderId="7" xfId="0" applyFont="1" applyBorder="1" applyAlignment="1" applyProtection="1">
      <alignment horizontal="right"/>
    </xf>
    <xf numFmtId="0" fontId="73" fillId="0" borderId="0" xfId="0" applyFont="1" applyFill="1" applyBorder="1" applyAlignment="1" applyProtection="1">
      <alignment vertical="center"/>
    </xf>
    <xf numFmtId="0" fontId="73" fillId="0" borderId="0" xfId="0" applyFont="1" applyFill="1" applyBorder="1" applyAlignment="1" applyProtection="1">
      <alignment vertical="top"/>
    </xf>
    <xf numFmtId="0" fontId="63" fillId="20" borderId="8" xfId="0" applyFont="1" applyFill="1" applyBorder="1" applyAlignment="1" applyProtection="1"/>
    <xf numFmtId="2" fontId="63" fillId="20" borderId="9" xfId="0" applyNumberFormat="1" applyFont="1" applyFill="1" applyBorder="1" applyAlignment="1" applyProtection="1"/>
    <xf numFmtId="0" fontId="63" fillId="21" borderId="8" xfId="0" applyFont="1" applyFill="1" applyBorder="1" applyAlignment="1" applyProtection="1"/>
    <xf numFmtId="0" fontId="63" fillId="21" borderId="0" xfId="0" applyFont="1" applyFill="1" applyBorder="1" applyAlignment="1" applyProtection="1"/>
    <xf numFmtId="0" fontId="68" fillId="18" borderId="10" xfId="0" applyFont="1" applyFill="1" applyBorder="1" applyAlignment="1" applyProtection="1"/>
    <xf numFmtId="2" fontId="68" fillId="18" borderId="10" xfId="0" applyNumberFormat="1" applyFont="1" applyFill="1" applyBorder="1" applyAlignment="1" applyProtection="1"/>
    <xf numFmtId="0" fontId="74" fillId="18" borderId="10" xfId="0" applyFont="1" applyFill="1" applyBorder="1" applyAlignment="1" applyProtection="1"/>
    <xf numFmtId="0" fontId="63" fillId="18" borderId="10" xfId="0" applyFont="1" applyFill="1" applyBorder="1" applyAlignment="1" applyProtection="1"/>
    <xf numFmtId="0" fontId="74" fillId="18" borderId="6" xfId="0" applyFont="1" applyFill="1" applyBorder="1" applyAlignment="1" applyProtection="1">
      <alignment horizontal="right"/>
    </xf>
    <xf numFmtId="4" fontId="63" fillId="21" borderId="8" xfId="0" applyNumberFormat="1" applyFont="1" applyFill="1" applyBorder="1" applyAlignment="1" applyProtection="1">
      <alignment vertical="center"/>
    </xf>
    <xf numFmtId="0" fontId="83" fillId="11" borderId="20" xfId="0" applyFont="1" applyFill="1" applyBorder="1" applyAlignment="1" applyProtection="1"/>
    <xf numFmtId="0" fontId="74" fillId="11" borderId="8" xfId="0" applyFont="1" applyFill="1" applyBorder="1" applyAlignment="1" applyProtection="1">
      <protection locked="0"/>
    </xf>
    <xf numFmtId="166" fontId="68" fillId="21" borderId="0" xfId="0" applyNumberFormat="1" applyFont="1" applyFill="1" applyBorder="1" applyAlignment="1" applyProtection="1"/>
    <xf numFmtId="0" fontId="67" fillId="18" borderId="22" xfId="0" applyFont="1" applyFill="1" applyBorder="1" applyAlignment="1" applyProtection="1">
      <alignment horizontal="right"/>
    </xf>
    <xf numFmtId="0" fontId="75" fillId="18" borderId="6" xfId="0" applyFont="1" applyFill="1" applyBorder="1" applyAlignment="1" applyProtection="1">
      <alignment horizontal="right"/>
    </xf>
    <xf numFmtId="2" fontId="74" fillId="21" borderId="8" xfId="0" applyNumberFormat="1" applyFont="1" applyFill="1" applyBorder="1" applyAlignment="1" applyProtection="1"/>
    <xf numFmtId="0" fontId="63" fillId="21" borderId="20" xfId="0" applyFont="1" applyFill="1" applyBorder="1" applyAlignment="1" applyProtection="1"/>
    <xf numFmtId="2" fontId="63" fillId="21" borderId="8" xfId="0" applyNumberFormat="1" applyFont="1" applyFill="1" applyBorder="1" applyAlignment="1" applyProtection="1"/>
    <xf numFmtId="0" fontId="63" fillId="21" borderId="0" xfId="0" applyFont="1" applyFill="1" applyBorder="1" applyAlignment="1" applyProtection="1">
      <alignment horizontal="right"/>
    </xf>
    <xf numFmtId="3" fontId="68" fillId="21" borderId="15" xfId="0" applyNumberFormat="1" applyFont="1" applyFill="1" applyBorder="1" applyAlignment="1" applyProtection="1"/>
    <xf numFmtId="4" fontId="63" fillId="21" borderId="15" xfId="0" applyNumberFormat="1" applyFont="1" applyFill="1" applyBorder="1" applyAlignment="1" applyProtection="1">
      <alignment vertical="center"/>
    </xf>
    <xf numFmtId="4" fontId="63" fillId="11" borderId="15" xfId="0" applyNumberFormat="1" applyFont="1" applyFill="1" applyBorder="1" applyAlignment="1" applyProtection="1"/>
    <xf numFmtId="3" fontId="63" fillId="18" borderId="8" xfId="0" applyNumberFormat="1" applyFont="1" applyFill="1" applyBorder="1" applyAlignment="1" applyProtection="1"/>
    <xf numFmtId="165" fontId="84" fillId="11" borderId="8" xfId="0" applyNumberFormat="1" applyFont="1" applyFill="1" applyBorder="1" applyAlignment="1" applyProtection="1">
      <alignment horizontal="right"/>
    </xf>
    <xf numFmtId="0" fontId="63" fillId="0" borderId="0" xfId="0" applyFont="1" applyBorder="1" applyAlignment="1" applyProtection="1"/>
    <xf numFmtId="0" fontId="63" fillId="0" borderId="10" xfId="0" applyFont="1" applyFill="1" applyBorder="1" applyAlignment="1" applyProtection="1"/>
    <xf numFmtId="0" fontId="85" fillId="21" borderId="0" xfId="0" applyFont="1" applyFill="1" applyBorder="1" applyAlignment="1" applyProtection="1"/>
    <xf numFmtId="4" fontId="68" fillId="20" borderId="8" xfId="0" applyNumberFormat="1" applyFont="1" applyFill="1" applyBorder="1" applyAlignment="1" applyProtection="1"/>
    <xf numFmtId="4" fontId="63" fillId="20" borderId="8" xfId="0" applyNumberFormat="1" applyFont="1" applyFill="1" applyBorder="1" applyAlignment="1" applyProtection="1">
      <alignment vertical="center"/>
    </xf>
    <xf numFmtId="0" fontId="73" fillId="0" borderId="0" xfId="0" applyFont="1" applyAlignment="1" applyProtection="1">
      <alignment vertical="center"/>
    </xf>
    <xf numFmtId="0" fontId="73" fillId="0" borderId="0" xfId="0" applyFont="1" applyAlignment="1" applyProtection="1"/>
    <xf numFmtId="0" fontId="87" fillId="0" borderId="0" xfId="0" applyFont="1" applyAlignment="1" applyProtection="1"/>
    <xf numFmtId="0" fontId="87" fillId="21" borderId="0" xfId="0" applyFont="1" applyFill="1" applyBorder="1" applyAlignment="1" applyProtection="1"/>
    <xf numFmtId="0" fontId="87" fillId="0" borderId="0" xfId="0" applyNumberFormat="1" applyFont="1" applyAlignment="1" applyProtection="1"/>
    <xf numFmtId="0" fontId="87" fillId="0" borderId="0" xfId="0" applyNumberFormat="1" applyFont="1" applyAlignment="1" applyProtection="1">
      <alignment horizontal="left"/>
    </xf>
    <xf numFmtId="2" fontId="74" fillId="20" borderId="9" xfId="0" applyNumberFormat="1" applyFont="1" applyFill="1" applyBorder="1" applyAlignment="1" applyProtection="1">
      <alignment horizontal="right"/>
    </xf>
    <xf numFmtId="2" fontId="74" fillId="21" borderId="8" xfId="0" applyNumberFormat="1" applyFont="1" applyFill="1" applyBorder="1" applyAlignment="1" applyProtection="1">
      <alignment horizontal="right"/>
    </xf>
    <xf numFmtId="0" fontId="63" fillId="0" borderId="14" xfId="0" applyFont="1" applyFill="1" applyBorder="1" applyAlignment="1" applyProtection="1"/>
    <xf numFmtId="0" fontId="44" fillId="0" borderId="0" xfId="0" applyFont="1"/>
    <xf numFmtId="0" fontId="44" fillId="0" borderId="0" xfId="0" applyFont="1" applyAlignment="1" applyProtection="1"/>
    <xf numFmtId="0" fontId="44" fillId="19" borderId="0" xfId="0" applyFont="1" applyFill="1" applyAlignment="1" applyProtection="1"/>
    <xf numFmtId="0" fontId="44" fillId="0" borderId="0" xfId="0" applyFont="1" applyAlignment="1" applyProtection="1">
      <alignment wrapText="1"/>
    </xf>
    <xf numFmtId="0" fontId="44" fillId="19" borderId="6" xfId="0" applyFont="1" applyFill="1" applyBorder="1" applyAlignment="1" applyProtection="1"/>
    <xf numFmtId="0" fontId="44" fillId="0" borderId="22" xfId="0" applyFont="1" applyBorder="1" applyAlignment="1" applyProtection="1"/>
    <xf numFmtId="0" fontId="44" fillId="0" borderId="6" xfId="0" applyFont="1" applyBorder="1" applyAlignment="1" applyProtection="1"/>
    <xf numFmtId="0" fontId="44" fillId="19" borderId="8" xfId="0" applyFont="1" applyFill="1" applyBorder="1" applyAlignment="1" applyProtection="1"/>
    <xf numFmtId="0" fontId="44" fillId="0" borderId="20" xfId="0" applyFont="1" applyBorder="1" applyAlignment="1" applyProtection="1"/>
    <xf numFmtId="0" fontId="44" fillId="0" borderId="8" xfId="0" applyFont="1" applyBorder="1" applyAlignment="1" applyProtection="1"/>
    <xf numFmtId="0" fontId="44" fillId="0" borderId="10" xfId="0" applyFont="1" applyBorder="1" applyAlignment="1" applyProtection="1"/>
    <xf numFmtId="0" fontId="44" fillId="0" borderId="10" xfId="0" applyFont="1" applyBorder="1" applyAlignment="1" applyProtection="1">
      <alignment wrapText="1"/>
    </xf>
    <xf numFmtId="0" fontId="44" fillId="0" borderId="0" xfId="0" applyFont="1" applyBorder="1" applyAlignment="1" applyProtection="1"/>
    <xf numFmtId="0" fontId="44" fillId="19" borderId="6" xfId="0" applyNumberFormat="1" applyFont="1" applyFill="1" applyBorder="1" applyProtection="1"/>
    <xf numFmtId="0" fontId="44" fillId="19" borderId="10" xfId="0" applyNumberFormat="1" applyFont="1" applyFill="1" applyBorder="1" applyAlignment="1" applyProtection="1">
      <alignment horizontal="right"/>
    </xf>
    <xf numFmtId="0" fontId="44" fillId="19" borderId="6" xfId="0" applyNumberFormat="1" applyFont="1" applyFill="1" applyBorder="1" applyAlignment="1" applyProtection="1"/>
    <xf numFmtId="0" fontId="44" fillId="19" borderId="10" xfId="0" applyNumberFormat="1" applyFont="1" applyFill="1" applyBorder="1" applyAlignment="1" applyProtection="1"/>
    <xf numFmtId="0" fontId="44" fillId="19" borderId="9" xfId="0" applyFont="1" applyFill="1" applyBorder="1" applyAlignment="1" applyProtection="1">
      <alignment vertical="center"/>
    </xf>
    <xf numFmtId="0" fontId="44" fillId="19" borderId="6" xfId="0" applyFont="1" applyFill="1" applyBorder="1" applyAlignment="1" applyProtection="1">
      <alignment vertical="center"/>
    </xf>
    <xf numFmtId="0" fontId="44" fillId="19" borderId="1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/>
    <xf numFmtId="0" fontId="44" fillId="21" borderId="0" xfId="0" applyFont="1" applyFill="1" applyBorder="1" applyAlignment="1" applyProtection="1"/>
    <xf numFmtId="0" fontId="44" fillId="19" borderId="18" xfId="0" applyFont="1" applyFill="1" applyBorder="1" applyAlignment="1" applyProtection="1"/>
    <xf numFmtId="0" fontId="44" fillId="19" borderId="19" xfId="0" applyNumberFormat="1" applyFont="1" applyFill="1" applyBorder="1" applyAlignment="1" applyProtection="1"/>
    <xf numFmtId="0" fontId="44" fillId="19" borderId="18" xfId="0" applyNumberFormat="1" applyFont="1" applyFill="1" applyBorder="1" applyAlignment="1" applyProtection="1"/>
    <xf numFmtId="0" fontId="44" fillId="19" borderId="0" xfId="0" applyNumberFormat="1" applyFont="1" applyFill="1" applyAlignment="1" applyProtection="1"/>
    <xf numFmtId="0" fontId="44" fillId="0" borderId="0" xfId="0" applyFont="1" applyAlignment="1"/>
    <xf numFmtId="0" fontId="44" fillId="12" borderId="8" xfId="0" applyFont="1" applyFill="1" applyBorder="1" applyAlignment="1" applyProtection="1"/>
    <xf numFmtId="0" fontId="44" fillId="9" borderId="8" xfId="0" applyFont="1" applyFill="1" applyBorder="1" applyAlignment="1" applyProtection="1"/>
    <xf numFmtId="2" fontId="44" fillId="10" borderId="9" xfId="0" quotePrefix="1" applyNumberFormat="1" applyFont="1" applyFill="1" applyBorder="1" applyAlignment="1" applyProtection="1">
      <protection locked="0"/>
    </xf>
    <xf numFmtId="2" fontId="44" fillId="22" borderId="8" xfId="0" quotePrefix="1" applyNumberFormat="1" applyFont="1" applyFill="1" applyBorder="1" applyAlignment="1" applyProtection="1"/>
    <xf numFmtId="2" fontId="44" fillId="22" borderId="20" xfId="0" quotePrefix="1" applyNumberFormat="1" applyFont="1" applyFill="1" applyBorder="1" applyAlignment="1" applyProtection="1"/>
    <xf numFmtId="2" fontId="44" fillId="22" borderId="8" xfId="0" applyNumberFormat="1" applyFont="1" applyFill="1" applyBorder="1" applyAlignment="1" applyProtection="1"/>
    <xf numFmtId="2" fontId="44" fillId="22" borderId="20" xfId="0" applyNumberFormat="1" applyFont="1" applyFill="1" applyBorder="1" applyAlignment="1" applyProtection="1"/>
    <xf numFmtId="2" fontId="44" fillId="21" borderId="8" xfId="0" applyNumberFormat="1" applyFont="1" applyFill="1" applyBorder="1" applyAlignment="1" applyProtection="1"/>
    <xf numFmtId="2" fontId="44" fillId="21" borderId="20" xfId="0" applyNumberFormat="1" applyFont="1" applyFill="1" applyBorder="1" applyAlignment="1" applyProtection="1"/>
    <xf numFmtId="2" fontId="44" fillId="11" borderId="9" xfId="0" applyNumberFormat="1" applyFont="1" applyFill="1" applyBorder="1" applyAlignment="1" applyProtection="1">
      <protection locked="0"/>
    </xf>
    <xf numFmtId="0" fontId="44" fillId="19" borderId="9" xfId="0" applyFont="1" applyFill="1" applyBorder="1" applyAlignment="1" applyProtection="1"/>
    <xf numFmtId="0" fontId="44" fillId="19" borderId="14" xfId="0" applyFont="1" applyFill="1" applyBorder="1" applyAlignment="1" applyProtection="1"/>
    <xf numFmtId="0" fontId="44" fillId="19" borderId="11" xfId="0" applyFont="1" applyFill="1" applyBorder="1" applyAlignment="1" applyProtection="1">
      <alignment vertical="center"/>
    </xf>
    <xf numFmtId="0" fontId="44" fillId="19" borderId="11" xfId="0" applyFont="1" applyFill="1" applyBorder="1" applyAlignment="1" applyProtection="1"/>
    <xf numFmtId="0" fontId="44" fillId="19" borderId="16" xfId="0" applyNumberFormat="1" applyFont="1" applyFill="1" applyBorder="1" applyAlignment="1" applyProtection="1"/>
    <xf numFmtId="0" fontId="44" fillId="19" borderId="11" xfId="0" applyNumberFormat="1" applyFont="1" applyFill="1" applyBorder="1" applyAlignment="1" applyProtection="1"/>
    <xf numFmtId="0" fontId="44" fillId="0" borderId="14" xfId="0" applyFont="1" applyFill="1" applyBorder="1" applyAlignment="1" applyProtection="1"/>
    <xf numFmtId="2" fontId="44" fillId="20" borderId="16" xfId="0" applyNumberFormat="1" applyFont="1" applyFill="1" applyBorder="1" applyAlignment="1" applyProtection="1"/>
    <xf numFmtId="0" fontId="44" fillId="9" borderId="14" xfId="0" quotePrefix="1" applyFont="1" applyFill="1" applyBorder="1" applyAlignment="1" applyProtection="1"/>
    <xf numFmtId="0" fontId="44" fillId="9" borderId="0" xfId="0" applyFont="1" applyFill="1" applyBorder="1" applyAlignment="1" applyProtection="1"/>
    <xf numFmtId="2" fontId="44" fillId="11" borderId="17" xfId="0" applyNumberFormat="1" applyFont="1" applyFill="1" applyBorder="1" applyAlignment="1" applyProtection="1">
      <protection locked="0"/>
    </xf>
    <xf numFmtId="0" fontId="44" fillId="19" borderId="8" xfId="0" applyFont="1" applyFill="1" applyBorder="1" applyAlignment="1" applyProtection="1">
      <alignment vertical="center"/>
    </xf>
    <xf numFmtId="0" fontId="44" fillId="19" borderId="20" xfId="0" applyFont="1" applyFill="1" applyBorder="1" applyAlignment="1" applyProtection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Fill="1" applyBorder="1" applyAlignment="1" applyProtection="1">
      <alignment vertical="center"/>
    </xf>
    <xf numFmtId="0" fontId="44" fillId="20" borderId="0" xfId="0" applyFont="1" applyFill="1" applyBorder="1" applyAlignment="1" applyProtection="1"/>
    <xf numFmtId="2" fontId="44" fillId="20" borderId="0" xfId="0" applyNumberFormat="1" applyFont="1" applyFill="1" applyBorder="1" applyAlignment="1" applyProtection="1"/>
    <xf numFmtId="2" fontId="44" fillId="0" borderId="0" xfId="0" applyNumberFormat="1" applyFont="1" applyFill="1" applyBorder="1" applyAlignment="1" applyProtection="1"/>
    <xf numFmtId="0" fontId="44" fillId="25" borderId="0" xfId="0" applyFont="1" applyFill="1" applyBorder="1" applyAlignment="1" applyProtection="1"/>
    <xf numFmtId="0" fontId="44" fillId="0" borderId="0" xfId="0" applyFont="1" applyProtection="1"/>
    <xf numFmtId="0" fontId="44" fillId="0" borderId="7" xfId="0" applyFont="1" applyBorder="1" applyAlignment="1" applyProtection="1">
      <alignment horizontal="right"/>
    </xf>
    <xf numFmtId="0" fontId="44" fillId="0" borderId="7" xfId="0" applyFont="1" applyFill="1" applyBorder="1" applyAlignment="1" applyProtection="1"/>
    <xf numFmtId="0" fontId="44" fillId="19" borderId="15" xfId="0" applyFont="1" applyFill="1" applyBorder="1" applyProtection="1"/>
    <xf numFmtId="0" fontId="44" fillId="19" borderId="18" xfId="0" applyFont="1" applyFill="1" applyBorder="1" applyAlignment="1" applyProtection="1">
      <alignment horizontal="left"/>
    </xf>
    <xf numFmtId="0" fontId="44" fillId="0" borderId="9" xfId="0" applyNumberFormat="1" applyFont="1" applyBorder="1" applyProtection="1"/>
    <xf numFmtId="0" fontId="44" fillId="0" borderId="9" xfId="0" applyFont="1" applyFill="1" applyBorder="1" applyAlignment="1" applyProtection="1"/>
    <xf numFmtId="0" fontId="44" fillId="0" borderId="9" xfId="0" applyNumberFormat="1" applyFont="1" applyFill="1" applyBorder="1" applyAlignment="1" applyProtection="1"/>
    <xf numFmtId="0" fontId="44" fillId="0" borderId="10" xfId="0" applyFont="1" applyFill="1" applyBorder="1" applyAlignment="1" applyProtection="1"/>
    <xf numFmtId="0" fontId="44" fillId="23" borderId="8" xfId="0" applyFont="1" applyFill="1" applyBorder="1" applyProtection="1"/>
    <xf numFmtId="0" fontId="44" fillId="19" borderId="0" xfId="0" applyFont="1" applyFill="1" applyBorder="1" applyAlignment="1" applyProtection="1"/>
    <xf numFmtId="0" fontId="44" fillId="11" borderId="8" xfId="0" applyFont="1" applyFill="1" applyBorder="1" applyAlignment="1" applyProtection="1">
      <protection locked="0"/>
    </xf>
    <xf numFmtId="0" fontId="44" fillId="0" borderId="0" xfId="0" applyFont="1" applyFill="1" applyBorder="1" applyAlignment="1" applyProtection="1">
      <alignment horizontal="right"/>
    </xf>
    <xf numFmtId="0" fontId="44" fillId="0" borderId="15" xfId="0" applyFont="1" applyFill="1" applyBorder="1" applyAlignment="1" applyProtection="1"/>
    <xf numFmtId="0" fontId="44" fillId="9" borderId="10" xfId="0" applyFont="1" applyFill="1" applyBorder="1" applyAlignment="1" applyProtection="1"/>
    <xf numFmtId="0" fontId="44" fillId="19" borderId="22" xfId="0" applyFont="1" applyFill="1" applyBorder="1" applyProtection="1"/>
    <xf numFmtId="0" fontId="44" fillId="19" borderId="6" xfId="0" applyFont="1" applyFill="1" applyBorder="1" applyAlignment="1" applyProtection="1">
      <alignment horizontal="left"/>
    </xf>
    <xf numFmtId="0" fontId="44" fillId="0" borderId="0" xfId="0" applyFont="1" applyFill="1" applyProtection="1"/>
    <xf numFmtId="0" fontId="44" fillId="0" borderId="9" xfId="0" applyNumberFormat="1" applyFont="1" applyFill="1" applyBorder="1" applyProtection="1"/>
    <xf numFmtId="0" fontId="44" fillId="18" borderId="10" xfId="0" applyFont="1" applyFill="1" applyBorder="1" applyAlignment="1" applyProtection="1"/>
    <xf numFmtId="0" fontId="44" fillId="18" borderId="14" xfId="0" applyFont="1" applyFill="1" applyBorder="1" applyAlignment="1" applyProtection="1"/>
    <xf numFmtId="0" fontId="44" fillId="0" borderId="0" xfId="0" applyFont="1" applyAlignment="1" applyProtection="1">
      <alignment horizontal="left"/>
    </xf>
    <xf numFmtId="0" fontId="44" fillId="0" borderId="0" xfId="0" applyFont="1" applyAlignment="1" applyProtection="1">
      <alignment horizontal="right"/>
    </xf>
    <xf numFmtId="0" fontId="44" fillId="9" borderId="14" xfId="0" applyFont="1" applyFill="1" applyBorder="1" applyAlignment="1" applyProtection="1"/>
    <xf numFmtId="4" fontId="44" fillId="11" borderId="9" xfId="0" applyNumberFormat="1" applyFont="1" applyFill="1" applyBorder="1" applyAlignment="1" applyProtection="1">
      <alignment horizontal="right"/>
      <protection locked="0"/>
    </xf>
    <xf numFmtId="165" fontId="44" fillId="21" borderId="8" xfId="0" applyNumberFormat="1" applyFont="1" applyFill="1" applyBorder="1" applyAlignment="1" applyProtection="1">
      <alignment horizontal="right"/>
    </xf>
    <xf numFmtId="165" fontId="44" fillId="21" borderId="15" xfId="0" applyNumberFormat="1" applyFont="1" applyFill="1" applyBorder="1" applyAlignment="1" applyProtection="1">
      <alignment horizontal="right"/>
    </xf>
    <xf numFmtId="0" fontId="44" fillId="19" borderId="6" xfId="0" applyFont="1" applyFill="1" applyBorder="1" applyProtection="1"/>
    <xf numFmtId="0" fontId="44" fillId="0" borderId="7" xfId="0" applyFont="1" applyBorder="1" applyProtection="1"/>
    <xf numFmtId="0" fontId="44" fillId="0" borderId="0" xfId="0" applyFont="1" applyFill="1" applyBorder="1" applyProtection="1"/>
    <xf numFmtId="0" fontId="44" fillId="9" borderId="0" xfId="0" applyFont="1" applyFill="1" applyProtection="1"/>
    <xf numFmtId="0" fontId="44" fillId="0" borderId="7" xfId="0" applyFont="1" applyBorder="1" applyAlignment="1" applyProtection="1"/>
    <xf numFmtId="0" fontId="44" fillId="11" borderId="9" xfId="0" applyFont="1" applyFill="1" applyBorder="1" applyAlignment="1" applyProtection="1">
      <alignment horizontal="right"/>
      <protection locked="0"/>
    </xf>
    <xf numFmtId="0" fontId="44" fillId="9" borderId="8" xfId="0" applyFont="1" applyFill="1" applyBorder="1" applyProtection="1"/>
    <xf numFmtId="0" fontId="44" fillId="0" borderId="9" xfId="0" applyFont="1" applyBorder="1" applyAlignment="1" applyProtection="1"/>
    <xf numFmtId="0" fontId="44" fillId="0" borderId="10" xfId="0" applyFont="1" applyFill="1" applyBorder="1" applyAlignment="1" applyProtection="1">
      <alignment horizontal="right"/>
    </xf>
    <xf numFmtId="0" fontId="44" fillId="9" borderId="16" xfId="0" applyFont="1" applyFill="1" applyBorder="1" applyProtection="1"/>
    <xf numFmtId="0" fontId="44" fillId="9" borderId="0" xfId="0" applyFont="1" applyFill="1" applyAlignment="1" applyProtection="1"/>
    <xf numFmtId="0" fontId="44" fillId="0" borderId="11" xfId="0" applyFont="1" applyBorder="1" applyAlignment="1" applyProtection="1"/>
    <xf numFmtId="0" fontId="44" fillId="0" borderId="0" xfId="0" applyFont="1" applyBorder="1" applyAlignment="1" applyProtection="1">
      <alignment vertical="center"/>
    </xf>
    <xf numFmtId="0" fontId="44" fillId="0" borderId="0" xfId="0" applyFont="1" applyAlignment="1" applyProtection="1">
      <alignment vertical="center"/>
    </xf>
    <xf numFmtId="166" fontId="44" fillId="17" borderId="20" xfId="0" applyNumberFormat="1" applyFont="1" applyFill="1" applyBorder="1" applyAlignment="1" applyProtection="1">
      <protection locked="0"/>
    </xf>
    <xf numFmtId="166" fontId="44" fillId="17" borderId="8" xfId="0" applyNumberFormat="1" applyFont="1" applyFill="1" applyBorder="1" applyAlignment="1" applyProtection="1"/>
    <xf numFmtId="3" fontId="44" fillId="17" borderId="20" xfId="0" applyNumberFormat="1" applyFont="1" applyFill="1" applyBorder="1" applyAlignment="1" applyProtection="1">
      <protection locked="0"/>
    </xf>
    <xf numFmtId="3" fontId="44" fillId="17" borderId="8" xfId="0" applyNumberFormat="1" applyFont="1" applyFill="1" applyBorder="1" applyAlignment="1" applyProtection="1"/>
    <xf numFmtId="166" fontId="44" fillId="11" borderId="20" xfId="0" applyNumberFormat="1" applyFont="1" applyFill="1" applyBorder="1" applyAlignment="1" applyProtection="1">
      <protection locked="0"/>
    </xf>
    <xf numFmtId="166" fontId="44" fillId="11" borderId="8" xfId="0" applyNumberFormat="1" applyFont="1" applyFill="1" applyBorder="1" applyAlignment="1" applyProtection="1"/>
    <xf numFmtId="4" fontId="44" fillId="11" borderId="20" xfId="0" applyNumberFormat="1" applyFont="1" applyFill="1" applyBorder="1" applyAlignment="1" applyProtection="1">
      <protection locked="0"/>
    </xf>
    <xf numFmtId="4" fontId="44" fillId="11" borderId="8" xfId="0" applyNumberFormat="1" applyFont="1" applyFill="1" applyBorder="1" applyAlignment="1" applyProtection="1"/>
    <xf numFmtId="3" fontId="44" fillId="0" borderId="0" xfId="0" applyNumberFormat="1" applyFont="1" applyBorder="1" applyAlignment="1" applyProtection="1">
      <alignment vertical="center"/>
    </xf>
    <xf numFmtId="0" fontId="44" fillId="0" borderId="0" xfId="0" quotePrefix="1" applyFont="1" applyFill="1" applyBorder="1" applyAlignment="1" applyProtection="1"/>
    <xf numFmtId="0" fontId="44" fillId="21" borderId="0" xfId="0" applyFont="1" applyFill="1" applyAlignment="1" applyProtection="1"/>
    <xf numFmtId="0" fontId="44" fillId="0" borderId="0" xfId="0" applyFont="1" applyFill="1" applyAlignment="1" applyProtection="1"/>
    <xf numFmtId="0" fontId="44" fillId="0" borderId="0" xfId="0" applyFont="1" applyAlignment="1" applyProtection="1">
      <alignment horizontal="left" vertical="center"/>
    </xf>
    <xf numFmtId="0" fontId="44" fillId="15" borderId="5" xfId="0" applyFont="1" applyFill="1" applyBorder="1" applyAlignment="1" applyProtection="1">
      <alignment vertical="center"/>
    </xf>
    <xf numFmtId="0" fontId="44" fillId="0" borderId="0" xfId="0" applyNumberFormat="1" applyFont="1" applyAlignment="1" applyProtection="1">
      <alignment vertical="center"/>
    </xf>
    <xf numFmtId="0" fontId="44" fillId="16" borderId="5" xfId="0" applyFont="1" applyFill="1" applyBorder="1" applyAlignment="1" applyProtection="1">
      <alignment vertical="center"/>
    </xf>
    <xf numFmtId="0" fontId="44" fillId="19" borderId="0" xfId="0" applyFont="1" applyFill="1" applyBorder="1" applyAlignment="1" applyProtection="1">
      <alignment vertical="center"/>
    </xf>
    <xf numFmtId="0" fontId="44" fillId="19" borderId="0" xfId="0" applyFont="1" applyFill="1" applyAlignment="1" applyProtection="1">
      <alignment vertical="center"/>
    </xf>
    <xf numFmtId="0" fontId="44" fillId="0" borderId="0" xfId="0" quotePrefix="1" applyFont="1" applyBorder="1" applyAlignment="1" applyProtection="1">
      <alignment vertical="center"/>
    </xf>
    <xf numFmtId="0" fontId="44" fillId="0" borderId="0" xfId="0" applyFont="1" applyFill="1" applyAlignment="1" applyProtection="1">
      <alignment vertical="center"/>
    </xf>
    <xf numFmtId="0" fontId="44" fillId="0" borderId="13" xfId="0" applyFont="1" applyBorder="1" applyAlignment="1" applyProtection="1"/>
    <xf numFmtId="3" fontId="44" fillId="5" borderId="5" xfId="0" applyNumberFormat="1" applyFont="1" applyFill="1" applyBorder="1" applyAlignment="1" applyProtection="1">
      <alignment vertical="center"/>
    </xf>
    <xf numFmtId="0" fontId="44" fillId="0" borderId="0" xfId="0" applyFont="1" applyAlignment="1" applyProtection="1">
      <alignment horizontal="left" vertical="center" wrapText="1"/>
    </xf>
    <xf numFmtId="0" fontId="44" fillId="0" borderId="0" xfId="0" applyFont="1" applyAlignment="1" applyProtection="1">
      <alignment vertical="center" wrapText="1"/>
    </xf>
    <xf numFmtId="0" fontId="89" fillId="0" borderId="0" xfId="15" applyFont="1" applyAlignment="1" applyProtection="1">
      <alignment vertical="center"/>
    </xf>
    <xf numFmtId="0" fontId="73" fillId="0" borderId="0" xfId="0" applyFont="1" applyAlignment="1"/>
    <xf numFmtId="0" fontId="73" fillId="21" borderId="0" xfId="0" applyFont="1" applyFill="1" applyAlignment="1" applyProtection="1">
      <alignment horizontal="right"/>
    </xf>
    <xf numFmtId="0" fontId="43" fillId="9" borderId="14" xfId="0" applyFont="1" applyFill="1" applyBorder="1" applyAlignment="1" applyProtection="1"/>
    <xf numFmtId="0" fontId="77" fillId="0" borderId="0" xfId="0" applyFont="1" applyAlignment="1" applyProtection="1"/>
    <xf numFmtId="3" fontId="41" fillId="0" borderId="0" xfId="0" applyNumberFormat="1" applyFont="1" applyBorder="1" applyAlignment="1" applyProtection="1">
      <alignment vertical="center"/>
    </xf>
    <xf numFmtId="0" fontId="40" fillId="0" borderId="0" xfId="0" applyFont="1" applyFill="1" applyAlignment="1" applyProtection="1">
      <alignment vertical="center"/>
    </xf>
    <xf numFmtId="4" fontId="44" fillId="0" borderId="0" xfId="0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3" fontId="44" fillId="0" borderId="0" xfId="0" applyNumberFormat="1" applyFont="1" applyFill="1" applyAlignment="1" applyProtection="1"/>
    <xf numFmtId="0" fontId="41" fillId="0" borderId="0" xfId="0" applyFont="1" applyFill="1" applyAlignment="1" applyProtection="1">
      <alignment horizontal="right"/>
    </xf>
    <xf numFmtId="0" fontId="40" fillId="0" borderId="0" xfId="0" applyFont="1" applyAlignment="1" applyProtection="1"/>
    <xf numFmtId="0" fontId="40" fillId="0" borderId="0" xfId="0" applyFont="1"/>
    <xf numFmtId="0" fontId="40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/>
    <xf numFmtId="0" fontId="65" fillId="0" borderId="0" xfId="0" applyFont="1" applyAlignment="1" applyProtection="1"/>
    <xf numFmtId="0" fontId="65" fillId="0" borderId="0" xfId="0" applyFont="1" applyAlignment="1" applyProtection="1">
      <alignment vertical="center"/>
    </xf>
    <xf numFmtId="0" fontId="39" fillId="0" borderId="0" xfId="0" applyFont="1" applyAlignment="1" applyProtection="1"/>
    <xf numFmtId="0" fontId="39" fillId="0" borderId="0" xfId="0" applyFont="1"/>
    <xf numFmtId="0" fontId="39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39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/>
    <xf numFmtId="0" fontId="39" fillId="0" borderId="0" xfId="0" applyFont="1" applyFill="1" applyAlignment="1" applyProtection="1">
      <alignment horizontal="right"/>
    </xf>
    <xf numFmtId="0" fontId="39" fillId="0" borderId="10" xfId="0" applyFont="1" applyBorder="1" applyAlignment="1" applyProtection="1">
      <alignment vertical="center"/>
    </xf>
    <xf numFmtId="0" fontId="39" fillId="0" borderId="10" xfId="0" applyFont="1" applyBorder="1" applyAlignment="1" applyProtection="1"/>
    <xf numFmtId="0" fontId="38" fillId="19" borderId="0" xfId="0" applyFont="1" applyFill="1" applyBorder="1" applyAlignment="1" applyProtection="1">
      <alignment vertical="center"/>
    </xf>
    <xf numFmtId="0" fontId="72" fillId="19" borderId="0" xfId="15" applyFont="1" applyFill="1"/>
    <xf numFmtId="0" fontId="37" fillId="0" borderId="0" xfId="0" applyFont="1" applyAlignment="1" applyProtection="1"/>
    <xf numFmtId="0" fontId="74" fillId="0" borderId="0" xfId="0" applyFont="1" applyAlignment="1" applyProtection="1"/>
    <xf numFmtId="0" fontId="36" fillId="0" borderId="0" xfId="0" applyFont="1" applyAlignment="1">
      <alignment vertical="center"/>
    </xf>
    <xf numFmtId="0" fontId="35" fillId="0" borderId="0" xfId="0" applyFont="1" applyAlignment="1" applyProtection="1"/>
    <xf numFmtId="4" fontId="35" fillId="0" borderId="0" xfId="0" applyNumberFormat="1" applyFont="1" applyAlignment="1" applyProtection="1"/>
    <xf numFmtId="10" fontId="35" fillId="0" borderId="0" xfId="0" applyNumberFormat="1" applyFont="1" applyAlignment="1" applyProtection="1"/>
    <xf numFmtId="0" fontId="34" fillId="0" borderId="0" xfId="0" applyFont="1" applyAlignment="1" applyProtection="1"/>
    <xf numFmtId="3" fontId="34" fillId="15" borderId="9" xfId="0" applyNumberFormat="1" applyFont="1" applyFill="1" applyBorder="1" applyAlignment="1" applyProtection="1">
      <alignment vertical="center"/>
    </xf>
    <xf numFmtId="0" fontId="63" fillId="0" borderId="0" xfId="0" applyFont="1" applyAlignment="1" applyProtection="1"/>
    <xf numFmtId="0" fontId="33" fillId="0" borderId="0" xfId="0" applyFont="1" applyAlignment="1" applyProtection="1">
      <alignment vertical="center"/>
    </xf>
    <xf numFmtId="167" fontId="33" fillId="11" borderId="20" xfId="0" applyNumberFormat="1" applyFont="1" applyFill="1" applyBorder="1" applyAlignment="1" applyProtection="1">
      <protection locked="0"/>
    </xf>
    <xf numFmtId="4" fontId="33" fillId="15" borderId="9" xfId="0" applyNumberFormat="1" applyFont="1" applyFill="1" applyBorder="1" applyAlignment="1" applyProtection="1">
      <alignment vertical="center"/>
    </xf>
    <xf numFmtId="4" fontId="44" fillId="15" borderId="9" xfId="0" applyNumberFormat="1" applyFont="1" applyFill="1" applyBorder="1" applyAlignment="1" applyProtection="1">
      <alignment vertical="center"/>
    </xf>
    <xf numFmtId="0" fontId="63" fillId="0" borderId="0" xfId="0" applyFont="1" applyFill="1" applyAlignment="1" applyProtection="1">
      <alignment vertical="center"/>
    </xf>
    <xf numFmtId="0" fontId="65" fillId="0" borderId="13" xfId="0" applyFont="1" applyFill="1" applyBorder="1" applyAlignment="1" applyProtection="1">
      <alignment vertical="center"/>
    </xf>
    <xf numFmtId="0" fontId="63" fillId="0" borderId="12" xfId="0" applyFont="1" applyFill="1" applyBorder="1" applyAlignment="1" applyProtection="1">
      <alignment vertical="center"/>
    </xf>
    <xf numFmtId="0" fontId="44" fillId="0" borderId="12" xfId="0" applyFont="1" applyFill="1" applyBorder="1" applyAlignment="1" applyProtection="1"/>
    <xf numFmtId="0" fontId="74" fillId="0" borderId="0" xfId="0" quotePrefix="1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right"/>
    </xf>
    <xf numFmtId="0" fontId="41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vertical="center"/>
    </xf>
    <xf numFmtId="0" fontId="65" fillId="0" borderId="0" xfId="0" applyFont="1" applyBorder="1" applyAlignment="1" applyProtection="1"/>
    <xf numFmtId="0" fontId="44" fillId="0" borderId="23" xfId="0" applyFont="1" applyBorder="1" applyAlignment="1" applyProtection="1"/>
    <xf numFmtId="0" fontId="63" fillId="18" borderId="8" xfId="0" applyFont="1" applyFill="1" applyBorder="1" applyAlignment="1" applyProtection="1"/>
    <xf numFmtId="3" fontId="44" fillId="15" borderId="5" xfId="0" applyNumberFormat="1" applyFont="1" applyFill="1" applyBorder="1" applyAlignment="1" applyProtection="1">
      <alignment vertical="center"/>
    </xf>
    <xf numFmtId="0" fontId="32" fillId="18" borderId="14" xfId="0" applyFont="1" applyFill="1" applyBorder="1" applyAlignment="1" applyProtection="1">
      <alignment horizontal="right"/>
    </xf>
    <xf numFmtId="0" fontId="63" fillId="0" borderId="13" xfId="0" quotePrefix="1" applyFont="1" applyBorder="1" applyAlignment="1" applyProtection="1">
      <alignment vertical="center"/>
    </xf>
    <xf numFmtId="0" fontId="88" fillId="0" borderId="0" xfId="0" applyFont="1" applyAlignment="1" applyProtection="1"/>
    <xf numFmtId="0" fontId="92" fillId="0" borderId="0" xfId="0" applyFont="1" applyAlignment="1" applyProtection="1"/>
    <xf numFmtId="3" fontId="63" fillId="24" borderId="20" xfId="0" applyNumberFormat="1" applyFont="1" applyFill="1" applyBorder="1" applyAlignment="1" applyProtection="1"/>
    <xf numFmtId="0" fontId="73" fillId="24" borderId="8" xfId="0" applyFont="1" applyFill="1" applyBorder="1" applyAlignment="1" applyProtection="1"/>
    <xf numFmtId="3" fontId="44" fillId="26" borderId="8" xfId="0" applyNumberFormat="1" applyFont="1" applyFill="1" applyBorder="1" applyAlignment="1" applyProtection="1"/>
    <xf numFmtId="0" fontId="31" fillId="18" borderId="8" xfId="0" applyFont="1" applyFill="1" applyBorder="1" applyAlignment="1" applyProtection="1">
      <alignment horizontal="right"/>
    </xf>
    <xf numFmtId="0" fontId="90" fillId="0" borderId="0" xfId="0" applyFont="1" applyAlignment="1" applyProtection="1"/>
    <xf numFmtId="0" fontId="30" fillId="0" borderId="0" xfId="0" applyFont="1" applyAlignment="1" applyProtection="1"/>
    <xf numFmtId="0" fontId="30" fillId="0" borderId="0" xfId="0" applyFont="1" applyAlignment="1" applyProtection="1">
      <alignment vertical="center"/>
    </xf>
    <xf numFmtId="0" fontId="30" fillId="16" borderId="9" xfId="0" applyFont="1" applyFill="1" applyBorder="1" applyAlignment="1" applyProtection="1">
      <alignment vertical="center"/>
    </xf>
    <xf numFmtId="0" fontId="67" fillId="0" borderId="0" xfId="0" applyFont="1" applyFill="1" applyBorder="1" applyAlignment="1" applyProtection="1">
      <alignment horizontal="right"/>
    </xf>
    <xf numFmtId="3" fontId="44" fillId="0" borderId="0" xfId="0" applyNumberFormat="1" applyFont="1" applyFill="1" applyBorder="1" applyAlignment="1" applyProtection="1"/>
    <xf numFmtId="0" fontId="32" fillId="0" borderId="0" xfId="0" applyFont="1" applyFill="1" applyBorder="1" applyAlignment="1" applyProtection="1"/>
    <xf numFmtId="167" fontId="44" fillId="0" borderId="0" xfId="0" applyNumberFormat="1" applyFont="1" applyFill="1" applyBorder="1" applyAlignment="1" applyProtection="1"/>
    <xf numFmtId="3" fontId="42" fillId="0" borderId="0" xfId="0" applyNumberFormat="1" applyFont="1" applyFill="1" applyBorder="1" applyAlignment="1" applyProtection="1"/>
    <xf numFmtId="3" fontId="74" fillId="0" borderId="0" xfId="0" applyNumberFormat="1" applyFont="1" applyFill="1" applyBorder="1" applyAlignment="1" applyProtection="1"/>
    <xf numFmtId="0" fontId="29" fillId="19" borderId="15" xfId="0" applyFont="1" applyFill="1" applyBorder="1" applyProtection="1"/>
    <xf numFmtId="0" fontId="29" fillId="19" borderId="18" xfId="0" applyFont="1" applyFill="1" applyBorder="1" applyAlignment="1" applyProtection="1">
      <alignment horizontal="left"/>
    </xf>
    <xf numFmtId="0" fontId="29" fillId="19" borderId="16" xfId="0" applyFont="1" applyFill="1" applyBorder="1" applyAlignment="1" applyProtection="1">
      <alignment horizontal="left"/>
    </xf>
    <xf numFmtId="0" fontId="29" fillId="0" borderId="0" xfId="0" applyFont="1" applyFill="1" applyBorder="1" applyProtection="1"/>
    <xf numFmtId="0" fontId="28" fillId="0" borderId="7" xfId="0" applyFont="1" applyBorder="1" applyAlignment="1" applyProtection="1">
      <alignment horizontal="right"/>
    </xf>
    <xf numFmtId="0" fontId="28" fillId="0" borderId="9" xfId="0" applyNumberFormat="1" applyFont="1" applyBorder="1" applyProtection="1"/>
    <xf numFmtId="0" fontId="28" fillId="0" borderId="9" xfId="0" applyNumberFormat="1" applyFont="1" applyFill="1" applyBorder="1" applyProtection="1"/>
    <xf numFmtId="0" fontId="68" fillId="9" borderId="14" xfId="0" applyFont="1" applyFill="1" applyBorder="1" applyAlignment="1" applyProtection="1"/>
    <xf numFmtId="0" fontId="28" fillId="9" borderId="10" xfId="0" applyFont="1" applyFill="1" applyBorder="1" applyAlignment="1" applyProtection="1"/>
    <xf numFmtId="0" fontId="28" fillId="9" borderId="14" xfId="0" applyFont="1" applyFill="1" applyBorder="1" applyAlignment="1" applyProtection="1"/>
    <xf numFmtId="4" fontId="28" fillId="11" borderId="9" xfId="0" applyNumberFormat="1" applyFont="1" applyFill="1" applyBorder="1" applyAlignment="1" applyProtection="1">
      <protection locked="0"/>
    </xf>
    <xf numFmtId="0" fontId="67" fillId="24" borderId="10" xfId="0" applyFont="1" applyFill="1" applyBorder="1" applyAlignment="1" applyProtection="1">
      <alignment horizontal="right"/>
    </xf>
    <xf numFmtId="0" fontId="84" fillId="11" borderId="20" xfId="0" applyFont="1" applyFill="1" applyBorder="1" applyAlignment="1" applyProtection="1"/>
    <xf numFmtId="0" fontId="44" fillId="20" borderId="0" xfId="0" applyFont="1" applyFill="1" applyAlignment="1" applyProtection="1">
      <alignment horizontal="right"/>
    </xf>
    <xf numFmtId="167" fontId="90" fillId="0" borderId="0" xfId="0" applyNumberFormat="1" applyFont="1" applyFill="1" applyBorder="1" applyAlignment="1" applyProtection="1"/>
    <xf numFmtId="0" fontId="93" fillId="0" borderId="0" xfId="0" applyFont="1" applyFill="1" applyBorder="1" applyAlignment="1" applyProtection="1">
      <alignment horizontal="right"/>
    </xf>
    <xf numFmtId="0" fontId="85" fillId="0" borderId="0" xfId="0" applyFont="1" applyAlignment="1" applyProtection="1"/>
    <xf numFmtId="0" fontId="67" fillId="24" borderId="6" xfId="0" applyFont="1" applyFill="1" applyBorder="1" applyAlignment="1" applyProtection="1">
      <alignment horizontal="right"/>
    </xf>
    <xf numFmtId="4" fontId="74" fillId="11" borderId="8" xfId="0" applyNumberFormat="1" applyFont="1" applyFill="1" applyBorder="1" applyAlignment="1" applyProtection="1">
      <protection locked="0"/>
    </xf>
    <xf numFmtId="3" fontId="27" fillId="0" borderId="0" xfId="0" applyNumberFormat="1" applyFont="1" applyBorder="1" applyAlignment="1" applyProtection="1">
      <alignment vertical="center"/>
    </xf>
    <xf numFmtId="0" fontId="27" fillId="0" borderId="0" xfId="0" applyFont="1" applyAlignment="1" applyProtection="1"/>
    <xf numFmtId="4" fontId="27" fillId="11" borderId="20" xfId="0" applyNumberFormat="1" applyFont="1" applyFill="1" applyBorder="1" applyAlignment="1" applyProtection="1">
      <protection locked="0"/>
    </xf>
    <xf numFmtId="4" fontId="27" fillId="9" borderId="8" xfId="0" applyNumberFormat="1" applyFont="1" applyFill="1" applyBorder="1" applyAlignment="1" applyProtection="1"/>
    <xf numFmtId="4" fontId="27" fillId="9" borderId="14" xfId="0" applyNumberFormat="1" applyFont="1" applyFill="1" applyBorder="1" applyAlignment="1" applyProtection="1"/>
    <xf numFmtId="0" fontId="27" fillId="18" borderId="7" xfId="0" applyFont="1" applyFill="1" applyBorder="1" applyAlignment="1">
      <alignment horizontal="center"/>
    </xf>
    <xf numFmtId="0" fontId="27" fillId="0" borderId="0" xfId="0" applyFont="1"/>
    <xf numFmtId="0" fontId="27" fillId="9" borderId="20" xfId="0" applyFont="1" applyFill="1" applyBorder="1" applyAlignment="1" applyProtection="1">
      <alignment horizontal="center"/>
    </xf>
    <xf numFmtId="0" fontId="27" fillId="9" borderId="8" xfId="0" applyFont="1" applyFill="1" applyBorder="1" applyAlignment="1" applyProtection="1">
      <alignment horizontal="center"/>
    </xf>
    <xf numFmtId="166" fontId="68" fillId="20" borderId="7" xfId="0" applyNumberFormat="1" applyFont="1" applyFill="1" applyBorder="1" applyAlignment="1" applyProtection="1"/>
    <xf numFmtId="166" fontId="68" fillId="21" borderId="6" xfId="0" applyNumberFormat="1" applyFont="1" applyFill="1" applyBorder="1" applyAlignment="1" applyProtection="1"/>
    <xf numFmtId="0" fontId="26" fillId="9" borderId="14" xfId="0" applyFont="1" applyFill="1" applyBorder="1" applyAlignment="1" applyProtection="1"/>
    <xf numFmtId="0" fontId="74" fillId="0" borderId="0" xfId="0" applyNumberFormat="1" applyFont="1" applyAlignment="1" applyProtection="1">
      <alignment horizontal="left"/>
    </xf>
    <xf numFmtId="0" fontId="63" fillId="0" borderId="0" xfId="0" applyFont="1" applyFill="1" applyBorder="1" applyAlignment="1" applyProtection="1">
      <alignment vertical="center"/>
    </xf>
    <xf numFmtId="0" fontId="23" fillId="0" borderId="0" xfId="0" applyFont="1" applyAlignment="1" applyProtection="1"/>
    <xf numFmtId="0" fontId="44" fillId="21" borderId="0" xfId="0" applyFont="1" applyFill="1" applyBorder="1" applyAlignment="1" applyProtection="1">
      <alignment horizontal="right"/>
    </xf>
    <xf numFmtId="0" fontId="73" fillId="0" borderId="0" xfId="0" applyFont="1" applyFill="1" applyAlignment="1" applyProtection="1"/>
    <xf numFmtId="0" fontId="22" fillId="0" borderId="0" xfId="0" applyFont="1" applyAlignment="1" applyProtection="1"/>
    <xf numFmtId="0" fontId="21" fillId="0" borderId="0" xfId="0" applyFont="1" applyFill="1" applyBorder="1" applyAlignment="1" applyProtection="1">
      <alignment horizontal="right"/>
    </xf>
    <xf numFmtId="2" fontId="97" fillId="0" borderId="0" xfId="0" applyNumberFormat="1" applyFont="1" applyFill="1" applyBorder="1" applyAlignment="1" applyProtection="1"/>
    <xf numFmtId="0" fontId="20" fillId="0" borderId="0" xfId="0" applyFont="1" applyFill="1" applyBorder="1" applyAlignment="1" applyProtection="1"/>
    <xf numFmtId="0" fontId="20" fillId="0" borderId="0" xfId="0" applyFont="1" applyAlignment="1" applyProtection="1"/>
    <xf numFmtId="166" fontId="68" fillId="20" borderId="8" xfId="0" applyNumberFormat="1" applyFont="1" applyFill="1" applyBorder="1" applyAlignment="1" applyProtection="1"/>
    <xf numFmtId="0" fontId="67" fillId="18" borderId="0" xfId="0" applyFont="1" applyFill="1" applyAlignment="1">
      <alignment horizontal="right"/>
    </xf>
    <xf numFmtId="0" fontId="67" fillId="18" borderId="6" xfId="0" applyFont="1" applyFill="1" applyBorder="1" applyAlignment="1">
      <alignment horizontal="right"/>
    </xf>
    <xf numFmtId="167" fontId="27" fillId="11" borderId="20" xfId="0" applyNumberFormat="1" applyFont="1" applyFill="1" applyBorder="1" applyAlignment="1" applyProtection="1">
      <protection locked="0"/>
    </xf>
    <xf numFmtId="167" fontId="27" fillId="9" borderId="14" xfId="0" applyNumberFormat="1" applyFont="1" applyFill="1" applyBorder="1"/>
    <xf numFmtId="167" fontId="27" fillId="9" borderId="8" xfId="0" applyNumberFormat="1" applyFont="1" applyFill="1" applyBorder="1"/>
    <xf numFmtId="167" fontId="27" fillId="11" borderId="9" xfId="0" applyNumberFormat="1" applyFont="1" applyFill="1" applyBorder="1" applyAlignment="1" applyProtection="1">
      <protection locked="0"/>
    </xf>
    <xf numFmtId="167" fontId="27" fillId="0" borderId="0" xfId="0" applyNumberFormat="1" applyFont="1"/>
    <xf numFmtId="0" fontId="19" fillId="0" borderId="10" xfId="0" applyFont="1" applyBorder="1"/>
    <xf numFmtId="167" fontId="19" fillId="9" borderId="14" xfId="0" applyNumberFormat="1" applyFont="1" applyFill="1" applyBorder="1"/>
    <xf numFmtId="0" fontId="19" fillId="0" borderId="10" xfId="0" applyFont="1" applyBorder="1" applyAlignment="1" applyProtection="1"/>
    <xf numFmtId="0" fontId="44" fillId="9" borderId="18" xfId="0" applyFont="1" applyFill="1" applyBorder="1" applyAlignment="1" applyProtection="1">
      <alignment horizontal="left"/>
    </xf>
    <xf numFmtId="0" fontId="29" fillId="9" borderId="18" xfId="0" applyFont="1" applyFill="1" applyBorder="1" applyAlignment="1" applyProtection="1">
      <alignment horizontal="left"/>
    </xf>
    <xf numFmtId="0" fontId="44" fillId="9" borderId="6" xfId="0" applyFont="1" applyFill="1" applyBorder="1" applyAlignment="1" applyProtection="1">
      <alignment horizontal="left"/>
    </xf>
    <xf numFmtId="0" fontId="63" fillId="0" borderId="0" xfId="0" applyFont="1"/>
    <xf numFmtId="0" fontId="44" fillId="9" borderId="0" xfId="0" applyFont="1" applyFill="1" applyBorder="1" applyProtection="1"/>
    <xf numFmtId="0" fontId="29" fillId="9" borderId="0" xfId="0" applyFont="1" applyFill="1" applyBorder="1" applyProtection="1"/>
    <xf numFmtId="0" fontId="44" fillId="9" borderId="10" xfId="0" applyFont="1" applyFill="1" applyBorder="1" applyProtection="1"/>
    <xf numFmtId="0" fontId="67" fillId="18" borderId="10" xfId="0" applyFont="1" applyFill="1" applyBorder="1" applyProtection="1"/>
    <xf numFmtId="0" fontId="67" fillId="18" borderId="6" xfId="0" applyFont="1" applyFill="1" applyBorder="1" applyAlignment="1" applyProtection="1">
      <alignment horizontal="left"/>
    </xf>
    <xf numFmtId="0" fontId="27" fillId="9" borderId="6" xfId="0" applyFont="1" applyFill="1" applyBorder="1"/>
    <xf numFmtId="0" fontId="18" fillId="9" borderId="10" xfId="0" applyFont="1" applyFill="1" applyBorder="1"/>
    <xf numFmtId="0" fontId="27" fillId="0" borderId="10" xfId="0" applyFont="1" applyBorder="1"/>
    <xf numFmtId="0" fontId="17" fillId="0" borderId="0" xfId="0" applyFont="1"/>
    <xf numFmtId="0" fontId="17" fillId="0" borderId="0" xfId="0" applyFont="1" applyAlignment="1" applyProtection="1">
      <alignment vertical="center"/>
    </xf>
    <xf numFmtId="0" fontId="17" fillId="9" borderId="20" xfId="0" applyFont="1" applyFill="1" applyBorder="1" applyAlignment="1" applyProtection="1">
      <alignment horizontal="center"/>
    </xf>
    <xf numFmtId="0" fontId="15" fillId="9" borderId="0" xfId="0" applyFont="1" applyFill="1" applyBorder="1" applyProtection="1"/>
    <xf numFmtId="0" fontId="13" fillId="0" borderId="0" xfId="0" applyFont="1"/>
    <xf numFmtId="0" fontId="27" fillId="0" borderId="0" xfId="0" applyFont="1" applyBorder="1"/>
    <xf numFmtId="0" fontId="14" fillId="0" borderId="0" xfId="0" applyFont="1" applyBorder="1"/>
    <xf numFmtId="0" fontId="12" fillId="0" borderId="0" xfId="0" applyFont="1" applyBorder="1" applyAlignment="1" applyProtection="1">
      <alignment horizontal="right"/>
    </xf>
    <xf numFmtId="0" fontId="11" fillId="0" borderId="0" xfId="0" applyFont="1" applyFill="1" applyBorder="1" applyAlignment="1" applyProtection="1"/>
    <xf numFmtId="0" fontId="72" fillId="0" borderId="0" xfId="15" applyFont="1" applyProtection="1"/>
    <xf numFmtId="0" fontId="27" fillId="0" borderId="0" xfId="0" applyFont="1" applyProtection="1"/>
    <xf numFmtId="0" fontId="16" fillId="0" borderId="0" xfId="0" applyFont="1" applyAlignment="1">
      <alignment horizontal="right"/>
    </xf>
    <xf numFmtId="0" fontId="73" fillId="0" borderId="0" xfId="0" applyFont="1" applyFill="1" applyAlignment="1" applyProtection="1">
      <protection locked="0"/>
    </xf>
    <xf numFmtId="2" fontId="44" fillId="10" borderId="9" xfId="0" quotePrefix="1" applyNumberFormat="1" applyFont="1" applyFill="1" applyBorder="1" applyAlignment="1" applyProtection="1"/>
    <xf numFmtId="2" fontId="44" fillId="11" borderId="9" xfId="0" applyNumberFormat="1" applyFont="1" applyFill="1" applyBorder="1" applyAlignment="1" applyProtection="1"/>
    <xf numFmtId="2" fontId="44" fillId="11" borderId="17" xfId="0" applyNumberFormat="1" applyFont="1" applyFill="1" applyBorder="1" applyAlignment="1" applyProtection="1"/>
    <xf numFmtId="0" fontId="74" fillId="11" borderId="8" xfId="0" applyFont="1" applyFill="1" applyBorder="1" applyAlignment="1" applyProtection="1"/>
    <xf numFmtId="4" fontId="28" fillId="11" borderId="9" xfId="0" applyNumberFormat="1" applyFont="1" applyFill="1" applyBorder="1" applyAlignment="1" applyProtection="1"/>
    <xf numFmtId="4" fontId="44" fillId="11" borderId="9" xfId="0" applyNumberFormat="1" applyFont="1" applyFill="1" applyBorder="1" applyAlignment="1" applyProtection="1">
      <alignment horizontal="right"/>
    </xf>
    <xf numFmtId="4" fontId="63" fillId="11" borderId="9" xfId="0" applyNumberFormat="1" applyFont="1" applyFill="1" applyBorder="1" applyAlignment="1" applyProtection="1"/>
    <xf numFmtId="0" fontId="44" fillId="11" borderId="9" xfId="0" applyFont="1" applyFill="1" applyBorder="1" applyAlignment="1" applyProtection="1">
      <alignment horizontal="right"/>
    </xf>
    <xf numFmtId="3" fontId="44" fillId="17" borderId="20" xfId="0" applyNumberFormat="1" applyFont="1" applyFill="1" applyBorder="1" applyAlignment="1" applyProtection="1"/>
    <xf numFmtId="166" fontId="44" fillId="17" borderId="20" xfId="0" applyNumberFormat="1" applyFont="1" applyFill="1" applyBorder="1" applyAlignment="1" applyProtection="1"/>
    <xf numFmtId="166" fontId="44" fillId="11" borderId="20" xfId="0" applyNumberFormat="1" applyFont="1" applyFill="1" applyBorder="1" applyAlignment="1" applyProtection="1"/>
    <xf numFmtId="4" fontId="44" fillId="11" borderId="20" xfId="0" applyNumberFormat="1" applyFont="1" applyFill="1" applyBorder="1" applyAlignment="1" applyProtection="1"/>
    <xf numFmtId="167" fontId="33" fillId="11" borderId="20" xfId="0" applyNumberFormat="1" applyFont="1" applyFill="1" applyBorder="1" applyAlignment="1" applyProtection="1"/>
    <xf numFmtId="0" fontId="36" fillId="0" borderId="0" xfId="0" applyFont="1" applyAlignment="1" applyProtection="1">
      <alignment vertical="center"/>
    </xf>
    <xf numFmtId="0" fontId="77" fillId="0" borderId="10" xfId="0" applyFont="1" applyBorder="1" applyAlignment="1" applyProtection="1"/>
    <xf numFmtId="0" fontId="44" fillId="0" borderId="0" xfId="0" applyNumberFormat="1" applyFont="1" applyFill="1" applyBorder="1" applyAlignment="1" applyProtection="1"/>
    <xf numFmtId="0" fontId="44" fillId="0" borderId="0" xfId="0" applyNumberFormat="1" applyFont="1" applyAlignment="1" applyProtection="1">
      <alignment wrapText="1"/>
    </xf>
    <xf numFmtId="0" fontId="10" fillId="9" borderId="6" xfId="0" applyFont="1" applyFill="1" applyBorder="1" applyProtection="1"/>
    <xf numFmtId="0" fontId="9" fillId="11" borderId="9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/>
    <xf numFmtId="0" fontId="8" fillId="9" borderId="14" xfId="0" quotePrefix="1" applyFont="1" applyFill="1" applyBorder="1" applyAlignment="1" applyProtection="1"/>
    <xf numFmtId="0" fontId="8" fillId="9" borderId="14" xfId="0" applyFont="1" applyFill="1" applyBorder="1" applyAlignment="1" applyProtection="1"/>
    <xf numFmtId="0" fontId="44" fillId="14" borderId="5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/>
    <xf numFmtId="0" fontId="8" fillId="0" borderId="0" xfId="0" quotePrefix="1" applyFont="1" applyAlignment="1"/>
    <xf numFmtId="0" fontId="27" fillId="0" borderId="0" xfId="0" applyFont="1" applyAlignment="1"/>
    <xf numFmtId="0" fontId="27" fillId="0" borderId="24" xfId="0" applyFont="1" applyBorder="1"/>
    <xf numFmtId="0" fontId="7" fillId="9" borderId="10" xfId="0" applyFont="1" applyFill="1" applyBorder="1" applyAlignment="1" applyProtection="1"/>
    <xf numFmtId="0" fontId="6" fillId="0" borderId="0" xfId="0" quotePrefix="1" applyFont="1" applyAlignment="1"/>
    <xf numFmtId="167" fontId="27" fillId="9" borderId="20" xfId="0" applyNumberFormat="1" applyFont="1" applyFill="1" applyBorder="1"/>
    <xf numFmtId="0" fontId="5" fillId="0" borderId="0" xfId="0" applyFont="1" applyAlignment="1" applyProtection="1">
      <alignment vertical="center"/>
    </xf>
    <xf numFmtId="0" fontId="0" fillId="16" borderId="9" xfId="0" applyFill="1" applyBorder="1"/>
    <xf numFmtId="0" fontId="5" fillId="9" borderId="10" xfId="0" applyFont="1" applyFill="1" applyBorder="1" applyAlignment="1" applyProtection="1"/>
    <xf numFmtId="0" fontId="5" fillId="16" borderId="9" xfId="0" applyFont="1" applyFill="1" applyBorder="1" applyAlignment="1" applyProtection="1">
      <alignment vertical="center"/>
    </xf>
    <xf numFmtId="0" fontId="44" fillId="11" borderId="8" xfId="0" applyFont="1" applyFill="1" applyBorder="1" applyAlignment="1" applyProtection="1"/>
    <xf numFmtId="0" fontId="4" fillId="11" borderId="9" xfId="0" applyFont="1" applyFill="1" applyBorder="1" applyAlignment="1" applyProtection="1"/>
    <xf numFmtId="0" fontId="39" fillId="0" borderId="0" xfId="0" applyFont="1" applyProtection="1"/>
    <xf numFmtId="0" fontId="40" fillId="0" borderId="0" xfId="0" applyFont="1" applyProtection="1"/>
    <xf numFmtId="0" fontId="0" fillId="0" borderId="0" xfId="0" applyProtection="1"/>
    <xf numFmtId="0" fontId="0" fillId="16" borderId="9" xfId="0" applyFill="1" applyBorder="1" applyProtection="1"/>
    <xf numFmtId="0" fontId="72" fillId="19" borderId="0" xfId="15" applyFont="1" applyFill="1" applyProtection="1"/>
    <xf numFmtId="0" fontId="72" fillId="0" borderId="0" xfId="15" applyFont="1" applyProtection="1"/>
    <xf numFmtId="0" fontId="13" fillId="0" borderId="0" xfId="0" applyFont="1" applyBorder="1"/>
    <xf numFmtId="0" fontId="2" fillId="0" borderId="0" xfId="0" applyFont="1"/>
    <xf numFmtId="0" fontId="17" fillId="9" borderId="10" xfId="0" applyFont="1" applyFill="1" applyBorder="1"/>
    <xf numFmtId="0" fontId="27" fillId="9" borderId="10" xfId="0" applyFont="1" applyFill="1" applyBorder="1"/>
    <xf numFmtId="0" fontId="24" fillId="9" borderId="21" xfId="0" applyFont="1" applyFill="1" applyBorder="1" applyAlignment="1" applyProtection="1">
      <alignment horizontal="center" vertical="center"/>
    </xf>
    <xf numFmtId="0" fontId="25" fillId="9" borderId="16" xfId="0" applyFont="1" applyFill="1" applyBorder="1" applyAlignment="1" applyProtection="1">
      <alignment horizontal="center" vertical="center"/>
    </xf>
    <xf numFmtId="0" fontId="25" fillId="9" borderId="15" xfId="0" applyFont="1" applyFill="1" applyBorder="1" applyAlignment="1" applyProtection="1">
      <alignment horizontal="center" vertical="center"/>
    </xf>
    <xf numFmtId="0" fontId="25" fillId="9" borderId="18" xfId="0" applyFont="1" applyFill="1" applyBorder="1" applyAlignment="1" applyProtection="1">
      <alignment horizontal="center" vertical="center"/>
    </xf>
    <xf numFmtId="0" fontId="25" fillId="9" borderId="22" xfId="0" applyFont="1" applyFill="1" applyBorder="1" applyAlignment="1" applyProtection="1">
      <alignment horizontal="center" vertical="center"/>
    </xf>
    <xf numFmtId="0" fontId="25" fillId="9" borderId="6" xfId="0" applyFont="1" applyFill="1" applyBorder="1" applyAlignment="1" applyProtection="1">
      <alignment horizontal="center" vertical="center"/>
    </xf>
    <xf numFmtId="0" fontId="44" fillId="11" borderId="20" xfId="0" applyFont="1" applyFill="1" applyBorder="1" applyAlignment="1" applyProtection="1">
      <protection locked="0"/>
    </xf>
    <xf numFmtId="0" fontId="44" fillId="11" borderId="8" xfId="0" applyFont="1" applyFill="1" applyBorder="1" applyAlignment="1" applyProtection="1">
      <protection locked="0"/>
    </xf>
    <xf numFmtId="0" fontId="72" fillId="0" borderId="0" xfId="15" applyFont="1" applyProtection="1">
      <protection locked="0"/>
    </xf>
    <xf numFmtId="0" fontId="3" fillId="11" borderId="20" xfId="0" applyFont="1" applyFill="1" applyBorder="1" applyAlignment="1" applyProtection="1">
      <protection locked="0"/>
    </xf>
    <xf numFmtId="0" fontId="3" fillId="11" borderId="20" xfId="0" applyFont="1" applyFill="1" applyBorder="1" applyAlignment="1" applyProtection="1"/>
    <xf numFmtId="0" fontId="44" fillId="11" borderId="8" xfId="0" applyFont="1" applyFill="1" applyBorder="1" applyAlignment="1" applyProtection="1"/>
    <xf numFmtId="0" fontId="72" fillId="0" borderId="0" xfId="15" applyFont="1" applyProtection="1"/>
    <xf numFmtId="0" fontId="44" fillId="11" borderId="20" xfId="0" applyFont="1" applyFill="1" applyBorder="1" applyAlignment="1" applyProtection="1"/>
    <xf numFmtId="0" fontId="72" fillId="0" borderId="0" xfId="15" applyFont="1" applyAlignment="1" applyProtection="1">
      <alignment horizontal="right"/>
      <protection locked="0"/>
    </xf>
    <xf numFmtId="0" fontId="72" fillId="0" borderId="11" xfId="15" applyFont="1" applyBorder="1" applyAlignment="1" applyProtection="1">
      <alignment horizontal="right"/>
      <protection locked="0"/>
    </xf>
  </cellXfs>
  <cellStyles count="19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Excel Built-in Normal" xfId="12"/>
    <cellStyle name="Footnote" xfId="13"/>
    <cellStyle name="Good" xfId="3" builtinId="26" customBuiltin="1"/>
    <cellStyle name="Heading" xfId="14"/>
    <cellStyle name="Heading 1" xfId="1" builtinId="16" customBuiltin="1"/>
    <cellStyle name="Heading 2" xfId="2" builtinId="17" customBuiltin="1"/>
    <cellStyle name="Hyperlink" xfId="15"/>
    <cellStyle name="Neutral" xfId="5" builtinId="28" customBuiltin="1"/>
    <cellStyle name="Normal" xfId="0" builtinId="0" customBuiltin="1"/>
    <cellStyle name="Note" xfId="6" builtinId="10" customBuiltin="1"/>
    <cellStyle name="Status" xfId="16"/>
    <cellStyle name="Text" xfId="17"/>
    <cellStyle name="Warning" xfId="18"/>
  </cellStyles>
  <dxfs count="24"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  <dxf>
      <font>
        <color rgb="FF0070C0"/>
      </font>
    </dxf>
    <dxf>
      <font>
        <color theme="0" tint="-0.499984740745262"/>
      </font>
    </dxf>
    <dxf>
      <font>
        <strike/>
        <color auto="1"/>
      </font>
      <fill>
        <patternFill>
          <bgColor rgb="FFDCFFDC"/>
        </patternFill>
      </fill>
      <border>
        <left/>
      </border>
    </dxf>
    <dxf>
      <font>
        <b/>
        <i/>
        <color rgb="FF0070C0"/>
      </font>
    </dxf>
    <dxf>
      <font>
        <b val="0"/>
        <i/>
        <color rgb="FF0070C0"/>
      </font>
    </dxf>
    <dxf>
      <font>
        <b val="0"/>
        <i/>
        <color rgb="FF0070C0"/>
      </font>
    </dxf>
  </dxfs>
  <tableStyles count="0" defaultTableStyle="TableStyleMedium2" defaultPivotStyle="PivotStyleLight16"/>
  <colors>
    <mruColors>
      <color rgb="FFFFFFCC"/>
      <color rgb="FFCCCCFF"/>
      <color rgb="FF00008B"/>
      <color rgb="FFFFCCCC"/>
      <color rgb="FFF0F0FF"/>
      <color rgb="FFDCFFDC"/>
      <color rgb="FF03257E"/>
      <color rgb="FFDA2C43"/>
      <color rgb="FFFFD700"/>
      <color rgb="FFE6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4198</xdr:colOff>
      <xdr:row>69</xdr:row>
      <xdr:rowOff>63607</xdr:rowOff>
    </xdr:to>
    <xdr:grpSp>
      <xdr:nvGrpSpPr>
        <xdr:cNvPr id="19" name="Group 18"/>
        <xdr:cNvGrpSpPr/>
      </xdr:nvGrpSpPr>
      <xdr:grpSpPr>
        <a:xfrm>
          <a:off x="0" y="0"/>
          <a:ext cx="11691373" cy="8426557"/>
          <a:chOff x="0" y="0"/>
          <a:chExt cx="11691373" cy="8426557"/>
        </a:xfrm>
      </xdr:grpSpPr>
      <xdr:sp macro="" textlink="">
        <xdr:nvSpPr>
          <xdr:cNvPr id="3" name="Oval 2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008B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4" name="TextBox 3"/>
          <xdr:cNvSpPr txBox="1"/>
        </xdr:nvSpPr>
        <xdr:spPr>
          <a:xfrm>
            <a:off x="7191373" y="762000"/>
            <a:ext cx="4500000" cy="1125693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defTabSz="144000">
              <a:buFontTx/>
              <a:buNone/>
            </a:pPr>
            <a:r>
              <a:rPr lang="de-CH" sz="1100"/>
              <a:t>1.	Search in the column</a:t>
            </a:r>
            <a:r>
              <a:rPr lang="de-CH" sz="1100" baseline="0"/>
              <a:t> </a:t>
            </a:r>
            <a:r>
              <a:rPr lang="de-CH" sz="1100" i="1" baseline="0"/>
              <a:t>Formula</a:t>
            </a:r>
            <a:r>
              <a:rPr lang="de-CH" sz="1100" baseline="0"/>
              <a:t> for the iron compound(s) of your additive.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2.	In the corresponding line, enter its content in the column </a:t>
            </a:r>
            <a:r>
              <a:rPr lang="de-CH" sz="1100" i="1" baseline="0"/>
              <a:t>Content [%]</a:t>
            </a:r>
            <a:r>
              <a:rPr lang="de-CH" sz="1100" baseline="0"/>
              <a:t>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3.	In the last line you can optionally enter your additive's moisture.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Done.</a:t>
            </a:r>
          </a:p>
          <a:p>
            <a:pPr marL="0" indent="0" defTabSz="144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	</a:t>
            </a:r>
            <a:r>
              <a:rPr lang="de-CH" sz="1100" baseline="0"/>
              <a:t>To clear the value in a cell, click on the cell and push the &lt;Delete&gt;</a:t>
            </a:r>
            <a:br>
              <a:rPr lang="de-CH" sz="1100" baseline="0"/>
            </a:br>
            <a:r>
              <a:rPr lang="de-CH" sz="1100" baseline="0"/>
              <a:t>	button.</a:t>
            </a:r>
            <a:endParaRPr lang="de-CH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7191373" y="6784184"/>
            <a:ext cx="4500000" cy="1642373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defTabSz="144000">
              <a:buFontTx/>
              <a:buNone/>
            </a:pPr>
            <a:r>
              <a:rPr lang="de-CH" sz="1100"/>
              <a:t>For a successful calculation, three values are needed:</a:t>
            </a:r>
          </a:p>
          <a:p>
            <a:pPr marL="0" indent="0" defTabSz="144000">
              <a:buFontTx/>
              <a:buNone/>
            </a:pPr>
            <a:r>
              <a:rPr lang="de-CH" sz="1100"/>
              <a:t>1.	Daily produced biogas volume in cubic metres [m³/day]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2.	Hydrogen sulfide (H₂S) content of the biogas in parts per million [ppm]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3.	Overdose factor </a:t>
            </a:r>
            <a:r>
              <a:rPr lang="el-GR" sz="1100" baseline="0"/>
              <a:t>β</a:t>
            </a:r>
            <a:r>
              <a:rPr lang="de-CH" sz="1100" baseline="0"/>
              <a:t>; For recommendation and explanation see text in the</a:t>
            </a:r>
            <a:br>
              <a:rPr lang="de-CH" sz="1100" baseline="0"/>
            </a:br>
            <a:r>
              <a:rPr lang="de-CH" sz="1100" baseline="0"/>
              <a:t>	table and the footnote below the table.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Done.</a:t>
            </a:r>
          </a:p>
          <a:p>
            <a:pPr marL="0" indent="0" defTabSz="144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/>
              <a:t>The measurement units can also be changed, if needed:</a:t>
            </a:r>
          </a:p>
          <a:p>
            <a:pPr marL="0" indent="0" defTabSz="144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i="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◦	Biogas v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olume:  	</a:t>
            </a:r>
            <a:r>
              <a:rPr lang="de-CH" sz="1100" baseline="0"/>
              <a:t>[m³/day] </a:t>
            </a:r>
            <a:r>
              <a:rPr lang="de-CH" sz="1100" baseline="0">
                <a:latin typeface="Calibri" panose="020F0502020204030204" pitchFamily="34" charset="0"/>
              </a:rPr>
              <a:t>↔ [Imp gal/day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[US gal/day]</a:t>
            </a:r>
            <a:endParaRPr lang="de-CH" sz="1100" baseline="0"/>
          </a:p>
          <a:p>
            <a:pPr marL="0" indent="0" defTabSz="144000">
              <a:buFontTx/>
              <a:buNone/>
            </a:pP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◦	H₂S content:  		</a:t>
            </a:r>
            <a:r>
              <a:rPr lang="de-CH" sz="1100" baseline="0"/>
              <a:t>[ppm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] ↔ [mg/m³]</a:t>
            </a:r>
            <a:endParaRPr lang="de-CH" sz="1100" baseline="0"/>
          </a:p>
        </xdr:txBody>
      </xdr:sp>
      <xdr:cxnSp macro="">
        <xdr:nvCxnSpPr>
          <xdr:cNvPr id="6" name="Straight Arrow Connector 5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/>
          <xdr:cNvSpPr txBox="1"/>
        </xdr:nvSpPr>
        <xdr:spPr>
          <a:xfrm>
            <a:off x="7191373" y="3976092"/>
            <a:ext cx="450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Calibri" panose="020F0502020204030204" pitchFamily="34" charset="0"/>
                <a:ea typeface="+mn-ea"/>
                <a:cs typeface="+mn-cs"/>
              </a:rPr>
              <a:t>•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you can enter your additve's</a:t>
            </a: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1.	Daily dosage: Measurement unit and value; E. g. Kilogram and 450</a:t>
            </a: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2.	Price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 Measurement unit and value; E. g. Metric ton and 490 and</a:t>
            </a:r>
          </a:p>
          <a:p>
            <a:pPr defTabSz="144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3.	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</a:endParaRPr>
          </a:p>
          <a:p>
            <a:pPr defTabSz="144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Done.</a:t>
            </a:r>
            <a:endParaRPr lang="de-CH">
              <a:effectLst/>
            </a:endParaRPr>
          </a:p>
        </xdr:txBody>
      </xdr:sp>
      <xdr:sp macro="" textlink="">
        <xdr:nvSpPr>
          <xdr:cNvPr id="8" name="Oval 7"/>
          <xdr:cNvSpPr/>
        </xdr:nvSpPr>
        <xdr:spPr>
          <a:xfrm>
            <a:off x="790575" y="20478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9" name="Oval 8"/>
          <xdr:cNvSpPr/>
        </xdr:nvSpPr>
        <xdr:spPr>
          <a:xfrm>
            <a:off x="4352925" y="20383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0" name="Oval 9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1" name="Oval 10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2" name="Oval 11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3" name="Oval 12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14" name="Oval 13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15" name="Oval 14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6" name="Rounded Rectangle 15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  <xdr:sp macro="" textlink="">
        <xdr:nvSpPr>
          <xdr:cNvPr id="17" name="Oval 16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4198</xdr:colOff>
      <xdr:row>69</xdr:row>
      <xdr:rowOff>63607</xdr:rowOff>
    </xdr:to>
    <xdr:grpSp>
      <xdr:nvGrpSpPr>
        <xdr:cNvPr id="36" name="Group 35"/>
        <xdr:cNvGrpSpPr/>
      </xdr:nvGrpSpPr>
      <xdr:grpSpPr>
        <a:xfrm>
          <a:off x="0" y="0"/>
          <a:ext cx="11691373" cy="8426557"/>
          <a:chOff x="0" y="0"/>
          <a:chExt cx="11691373" cy="8426557"/>
        </a:xfrm>
      </xdr:grpSpPr>
      <xdr:sp macro="" textlink="">
        <xdr:nvSpPr>
          <xdr:cNvPr id="37" name="Oval 36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38" name="TextBox 37"/>
          <xdr:cNvSpPr txBox="1"/>
        </xdr:nvSpPr>
        <xdr:spPr>
          <a:xfrm>
            <a:off x="7191373" y="762000"/>
            <a:ext cx="4500000" cy="1125693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defTabSz="144000">
              <a:buFontTx/>
              <a:buNone/>
            </a:pPr>
            <a:r>
              <a:rPr lang="de-CH" sz="1100"/>
              <a:t>1.	Search in the column</a:t>
            </a:r>
            <a:r>
              <a:rPr lang="de-CH" sz="1100" baseline="0"/>
              <a:t> </a:t>
            </a:r>
            <a:r>
              <a:rPr lang="de-CH" sz="1100" i="1" baseline="0"/>
              <a:t>Formula</a:t>
            </a:r>
            <a:r>
              <a:rPr lang="de-CH" sz="1100" baseline="0"/>
              <a:t> for the iron compound(s) of your additive.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2.	In the corresponding line, enter its content in the column </a:t>
            </a:r>
            <a:r>
              <a:rPr lang="de-CH" sz="1100" i="1" baseline="0"/>
              <a:t>Content [%]</a:t>
            </a:r>
            <a:r>
              <a:rPr lang="de-CH" sz="1100" baseline="0"/>
              <a:t>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3.	In the last line you can optionally enter your additive's moisture.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Done.</a:t>
            </a:r>
          </a:p>
          <a:p>
            <a:pPr marL="0" indent="0" defTabSz="144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	</a:t>
            </a:r>
            <a:r>
              <a:rPr lang="de-CH" sz="1100" baseline="0"/>
              <a:t>To clear the value in a cell, click on the cell and push the &lt;Delete&gt;</a:t>
            </a:r>
            <a:br>
              <a:rPr lang="de-CH" sz="1100" baseline="0"/>
            </a:br>
            <a:r>
              <a:rPr lang="de-CH" sz="1100" baseline="0"/>
              <a:t>	button.</a:t>
            </a:r>
            <a:endParaRPr lang="de-CH" sz="1100"/>
          </a:p>
        </xdr:txBody>
      </xdr:sp>
      <xdr:sp macro="" textlink="">
        <xdr:nvSpPr>
          <xdr:cNvPr id="39" name="TextBox 38"/>
          <xdr:cNvSpPr txBox="1"/>
        </xdr:nvSpPr>
        <xdr:spPr>
          <a:xfrm>
            <a:off x="7191373" y="6784184"/>
            <a:ext cx="4500000" cy="1642373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defTabSz="144000">
              <a:buFontTx/>
              <a:buNone/>
            </a:pPr>
            <a:r>
              <a:rPr lang="de-CH" sz="1100"/>
              <a:t>For a successful calculation, three values are needed:</a:t>
            </a:r>
          </a:p>
          <a:p>
            <a:pPr marL="0" indent="0" defTabSz="144000">
              <a:buFontTx/>
              <a:buNone/>
            </a:pPr>
            <a:r>
              <a:rPr lang="de-CH" sz="1100"/>
              <a:t>1.	Daily produced biogas volume in cubic metres [m³/day]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2.	Hydrogen sulfide (H₂S) content of the biogas in parts per million [ppm]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3.	Overdose factor </a:t>
            </a:r>
            <a:r>
              <a:rPr lang="el-GR" sz="1100" baseline="0"/>
              <a:t>β</a:t>
            </a:r>
            <a:r>
              <a:rPr lang="de-CH" sz="1100" baseline="0"/>
              <a:t>; For recommendation and explanation see text in the</a:t>
            </a:r>
            <a:br>
              <a:rPr lang="de-CH" sz="1100" baseline="0"/>
            </a:br>
            <a:r>
              <a:rPr lang="de-CH" sz="1100" baseline="0"/>
              <a:t>	table and the footnote below the table.</a:t>
            </a:r>
          </a:p>
          <a:p>
            <a:pPr defTabSz="144000"/>
            <a:r>
              <a:rPr lang="de-CH" sz="1100" baseline="0"/>
              <a:t>Done.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The measurement units can also be changed, if needed: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◦	Biogas volume:  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[m³/day] ↔ [Imp gal/day] ↔ [US gal/day]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◦	H₂S content:  	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[ppm] ↔ [mg/m³]</a:t>
            </a:r>
            <a:endParaRPr lang="de-CH">
              <a:effectLst/>
            </a:endParaRPr>
          </a:p>
        </xdr:txBody>
      </xdr:sp>
      <xdr:cxnSp macro="">
        <xdr:nvCxnSpPr>
          <xdr:cNvPr id="40" name="Straight Arrow Connector 39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TextBox 40"/>
          <xdr:cNvSpPr txBox="1"/>
        </xdr:nvSpPr>
        <xdr:spPr>
          <a:xfrm>
            <a:off x="7191373" y="3976092"/>
            <a:ext cx="450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you can enter your additve's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1.	Daily dosage: Measurement unit and value; E. g. Pound and 750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2.	Price: 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Measurement unit and value; E. g. Imperial ton and 235 and</a:t>
            </a:r>
            <a:endParaRPr lang="de-CH">
              <a:effectLst/>
            </a:endParaRPr>
          </a:p>
          <a:p>
            <a:pPr defTabSz="144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3.	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</a:endParaRPr>
          </a:p>
          <a:p>
            <a:pPr defTabSz="144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Done.</a:t>
            </a:r>
            <a:endParaRPr lang="de-CH">
              <a:effectLst/>
            </a:endParaRPr>
          </a:p>
        </xdr:txBody>
      </xdr:sp>
      <xdr:sp macro="" textlink="">
        <xdr:nvSpPr>
          <xdr:cNvPr id="42" name="Oval 41"/>
          <xdr:cNvSpPr/>
        </xdr:nvSpPr>
        <xdr:spPr>
          <a:xfrm>
            <a:off x="790575" y="14859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43" name="Oval 42"/>
          <xdr:cNvSpPr/>
        </xdr:nvSpPr>
        <xdr:spPr>
          <a:xfrm>
            <a:off x="4352925" y="14763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44" name="Oval 43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45" name="Oval 44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46" name="Oval 45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47" name="Oval 46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48" name="Oval 47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49" name="Oval 48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50" name="Rounded Rectangle 49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  <xdr:sp macro="" textlink="">
        <xdr:nvSpPr>
          <xdr:cNvPr id="51" name="Oval 50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4198</xdr:colOff>
      <xdr:row>69</xdr:row>
      <xdr:rowOff>63607</xdr:rowOff>
    </xdr:to>
    <xdr:grpSp>
      <xdr:nvGrpSpPr>
        <xdr:cNvPr id="19" name="Group 18"/>
        <xdr:cNvGrpSpPr/>
      </xdr:nvGrpSpPr>
      <xdr:grpSpPr>
        <a:xfrm>
          <a:off x="0" y="0"/>
          <a:ext cx="11691373" cy="8426557"/>
          <a:chOff x="0" y="0"/>
          <a:chExt cx="11691373" cy="8426557"/>
        </a:xfrm>
      </xdr:grpSpPr>
      <xdr:sp macro="" textlink="">
        <xdr:nvSpPr>
          <xdr:cNvPr id="20" name="Oval 19"/>
          <xdr:cNvSpPr>
            <a:spLocks noChangeAspect="1"/>
          </xdr:cNvSpPr>
        </xdr:nvSpPr>
        <xdr:spPr>
          <a:xfrm>
            <a:off x="2136756" y="4221959"/>
            <a:ext cx="2340000" cy="360000"/>
          </a:xfrm>
          <a:prstGeom prst="ellipse">
            <a:avLst/>
          </a:prstGeom>
          <a:noFill/>
          <a:ln w="254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CH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7191373" y="762000"/>
            <a:ext cx="4500000" cy="1125693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defTabSz="144000">
              <a:buFontTx/>
              <a:buNone/>
            </a:pPr>
            <a:r>
              <a:rPr lang="de-CH" sz="1100"/>
              <a:t>1.	Search in the column</a:t>
            </a:r>
            <a:r>
              <a:rPr lang="de-CH" sz="1100" baseline="0"/>
              <a:t> </a:t>
            </a:r>
            <a:r>
              <a:rPr lang="de-CH" sz="1100" i="1" baseline="0"/>
              <a:t>Formula</a:t>
            </a:r>
            <a:r>
              <a:rPr lang="de-CH" sz="1100" baseline="0"/>
              <a:t> for the iron compound(s) of your additive.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2.	In the corresponding line, enter its content in the column </a:t>
            </a:r>
            <a:r>
              <a:rPr lang="de-CH" sz="1100" i="1" baseline="0"/>
              <a:t>Content [%]</a:t>
            </a:r>
            <a:r>
              <a:rPr lang="de-CH" sz="1100" baseline="0"/>
              <a:t>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3.	In the last line you can optionally enter your additive's moisture.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Done.</a:t>
            </a:r>
          </a:p>
          <a:p>
            <a:pPr marL="0" indent="0" defTabSz="144000">
              <a:buFontTx/>
              <a:buNone/>
            </a:pP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	</a:t>
            </a:r>
            <a:r>
              <a:rPr lang="de-CH" sz="1100" baseline="0"/>
              <a:t>To clear the value in a cell, click on the cell and push the &lt;Delete&gt;</a:t>
            </a:r>
            <a:br>
              <a:rPr lang="de-CH" sz="1100" baseline="0"/>
            </a:br>
            <a:r>
              <a:rPr lang="de-CH" sz="1100" baseline="0"/>
              <a:t>	button.</a:t>
            </a:r>
            <a:endParaRPr lang="de-CH" sz="1100"/>
          </a:p>
        </xdr:txBody>
      </xdr:sp>
      <xdr:sp macro="" textlink="">
        <xdr:nvSpPr>
          <xdr:cNvPr id="22" name="TextBox 21"/>
          <xdr:cNvSpPr txBox="1"/>
        </xdr:nvSpPr>
        <xdr:spPr>
          <a:xfrm>
            <a:off x="7191373" y="6784184"/>
            <a:ext cx="4500000" cy="1642373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indent="0" defTabSz="144000">
              <a:buFontTx/>
              <a:buNone/>
            </a:pPr>
            <a:r>
              <a:rPr lang="de-CH" sz="1100"/>
              <a:t>For a successful calculation, three values are needed:</a:t>
            </a:r>
          </a:p>
          <a:p>
            <a:pPr marL="0" indent="0" defTabSz="144000">
              <a:buFontTx/>
              <a:buNone/>
            </a:pPr>
            <a:r>
              <a:rPr lang="de-CH" sz="1100"/>
              <a:t>1.	Daily produced biogas volume in cubic metres [m³/day]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2.	Hydrogen sulfide (H₂S) content of the biogas in parts per million [ppm]</a:t>
            </a:r>
          </a:p>
          <a:p>
            <a:pPr marL="0" indent="0" defTabSz="144000">
              <a:buFontTx/>
              <a:buNone/>
            </a:pPr>
            <a:r>
              <a:rPr lang="de-CH" sz="1100" baseline="0"/>
              <a:t>3.	Overdose factor </a:t>
            </a:r>
            <a:r>
              <a:rPr lang="el-GR" sz="1100" baseline="0"/>
              <a:t>β</a:t>
            </a:r>
            <a:r>
              <a:rPr lang="de-CH" sz="1100" baseline="0"/>
              <a:t>; For recommendation and explanation see text in the</a:t>
            </a:r>
            <a:br>
              <a:rPr lang="de-CH" sz="1100" baseline="0"/>
            </a:br>
            <a:r>
              <a:rPr lang="de-CH" sz="1100" baseline="0"/>
              <a:t>	table and the footnote below the table.</a:t>
            </a:r>
          </a:p>
          <a:p>
            <a:pPr defTabSz="144000"/>
            <a:r>
              <a:rPr lang="de-CH" sz="1100" baseline="0"/>
              <a:t>Done.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The measurement units can also be changed, if needed: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◦	Biogas volume:  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[m³/day] ↔ [Imp gal/day] ↔ [US gal/day]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◦	H₂S content:  		</a:t>
            </a:r>
            <a:r>
              <a:rPr lang="de-CH" sz="11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[ppm] ↔ [mg/m³]</a:t>
            </a:r>
            <a:endParaRPr lang="de-CH">
              <a:effectLst/>
            </a:endParaRPr>
          </a:p>
        </xdr:txBody>
      </xdr:sp>
      <xdr:cxnSp macro="">
        <xdr:nvCxnSpPr>
          <xdr:cNvPr id="23" name="Straight Arrow Connector 22"/>
          <xdr:cNvCxnSpPr/>
        </xdr:nvCxnSpPr>
        <xdr:spPr>
          <a:xfrm flipH="1">
            <a:off x="4352925" y="4124325"/>
            <a:ext cx="2924173" cy="285751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/>
          <xdr:cNvSpPr txBox="1"/>
        </xdr:nvSpPr>
        <xdr:spPr>
          <a:xfrm>
            <a:off x="7191373" y="3976092"/>
            <a:ext cx="4500000" cy="2331279"/>
          </a:xfrm>
          <a:prstGeom prst="rect">
            <a:avLst/>
          </a:prstGeom>
          <a:solidFill>
            <a:srgbClr val="FFFFE1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How to select your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System of measurement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If you are familiar with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	Kilogram, Metric ton, Litre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International system of units (SI)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(British) Imperial ton, (British) Imperial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British Imperial system of units</a:t>
            </a:r>
            <a:endParaRPr lang="de-CH">
              <a:effectLst/>
            </a:endParaRPr>
          </a:p>
          <a:p>
            <a:pPr defTabSz="144000"/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•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Pound, US short ton, US gallon</a:t>
            </a:r>
            <a:b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	→ Select </a:t>
            </a:r>
            <a:r>
              <a:rPr lang="de-CH" sz="1100" i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United States customary units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After that, you can enter your additve's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1.	Daily dosage: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Measurement unit and value; E. g. Pound and 500</a:t>
            </a:r>
            <a:endParaRPr lang="de-CH">
              <a:effectLst/>
            </a:endParaRPr>
          </a:p>
          <a:p>
            <a:pPr defTabSz="144000"/>
            <a:r>
              <a:rPr lang="de-CH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2.	Price</a:t>
            </a:r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: Measurement unit and value; E. g. US short ton and 1,000 and</a:t>
            </a:r>
            <a:endParaRPr lang="de-CH">
              <a:effectLst/>
            </a:endParaRPr>
          </a:p>
          <a:p>
            <a:pPr defTabSz="144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3.	The offered price for one metric ton of </a:t>
            </a:r>
            <a:r>
              <a:rPr lang="de-CH" sz="1100" i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SBGx by SwissBiogas.com</a:t>
            </a:r>
            <a:endParaRPr lang="de-CH">
              <a:effectLst/>
            </a:endParaRPr>
          </a:p>
          <a:p>
            <a:pPr defTabSz="144000"/>
            <a:r>
              <a:rPr lang="de-CH" sz="1100" i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Done.</a:t>
            </a:r>
            <a:endParaRPr lang="de-CH">
              <a:effectLst/>
            </a:endParaRPr>
          </a:p>
        </xdr:txBody>
      </xdr:sp>
      <xdr:sp macro="" textlink="">
        <xdr:nvSpPr>
          <xdr:cNvPr id="25" name="Oval 24"/>
          <xdr:cNvSpPr/>
        </xdr:nvSpPr>
        <xdr:spPr>
          <a:xfrm>
            <a:off x="790575" y="16764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26" name="Oval 25"/>
          <xdr:cNvSpPr/>
        </xdr:nvSpPr>
        <xdr:spPr>
          <a:xfrm>
            <a:off x="4352925" y="166687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27" name="Oval 26"/>
          <xdr:cNvSpPr/>
        </xdr:nvSpPr>
        <xdr:spPr>
          <a:xfrm>
            <a:off x="4200525" y="46577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28" name="Oval 27"/>
          <xdr:cNvSpPr/>
        </xdr:nvSpPr>
        <xdr:spPr>
          <a:xfrm>
            <a:off x="4191000" y="5229225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29" name="Oval 28"/>
          <xdr:cNvSpPr/>
        </xdr:nvSpPr>
        <xdr:spPr>
          <a:xfrm>
            <a:off x="6181725" y="5410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0" name="Oval 29"/>
          <xdr:cNvSpPr/>
        </xdr:nvSpPr>
        <xdr:spPr>
          <a:xfrm>
            <a:off x="5943600" y="6724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31" name="Oval 30"/>
          <xdr:cNvSpPr/>
        </xdr:nvSpPr>
        <xdr:spPr>
          <a:xfrm>
            <a:off x="6134100" y="693420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32" name="Oval 31"/>
          <xdr:cNvSpPr/>
        </xdr:nvSpPr>
        <xdr:spPr>
          <a:xfrm>
            <a:off x="6191250" y="7867650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33" name="Rounded Rectangle 32"/>
          <xdr:cNvSpPr/>
        </xdr:nvSpPr>
        <xdr:spPr>
          <a:xfrm>
            <a:off x="0" y="0"/>
            <a:ext cx="742950" cy="200025"/>
          </a:xfrm>
          <a:prstGeom prst="round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1100">
                <a:solidFill>
                  <a:srgbClr val="FF0000"/>
                </a:solidFill>
              </a:rPr>
              <a:t>Example</a:t>
            </a:r>
          </a:p>
        </xdr:txBody>
      </xdr:sp>
      <xdr:sp macro="" textlink="">
        <xdr:nvSpPr>
          <xdr:cNvPr id="34" name="Oval 33"/>
          <xdr:cNvSpPr/>
        </xdr:nvSpPr>
        <xdr:spPr>
          <a:xfrm>
            <a:off x="4352924" y="2436023"/>
            <a:ext cx="288000" cy="288000"/>
          </a:xfrm>
          <a:prstGeom prst="ellipse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de-CH" sz="1600" b="1">
                <a:solidFill>
                  <a:srgbClr val="FF0000"/>
                </a:solidFill>
              </a:rPr>
              <a:t>3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24309</xdr:colOff>
      <xdr:row>42</xdr:row>
      <xdr:rowOff>60442</xdr:rowOff>
    </xdr:from>
    <xdr:ext cx="4232176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710109" y="7947142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num>
                        <m:den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fH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V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Substrate</m:t>
                      </m:r>
                      <m:r>
                        <a:rPr lang="de-CH" sz="1100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+</m:t>
                      </m:r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·</m:t>
                          </m:r>
                          <m:r>
                            <a:rPr lang="de-CH" sz="1100" baseline="0">
                              <a:solidFill>
                                <a:srgbClr val="FF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24.45</m:t>
                          </m:r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V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710109" y="7947142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Fe/(</a:t>
              </a:r>
              <a:r>
                <a:rPr lang="de-CH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·((H₂S(aq))/(fH₂S(aq) )·V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Substrate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+(</a:t>
              </a:r>
              <a:r>
                <a:rPr lang="el-GR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H₂S(g))/(1000·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24.45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)·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·V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Biogas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CH" sz="110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  <xdr:oneCellAnchor>
    <xdr:from>
      <xdr:col>1</xdr:col>
      <xdr:colOff>29766</xdr:colOff>
      <xdr:row>37</xdr:row>
      <xdr:rowOff>47625</xdr:rowOff>
    </xdr:from>
    <xdr:ext cx="4232176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714375" y="6977063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num>
                        <m:den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fH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aq</m:t>
                              </m:r>
                            </m:e>
                          </m:d>
                        </m:den>
                      </m:f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V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Substrate</m:t>
                      </m:r>
                      <m:r>
                        <a:rPr lang="de-CH" sz="1100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+</m:t>
                      </m:r>
                      <m:f>
                        <m:fPr>
                          <m:ctrlP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ysClr val="windowText" lastClr="000000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</m:den>
                      </m:f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el-GR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ρ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V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14375" y="6977063"/>
              <a:ext cx="4232176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Fe/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S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·((H₂S(aq))/(fH₂S(aq) )·V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Substrate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+(</a:t>
              </a:r>
              <a:r>
                <a:rPr lang="el-GR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H₂S(g))/1000·</a:t>
              </a:r>
              <a:r>
                <a:rPr lang="el-GR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ρ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·V</a:t>
              </a:r>
              <a:r>
                <a:rPr lang="de-CH" sz="1100" i="0" baseline="-2500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Biogas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CH" sz="110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  <xdr:oneCellAnchor>
    <xdr:from>
      <xdr:col>1</xdr:col>
      <xdr:colOff>26193</xdr:colOff>
      <xdr:row>47</xdr:row>
      <xdr:rowOff>60719</xdr:rowOff>
    </xdr:from>
    <xdr:ext cx="3472682" cy="2905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711993" y="8899919"/>
              <a:ext cx="3472682" cy="2905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</m:t>
                        </m:r>
                      </m:e>
                      <m:sub>
                        <m: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2</m:t>
                        </m:r>
                      </m:sub>
                    </m:sSub>
                    <m:r>
                      <m:rPr>
                        <m:sty m:val="p"/>
                      </m:rP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S</m:t>
                    </m:r>
                    <m:d>
                      <m:d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</m:t>
                        </m:r>
                      </m:e>
                    </m:d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sSup>
                      <m:sSupPr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e</m:t>
                        </m:r>
                      </m:e>
                      <m:sup>
                        <m:d>
                          <m:dPr>
                            <m:ctrlPr>
                              <a:rPr lang="de-CH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6.42+0.78⋅</m:t>
                            </m:r>
                            <m:func>
                              <m:funcPr>
                                <m:ctrlPr>
                                  <a:rPr lang="de-CH" sz="1100" i="1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100" i="0">
                                    <a:solidFill>
                                      <a:sysClr val="windowText" lastClr="00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ln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de-CH" sz="1100" i="1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de-CH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H</m:t>
                                        </m:r>
                                      </m:e>
                                      <m:sub>
                                        <m: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2</m:t>
                                        </m:r>
                                      </m:sub>
                                    </m:sSub>
                                    <m:r>
                                      <m:rPr>
                                        <m:sty m:val="p"/>
                                      </m:rPr>
                                      <a:rPr lang="en-US" sz="110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S</m:t>
                                    </m:r>
                                    <m:d>
                                      <m:dPr>
                                        <m:ctrlPr>
                                          <a:rPr lang="de-CH" sz="1100" i="1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aq</m:t>
                                        </m:r>
                                        <m: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−</m:t>
                                        </m:r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 i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ges</m:t>
                                        </m:r>
                                      </m:e>
                                    </m:d>
                                    <m:r>
                                      <a:rPr lang="en-US" sz="110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⋅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b="0" i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f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H</m:t>
                                    </m:r>
                                    <m: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₂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de-CH" sz="1100" i="0" baseline="0">
                                        <a:solidFill>
                                          <a:sysClr val="windowText" lastClr="00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S</m:t>
                                    </m:r>
                                    <m:d>
                                      <m:dPr>
                                        <m:ctrlPr>
                                          <a:rPr lang="de-CH" sz="1100" i="1" baseline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r>
                                          <m:rPr>
                                            <m:sty m:val="p"/>
                                          </m:rPr>
                                          <a:rPr lang="de-CH" sz="1100" i="0" baseline="0">
                                            <a:solidFill>
                                              <a:sysClr val="windowText" lastClr="00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aq</m:t>
                                        </m:r>
                                      </m:e>
                                    </m:d>
                                  </m:e>
                                </m:d>
                              </m:e>
                            </m:func>
                          </m:e>
                        </m:d>
                      </m:sup>
                    </m:sSup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CH" sz="1100" b="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[</m:t>
                    </m:r>
                    <m:f>
                      <m:fPr>
                        <m:type m:val="lin"/>
                        <m:ctrlPr>
                          <a:rPr lang="de-CH" sz="1100" i="1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100" i="0">
                            <a:solidFill>
                              <a:sysClr val="windowText" lastClr="00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</m:t>
                        </m:r>
                      </m:num>
                      <m:den>
                        <m:sSup>
                          <m:sSupPr>
                            <m:ctrlPr>
                              <a:rPr lang="de-CH" sz="1100" i="1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m</m:t>
                            </m:r>
                          </m:e>
                          <m:sup>
                            <m:r>
                              <a:rPr lang="en-US" sz="1100" i="0">
                                <a:solidFill>
                                  <a:sysClr val="windowText" lastClr="00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3</m:t>
                            </m:r>
                          </m:sup>
                        </m:sSup>
                      </m:den>
                    </m:f>
                    <m:r>
                      <a:rPr lang="en-US" sz="1100" i="0">
                        <a:solidFill>
                          <a:sysClr val="windowText" lastClr="00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]</m:t>
                    </m:r>
                  </m:oMath>
                </m:oMathPara>
              </a14:m>
              <a:endParaRPr lang="de-CH" sz="1100" i="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711993" y="8899919"/>
              <a:ext cx="3472682" cy="2905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g)=e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^((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6.42+0.78⋅ln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⁡(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aq−ges)⋅</a:t>
              </a:r>
              <a:r>
                <a:rPr lang="de-CH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H₂S(aq)</a:t>
              </a:r>
              <a:r>
                <a:rPr lang="en-US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 ) </a:t>
              </a:r>
              <a:r>
                <a:rPr lang="de-CH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10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de-CH" sz="11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[g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∕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</a:t>
              </a:r>
              <a:r>
                <a:rPr lang="en-US" sz="110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3 ]</a:t>
              </a:r>
              <a:endParaRPr lang="de-CH" sz="1100" i="0">
                <a:solidFill>
                  <a:sysClr val="windowText" lastClr="000000"/>
                </a:solidFill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4</xdr:col>
      <xdr:colOff>311944</xdr:colOff>
      <xdr:row>46</xdr:row>
      <xdr:rowOff>55958</xdr:rowOff>
    </xdr:from>
    <xdr:ext cx="2636044" cy="546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4705350" y="8699896"/>
              <a:ext cx="2636044" cy="546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H</m:t>
                        </m:r>
                      </m:e>
                      <m:sub>
                        <m: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2</m:t>
                        </m:r>
                      </m:sub>
                    </m:sSub>
                    <m:r>
                      <m:rPr>
                        <m:sty m:val="p"/>
                      </m:rP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S</m:t>
                    </m:r>
                    <m:d>
                      <m:d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aq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ges</m:t>
                        </m:r>
                      </m:e>
                    </m:d>
                    <m: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e</m:t>
                            </m:r>
                          </m:e>
                          <m:sup>
                            <m:f>
                              <m:fPr>
                                <m:ctrlPr>
                                  <a:rPr lang="de-CH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fPr>
                              <m:num>
                                <m:func>
                                  <m:funcPr>
                                    <m:ctrlPr>
                                      <a:rPr lang="de-CH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</m:ctrlPr>
                                  </m:funcPr>
                                  <m:fName>
                                    <m:r>
                                      <m:rPr>
                                        <m:sty m:val="p"/>
                                      </m:rPr>
                                      <a:rPr lang="en-US" sz="1100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ln</m:t>
                                    </m:r>
                                  </m:fName>
                                  <m:e>
                                    <m:d>
                                      <m:dPr>
                                        <m:ctrlPr>
                                          <a:rPr lang="de-CH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de-CH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H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b>
                                        </m:sSub>
                                        <m:r>
                                          <m:rPr>
                                            <m:sty m:val="p"/>
                                          </m:rPr>
                                          <a:rPr lang="en-US" sz="1100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  <m:t>S</m:t>
                                        </m:r>
                                        <m:d>
                                          <m:dPr>
                                            <m:ctrlPr>
                                              <a:rPr lang="de-CH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n-US" sz="110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g</m:t>
                                            </m:r>
                                          </m:e>
                                        </m:d>
                                      </m:e>
                                    </m:d>
                                  </m:e>
                                </m:func>
                                <m: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6.45</m:t>
                                </m:r>
                              </m:num>
                              <m:den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0.78</m:t>
                                </m:r>
                              </m:den>
                            </m:f>
                          </m:sup>
                        </m:sSup>
                      </m:num>
                      <m:den>
                        <m:sSub>
                          <m:sSub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fH</m:t>
                            </m:r>
                          </m:e>
                          <m:sub>
                            <m: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m:rPr>
                            <m:sty m:val="p"/>
                          </m:rPr>
                          <a:rPr lang="en-US" sz="11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S</m:t>
                        </m:r>
                        <m:d>
                          <m:dPr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aq</m:t>
                            </m:r>
                          </m:e>
                        </m:d>
                      </m:den>
                    </m:f>
                    <m:r>
                      <a:rPr lang="en-US" sz="110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 </m:t>
                    </m:r>
                    <m:d>
                      <m:dPr>
                        <m:begChr m:val="["/>
                        <m:endChr m:val="]"/>
                        <m:ctrlPr>
                          <a:rPr lang="de-C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type m:val="lin"/>
                            <m:ctrlPr>
                              <a:rPr lang="de-CH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g</m:t>
                            </m:r>
                          </m:num>
                          <m:den>
                            <m:sSup>
                              <m:sSupPr>
                                <m:ctrlPr>
                                  <a:rPr lang="de-CH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m</m:t>
                                </m:r>
                              </m:e>
                              <m:sup>
                                <m: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</m:oMath>
                </m:oMathPara>
              </a14:m>
              <a:endParaRPr lang="de-CH" sz="11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4705350" y="8699896"/>
              <a:ext cx="2636044" cy="546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aq−ges)=e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^((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ln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⁡(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g))−6.45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0.78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fH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 S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aq) 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  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[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g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∕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3 ]</a:t>
              </a:r>
              <a:endParaRPr lang="de-CH" sz="11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5</xdr:col>
      <xdr:colOff>24053</xdr:colOff>
      <xdr:row>42</xdr:row>
      <xdr:rowOff>60831</xdr:rowOff>
    </xdr:from>
    <xdr:ext cx="3443047" cy="336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4986578" y="7947531"/>
              <a:ext cx="3443047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14:m>
                <m:oMath xmlns:m="http://schemas.openxmlformats.org/officeDocument/2006/math">
                  <m:r>
                    <m:rPr>
                      <m:sty m:val="p"/>
                    </m:rP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Fe</m:t>
                  </m:r>
                  <m:r>
                    <a:rPr lang="de-CH" sz="11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r>
                    <m:rPr>
                      <m:sty m:val="p"/>
                    </m:rPr>
                    <a:rPr lang="el-GR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β</m:t>
                  </m:r>
                  <m:r>
                    <a:rPr lang="de-CH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f>
                    <m:fPr>
                      <m:ctrlPr>
                        <a:rPr lang="de-CH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CH" sz="11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Fe</m:t>
                      </m:r>
                    </m:num>
                    <m:den>
                      <m:r>
                        <m:rPr>
                          <m:sty m:val="p"/>
                        </m:rPr>
                        <a:rPr lang="de-CH" sz="11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</m:den>
                  </m:f>
                  <m:r>
                    <a:rPr lang="de-CH" sz="110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·</m:t>
                  </m:r>
                  <m:d>
                    <m:dPr>
                      <m:ctrlP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Δ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H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₂</m:t>
                          </m:r>
                          <m:r>
                            <m:rPr>
                              <m:sty m:val="p"/>
                            </m:rP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S</m:t>
                          </m:r>
                          <m:d>
                            <m:dPr>
                              <m:ctrlPr>
                                <a:rPr lang="de-CH" sz="1100" i="1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m:rPr>
                                  <m:sty m:val="p"/>
                                </m:rPr>
                                <a:rPr lang="de-CH" sz="1100" baseline="0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  <a:cs typeface="+mn-cs"/>
                                </a:rPr>
                                <m:t>g</m:t>
                              </m:r>
                            </m:e>
                          </m:d>
                        </m:num>
                        <m:den>
                          <m:r>
                            <a:rPr lang="de-CH" sz="1100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1000</m:t>
                          </m:r>
                          <m:r>
                            <a:rPr lang="de-CH" sz="110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·</m:t>
                          </m:r>
                          <m:r>
                            <a:rPr lang="de-CH" sz="1100" baseline="0">
                              <a:solidFill>
                                <a:srgbClr val="FF0000"/>
                              </a:solidFill>
                              <a:effectLst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24.45</m:t>
                          </m:r>
                        </m:den>
                      </m:f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M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H</m:t>
                      </m:r>
                      <m:r>
                        <a:rPr lang="de-CH" sz="1100" i="1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₂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rgbClr val="FF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S</m:t>
                      </m:r>
                      <m:r>
                        <a:rPr lang="de-CH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·</m:t>
                      </m:r>
                      <m:r>
                        <m:rPr>
                          <m:sty m:val="p"/>
                        </m:rPr>
                        <a:rPr lang="de-CH" sz="1100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V</m:t>
                      </m:r>
                      <m:r>
                        <m:rPr>
                          <m:sty m:val="p"/>
                        </m:rPr>
                        <a:rPr lang="de-CH" sz="1100" baseline="-2500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Biogas</m:t>
                      </m:r>
                    </m:e>
                  </m:d>
                </m:oMath>
              </a14:m>
              <a:r>
                <a:rPr lang="de-CH" sz="110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 [g/d]</a:t>
              </a:r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4986578" y="7947531"/>
              <a:ext cx="3443047" cy="336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/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Fe=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β</a:t>
              </a:r>
              <a:r>
                <a:rPr lang="de-C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·M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Fe/(</a:t>
              </a:r>
              <a:r>
                <a:rPr lang="de-CH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·((</a:t>
              </a:r>
              <a:r>
                <a:rPr lang="el-GR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Δ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H₂S(g))/(1000·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24.45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)·</a:t>
              </a:r>
              <a:r>
                <a:rPr lang="de-CH" sz="1100" i="0" baseline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M</a:t>
              </a:r>
              <a:r>
                <a:rPr lang="de-CH" sz="1100" i="0" baseline="-2500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H₂S</a:t>
              </a:r>
              <a:r>
                <a:rPr lang="de-CH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·V</a:t>
              </a:r>
              <a:r>
                <a:rPr lang="de-CH" sz="110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Biogas)</a:t>
              </a:r>
              <a:r>
                <a:rPr lang="de-CH" sz="1100">
                  <a:effectLst/>
                  <a:latin typeface="Cambria Math" panose="02040503050406030204" pitchFamily="18" charset="0"/>
                  <a:ea typeface="Cambria Math" panose="02040503050406030204" pitchFamily="18" charset="0"/>
                </a:rPr>
                <a:t>  [g/d]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3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hyperlink" Target="https://tu-dresden.de/ing/maschinenwesen/ifvu/ressourcen/dateien/tvu/forschungsprojekte/forschung_alt/entschwefelungsverfahren/bge_in_landw_anlagen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biogas-forum-bayern.de/media/files/0002/Entschwefelung-von-Biogas-in-landwirtschaftlichen-Biogasanlagen-2013.pdf" TargetMode="External"/><Relationship Id="rId1" Type="http://schemas.openxmlformats.org/officeDocument/2006/relationships/hyperlink" Target="https://www.teknologisk.dk/_/media/60599_Biogas%20upgrading.%20Evaluation%20of%20methods%20for%20H2S%20removal.pdf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swissbiogas.com/" TargetMode="External"/><Relationship Id="rId4" Type="http://schemas.openxmlformats.org/officeDocument/2006/relationships/hyperlink" Target="https://repositum.tuwien.at/bitstream/20.500.12708/492/2/Svardal%20Karl%20-%201991%20-%20Anaerobe%20Abwasserreinigung%20ein%20Modell%20zur%20Berechnung%20und...pdf" TargetMode="External"/><Relationship Id="rId9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n.wikipedia.org/wiki/Ton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en.wikipedia.org/wiki/Gallon" TargetMode="External"/><Relationship Id="rId1" Type="http://schemas.openxmlformats.org/officeDocument/2006/relationships/hyperlink" Target="https://teesing.com/en/library/tools/ppm-mg3-converter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tu-dresden.de/ing/maschinenwesen/ifvu/ressourcen/dateien/tvu/forschungsprojekte/forschung_alt/entschwefelungsverfahren/bge_in_landw_anlagen.pdf?lang=en" TargetMode="External"/><Relationship Id="rId4" Type="http://schemas.openxmlformats.org/officeDocument/2006/relationships/hyperlink" Target="https://en.wikipedia.org/wiki/Hydrogen_sulfid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Y140"/>
  <sheetViews>
    <sheetView showGridLines="0" tabSelected="1" zoomScaleNormal="100" workbookViewId="0">
      <selection activeCell="F18" sqref="F18"/>
    </sheetView>
  </sheetViews>
  <sheetFormatPr defaultRowHeight="15"/>
  <cols>
    <col min="1" max="1" width="1.625" style="103" customWidth="1"/>
    <col min="2" max="2" width="2.125" style="104" customWidth="1"/>
    <col min="3" max="3" width="10.125" style="104" customWidth="1"/>
    <col min="4" max="4" width="16.25" style="104" customWidth="1"/>
    <col min="5" max="5" width="0.125" style="104" customWidth="1"/>
    <col min="6" max="6" width="26.75" style="104" customWidth="1"/>
    <col min="7" max="7" width="12.625" style="104" customWidth="1"/>
    <col min="8" max="8" width="10.625" style="104" customWidth="1"/>
    <col min="9" max="9" width="0.875" style="104" customWidth="1"/>
    <col min="10" max="10" width="12.625" style="104" customWidth="1"/>
    <col min="11" max="11" width="0.125" style="104" customWidth="1"/>
    <col min="12" max="12" width="10.625" style="104" customWidth="1"/>
    <col min="13" max="13" width="0.875" style="104" customWidth="1"/>
    <col min="14" max="14" width="33" style="104" customWidth="1"/>
    <col min="15" max="16" width="7.5" style="104" customWidth="1"/>
    <col min="17" max="17" width="15.75" style="104" customWidth="1"/>
    <col min="18" max="19" width="12.125" style="104" customWidth="1"/>
    <col min="20" max="24" width="12.625" style="104" hidden="1" customWidth="1"/>
    <col min="25" max="25" width="9" style="104" hidden="1" customWidth="1"/>
    <col min="26" max="26" width="24.875" style="104" hidden="1" customWidth="1"/>
    <col min="27" max="28" width="10.875" style="104" hidden="1" customWidth="1"/>
    <col min="29" max="30" width="3.25" style="104" hidden="1" customWidth="1"/>
    <col min="31" max="31" width="10.75" style="104" hidden="1" customWidth="1"/>
    <col min="32" max="32" width="3.25" style="104" hidden="1" customWidth="1"/>
    <col min="33" max="33" width="9" style="104" hidden="1" customWidth="1"/>
    <col min="34" max="34" width="26.125" style="104" hidden="1" customWidth="1"/>
    <col min="35" max="36" width="10.875" style="104" hidden="1" customWidth="1"/>
    <col min="37" max="37" width="9" style="104" hidden="1" customWidth="1"/>
    <col min="38" max="38" width="21.25" style="104" hidden="1" customWidth="1"/>
    <col min="39" max="40" width="10.875" style="104" hidden="1" customWidth="1"/>
    <col min="41" max="41" width="3.25" style="104" hidden="1" customWidth="1"/>
    <col min="42" max="42" width="9" style="104" hidden="1" customWidth="1"/>
    <col min="43" max="43" width="19" style="104" hidden="1" customWidth="1"/>
    <col min="44" max="46" width="9" style="104" hidden="1" customWidth="1"/>
    <col min="47" max="47" width="14.625" style="104" hidden="1" customWidth="1"/>
    <col min="48" max="50" width="9" style="104" hidden="1" customWidth="1"/>
    <col min="51" max="16384" width="9" style="104"/>
  </cols>
  <sheetData>
    <row r="1" spans="2:50" ht="9.9499999999999993" customHeight="1"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</row>
    <row r="2" spans="2:50" ht="18.75">
      <c r="B2" s="28" t="s">
        <v>68</v>
      </c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</row>
    <row r="3" spans="2:50" ht="15" customHeight="1">
      <c r="B3" s="21" t="str">
        <f xml:space="preserve"> IF(EXACT(L74, "powered by SwissBiogas.com"), "", "*** This version is not authorised by SwissBiogas.com ***")</f>
        <v/>
      </c>
    </row>
    <row r="4" spans="2:50" ht="15" customHeight="1">
      <c r="B4" s="333" t="s">
        <v>225</v>
      </c>
    </row>
    <row r="5" spans="2:50" ht="15" customHeight="1">
      <c r="B5" s="239" t="s">
        <v>226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50" ht="15" customHeight="1">
      <c r="B6" s="104" t="s">
        <v>73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2:50" ht="15" customHeight="1">
      <c r="B7" s="104" t="s">
        <v>69</v>
      </c>
      <c r="C7" s="104" t="s">
        <v>94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2:50" ht="15" customHeight="1">
      <c r="C8" s="104" t="s">
        <v>72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2:50" ht="15" customHeight="1">
      <c r="B9" s="104" t="s">
        <v>69</v>
      </c>
      <c r="C9" s="104" t="s">
        <v>134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2:50" ht="15" customHeight="1">
      <c r="C10" s="104" t="s">
        <v>135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2:50" ht="15" customHeight="1">
      <c r="C11" s="104" t="s">
        <v>71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2:50" ht="15" customHeight="1">
      <c r="B12" s="104" t="s">
        <v>69</v>
      </c>
      <c r="C12" s="104" t="s">
        <v>95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T12" s="107" t="s">
        <v>130</v>
      </c>
      <c r="U12" s="108" t="s">
        <v>19</v>
      </c>
      <c r="V12" s="109"/>
    </row>
    <row r="13" spans="2:50" ht="15" customHeight="1">
      <c r="C13" s="104" t="s">
        <v>136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T13" s="110" t="s">
        <v>131</v>
      </c>
      <c r="U13" s="111" t="s">
        <v>50</v>
      </c>
      <c r="V13" s="112"/>
    </row>
    <row r="14" spans="2:50" ht="15" customHeight="1">
      <c r="C14" s="104" t="s">
        <v>137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390"/>
    </row>
    <row r="15" spans="2:50" ht="15" customHeight="1">
      <c r="B15" s="113"/>
      <c r="C15" s="388" t="str">
        <f xml:space="preserve"> IF(MOD(ROUND(SUM(G20:G30,J52,J59:J60,J67) * 1000000, 0), 10) &gt;=  6, "Tip: Take a look at the complete examples which you can open by clicking on the tabs ""Example EU/GB/US"" directly below this document.", "")</f>
        <v>Tip: Take a look at the complete examples which you can open by clicking on the tabs "Example EU/GB/US" directly below this document.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3"/>
      <c r="P15" s="113"/>
      <c r="Q15" s="113"/>
      <c r="R15" s="113"/>
      <c r="S15" s="113"/>
      <c r="T15" s="20" t="s">
        <v>118</v>
      </c>
    </row>
    <row r="16" spans="2:50" ht="15" customHeight="1"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6" t="s">
        <v>61</v>
      </c>
      <c r="U16" s="117" t="s">
        <v>87</v>
      </c>
      <c r="V16" s="118">
        <f xml:space="preserve"> IF(NOT(ISERR(G30)), IF(AND(ISNUMBER(G30), G30 &gt; 0), G30, 0), 0)</f>
        <v>2.7500010000000001</v>
      </c>
      <c r="W16" s="117" t="s">
        <v>88</v>
      </c>
      <c r="X16" s="119">
        <f xml:space="preserve"> IF(NOT(ISERR(G30)), IF(ISNUMBER(G30), basis!D22, 0), 0)</f>
        <v>2</v>
      </c>
    </row>
    <row r="17" spans="1:24" ht="15" customHeight="1">
      <c r="B17" s="89" t="s">
        <v>66</v>
      </c>
      <c r="C17" s="89" t="s">
        <v>67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07" t="s">
        <v>79</v>
      </c>
      <c r="U17" s="120" t="s">
        <v>74</v>
      </c>
      <c r="V17" s="121" t="s">
        <v>75</v>
      </c>
      <c r="W17" s="120" t="s">
        <v>76</v>
      </c>
      <c r="X17" s="122" t="s">
        <v>77</v>
      </c>
    </row>
    <row r="18" spans="1:24" s="123" customFormat="1" ht="15" customHeight="1">
      <c r="A18" s="103"/>
      <c r="C18" s="20" t="s">
        <v>177</v>
      </c>
      <c r="D18" s="20"/>
      <c r="E18" s="20"/>
      <c r="F18" s="392" t="s">
        <v>172</v>
      </c>
      <c r="G18" s="35" t="str">
        <f xml:space="preserve"> IF(OR(F18 = "", F18 = " ", F18 = "  "), "Your Additive", F18)</f>
        <v>Your_De-Sulph</v>
      </c>
      <c r="H18" s="36"/>
      <c r="J18" s="37" t="str">
        <f xml:space="preserve"> U13</f>
        <v>SBGx by SwissBiogas.com</v>
      </c>
      <c r="K18" s="37"/>
      <c r="L18" s="124"/>
      <c r="N18" s="389"/>
      <c r="T18" s="125" t="s">
        <v>80</v>
      </c>
      <c r="U18" s="126">
        <f xml:space="preserve"> IF(ISERR(G20), 0, IF(AND(ISNUMBER(G20), G20 &gt; 0), G20 * basis!E8 / 100 * (100 - $V$16) / 100, 0))</f>
        <v>0</v>
      </c>
      <c r="V18" s="127">
        <v>0</v>
      </c>
      <c r="W18" s="126">
        <f xml:space="preserve"> IF(J20 &gt; 0, J20 * basis!E8 / 100 * (100 - X16) / 100, 0)</f>
        <v>31.856750727962098</v>
      </c>
      <c r="X18" s="128">
        <v>0</v>
      </c>
    </row>
    <row r="19" spans="1:24" ht="15" customHeight="1">
      <c r="A19" s="129"/>
      <c r="C19" s="45" t="s">
        <v>62</v>
      </c>
      <c r="D19" s="46" t="s">
        <v>92</v>
      </c>
      <c r="E19" s="46"/>
      <c r="F19" s="45" t="s">
        <v>93</v>
      </c>
      <c r="G19" s="47" t="s">
        <v>133</v>
      </c>
      <c r="H19" s="48" t="s">
        <v>26</v>
      </c>
      <c r="I19" s="49"/>
      <c r="J19" s="50" t="s">
        <v>169</v>
      </c>
      <c r="K19" s="78"/>
      <c r="L19" s="79" t="s">
        <v>26</v>
      </c>
      <c r="M19" s="44"/>
      <c r="T19" s="125" t="s">
        <v>81</v>
      </c>
      <c r="U19" s="126">
        <v>0</v>
      </c>
      <c r="V19" s="127">
        <f xml:space="preserve"> IF(ISERR(G21), 0, IF(AND(ISNUMBER(G21), G21 &gt; 0), G21 * basis!E9 / 100 * (100 - $V$16) / 100, 0))</f>
        <v>0</v>
      </c>
      <c r="W19" s="126">
        <v>0</v>
      </c>
      <c r="X19" s="128">
        <f xml:space="preserve"> IF(J21 &gt; 0, J21 * basis!E9 / 100 * (100 - X16) / 100, 0)</f>
        <v>30.24833460456064</v>
      </c>
    </row>
    <row r="20" spans="1:24" ht="15" customHeight="1">
      <c r="C20" s="130" t="s">
        <v>5</v>
      </c>
      <c r="D20" s="42" t="str">
        <f xml:space="preserve"> IF(OR(H20 &gt; 0, J20 &gt; 0), "Fe²⁺, ""ferrous""", "")</f>
        <v>Fe²⁺, "ferrous"</v>
      </c>
      <c r="E20" s="42"/>
      <c r="F20" s="131" t="str">
        <f xml:space="preserve"> IF(OR(H20 &gt; 0, J20 &gt; 0), "Iron(II) oxide", "")</f>
        <v>Iron(II) oxide</v>
      </c>
      <c r="G20" s="132"/>
      <c r="H20" s="41">
        <f t="shared" ref="H20:H28" si="0" xml:space="preserve"> SUM(U18:V18)</f>
        <v>0</v>
      </c>
      <c r="J20" s="133">
        <f xml:space="preserve"> basis!B22</f>
        <v>41.82</v>
      </c>
      <c r="K20" s="134"/>
      <c r="L20" s="80">
        <f t="shared" ref="L20:L28" si="1" xml:space="preserve"> SUM(W18:X18)</f>
        <v>31.856750727962098</v>
      </c>
      <c r="M20" s="27"/>
      <c r="N20" s="96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25" t="s">
        <v>78</v>
      </c>
      <c r="U20" s="126">
        <f xml:space="preserve"> IF(ISERR(G22), 0, IF(AND(ISNUMBER(G22), G22 &gt; 0), G22 / 3 * basis!E10 / 100 * (100 - $V$16) / 100, 0))</f>
        <v>0</v>
      </c>
      <c r="V20" s="127">
        <f xml:space="preserve"> IF(ISERR(G22), 0, IF(AND(ISNUMBER(G22), G22 &gt; 0), G22 * 2 / 3 * basis!E10 / 100 * (100 - $V$16) / 100, 0))</f>
        <v>0</v>
      </c>
      <c r="W20" s="126">
        <f xml:space="preserve"> IF(J22 &gt; 0, J22 / 3 * basis!E10 / 100 * (100 - X16) / 100, 0)</f>
        <v>0</v>
      </c>
      <c r="X20" s="128">
        <f xml:space="preserve"> IF(J22 &gt; 0, J22 * 2 / 3 * basis!E10 / 100 * (100 - X16) / 100, 0)</f>
        <v>0</v>
      </c>
    </row>
    <row r="21" spans="1:24" ht="15" customHeight="1">
      <c r="C21" s="130" t="s">
        <v>27</v>
      </c>
      <c r="D21" s="42" t="str">
        <f xml:space="preserve"> IF(OR(H21 &gt; 0, J21 &gt; 0), "Fe³⁺, ""ferric""", "")</f>
        <v>Fe³⁺, "ferric"</v>
      </c>
      <c r="E21" s="42"/>
      <c r="F21" s="131" t="str">
        <f xml:space="preserve"> IF(OR(H21 &gt; 0, J21 &gt; 0), "Iron(III) oxide", "")</f>
        <v>Iron(III) oxide</v>
      </c>
      <c r="G21" s="132"/>
      <c r="H21" s="41">
        <f t="shared" si="0"/>
        <v>0</v>
      </c>
      <c r="J21" s="135">
        <f xml:space="preserve"> basis!C22</f>
        <v>44.13</v>
      </c>
      <c r="K21" s="136"/>
      <c r="L21" s="80">
        <f t="shared" si="1"/>
        <v>30.24833460456064</v>
      </c>
      <c r="M21" s="27"/>
      <c r="N21" s="96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25" t="s">
        <v>80</v>
      </c>
      <c r="U21" s="126">
        <f xml:space="preserve"> IF(ISERR(G23), 0, IF(AND(ISNUMBER(G23), G23 &gt; 0), G23 * basis!E11 / 100 * (100 - $V$16) / 100, 0))</f>
        <v>0</v>
      </c>
      <c r="V21" s="127">
        <v>0</v>
      </c>
      <c r="W21" s="126">
        <f xml:space="preserve"> IF(J23 &gt; 0, J23 * basis!E11 / 100 * (100 - X16) / 100, 0)</f>
        <v>0</v>
      </c>
      <c r="X21" s="128">
        <v>0</v>
      </c>
    </row>
    <row r="22" spans="1:24" ht="15" customHeight="1">
      <c r="C22" s="131" t="s">
        <v>28</v>
      </c>
      <c r="D22" s="42" t="str">
        <f xml:space="preserve"> IF(OR(H22 &gt; 0, J22 &gt; 0), "⅓ Fe²⁺ + ⅔ Fe³⁺", "")</f>
        <v/>
      </c>
      <c r="E22" s="42"/>
      <c r="F22" s="131" t="str">
        <f xml:space="preserve"> IF(OR(H22 &gt; 0, J22 &gt; 0), "Iron(II,III) oxide", "")</f>
        <v/>
      </c>
      <c r="G22" s="132"/>
      <c r="H22" s="41">
        <f t="shared" si="0"/>
        <v>0</v>
      </c>
      <c r="J22" s="137"/>
      <c r="K22" s="138"/>
      <c r="L22" s="80">
        <f t="shared" si="1"/>
        <v>0</v>
      </c>
      <c r="M22" s="27"/>
      <c r="N22" s="96" t="str">
        <f t="shared" si="2"/>
        <v/>
      </c>
      <c r="T22" s="125" t="s">
        <v>81</v>
      </c>
      <c r="U22" s="126">
        <v>0</v>
      </c>
      <c r="V22" s="127">
        <f xml:space="preserve"> IF(ISERR(G24), 0, IF(AND(ISNUMBER(G24), G24 &gt; 0), G24 * basis!E12 / 100 * (100 - $V$16) / 100, 0))</f>
        <v>0</v>
      </c>
      <c r="W22" s="126">
        <v>0</v>
      </c>
      <c r="X22" s="128">
        <f xml:space="preserve"> IF(J24 &gt; 0, J24 * basis!E12 / 100 * (100 - X16) / 100, 0)</f>
        <v>0</v>
      </c>
    </row>
    <row r="23" spans="1:24" ht="15" customHeight="1">
      <c r="C23" s="131" t="s">
        <v>29</v>
      </c>
      <c r="D23" s="42" t="str">
        <f xml:space="preserve"> IF(OR(H23 &gt; 0, J23 &gt; 0), "Fe²⁺, ""ferrous""", "")</f>
        <v/>
      </c>
      <c r="E23" s="42"/>
      <c r="F23" s="131" t="str">
        <f xml:space="preserve"> IF(OR(H23 &gt; 0, J23 &gt; 0), "Iron(II) chloride", "")</f>
        <v/>
      </c>
      <c r="G23" s="132"/>
      <c r="H23" s="41">
        <f t="shared" si="0"/>
        <v>0</v>
      </c>
      <c r="J23" s="137"/>
      <c r="K23" s="138"/>
      <c r="L23" s="80">
        <f t="shared" si="1"/>
        <v>0</v>
      </c>
      <c r="M23" s="27"/>
      <c r="N23" s="96" t="str">
        <f t="shared" si="2"/>
        <v/>
      </c>
      <c r="T23" s="125" t="s">
        <v>81</v>
      </c>
      <c r="U23" s="126">
        <v>0</v>
      </c>
      <c r="V23" s="127">
        <f xml:space="preserve"> IF(ISERR(G25), 0, IF(AND(ISNUMBER(G25), G25 &gt; 0), G25 * basis!E13 / 100 * (100 - $V$16) / 100, 0))</f>
        <v>44.620129848243948</v>
      </c>
      <c r="W23" s="126">
        <v>0</v>
      </c>
      <c r="X23" s="128">
        <f xml:space="preserve"> IF(J25 &gt; 0, J25 * basis!E13 / 100 * (100 - X16) / 100, 0)</f>
        <v>0</v>
      </c>
    </row>
    <row r="24" spans="1:24" ht="15" customHeight="1">
      <c r="C24" s="131" t="s">
        <v>30</v>
      </c>
      <c r="D24" s="42" t="str">
        <f xml:space="preserve"> IF(OR(H24 &gt; 0, J24 &gt; 0), "Fe³⁺, ""ferric""", "")</f>
        <v/>
      </c>
      <c r="E24" s="42"/>
      <c r="F24" s="131" t="str">
        <f xml:space="preserve"> IF(OR(H24 &gt; 0, J24 &gt; 0), "Iron(III) chloride", "")</f>
        <v/>
      </c>
      <c r="G24" s="132"/>
      <c r="H24" s="41">
        <f t="shared" si="0"/>
        <v>0</v>
      </c>
      <c r="J24" s="137"/>
      <c r="K24" s="138"/>
      <c r="L24" s="80">
        <f t="shared" si="1"/>
        <v>0</v>
      </c>
      <c r="M24" s="27"/>
      <c r="N24" s="96" t="str">
        <f t="shared" si="2"/>
        <v/>
      </c>
      <c r="T24" s="125" t="s">
        <v>80</v>
      </c>
      <c r="U24" s="126">
        <f xml:space="preserve"> IF(ISERR(G26), 0, IF(AND(ISNUMBER(G26), G26 &gt; 0), G26 * basis!E14 / 100 * (100 - $V$16) / 100, 0))</f>
        <v>0</v>
      </c>
      <c r="V24" s="127">
        <v>0</v>
      </c>
      <c r="W24" s="126">
        <f xml:space="preserve"> IF(J26 &gt; 0, J26 * basis!E14 / 100 * (100 - X16) / 100, 0)</f>
        <v>0</v>
      </c>
      <c r="X24" s="128">
        <v>0</v>
      </c>
    </row>
    <row r="25" spans="1:24" ht="15" customHeight="1">
      <c r="C25" s="131" t="s">
        <v>15</v>
      </c>
      <c r="D25" s="42" t="str">
        <f xml:space="preserve"> IF(OR(H25 &gt; 0, J25 &gt; 0), "Fe³⁺, ""ferric""", "")</f>
        <v>Fe³⁺, "ferric"</v>
      </c>
      <c r="E25" s="42"/>
      <c r="F25" s="131" t="str">
        <f xml:space="preserve"> IF(OR(H25 &gt; 0, J25 &gt; 0), "Iron(III) oxide-hydroxide", "")</f>
        <v>Iron(III) oxide-hydroxide</v>
      </c>
      <c r="G25" s="139">
        <v>73.000000999999997</v>
      </c>
      <c r="H25" s="41">
        <f t="shared" si="0"/>
        <v>44.620129848243948</v>
      </c>
      <c r="J25" s="137"/>
      <c r="K25" s="138"/>
      <c r="L25" s="80">
        <f t="shared" si="1"/>
        <v>0</v>
      </c>
      <c r="M25" s="27"/>
      <c r="N25" s="96" t="str">
        <f t="shared" si="2"/>
        <v>← 73.00: Example - Delete or replace with your own additive's value(s)</v>
      </c>
      <c r="T25" s="125" t="s">
        <v>81</v>
      </c>
      <c r="U25" s="126">
        <v>0</v>
      </c>
      <c r="V25" s="127">
        <f xml:space="preserve"> IF(ISERR(G27), 0, IF(AND(ISNUMBER(G27), G27 &gt; 0), G27 * basis!E15 / 100 * (100 - $V$16) / 100, 0))</f>
        <v>0</v>
      </c>
      <c r="W25" s="126">
        <v>0</v>
      </c>
      <c r="X25" s="128">
        <f xml:space="preserve"> IF(J27 &gt; 0, J27 * basis!E15 / 100 * (100 - X16) / 100, 0)</f>
        <v>0</v>
      </c>
    </row>
    <row r="26" spans="1:24" ht="15" customHeight="1">
      <c r="C26" s="131" t="s">
        <v>55</v>
      </c>
      <c r="D26" s="42" t="str">
        <f xml:space="preserve"> IF(OR(H26 &gt; 0, J26 &gt; 0), "Fe²⁺, ""ferrous""", "")</f>
        <v/>
      </c>
      <c r="E26" s="42"/>
      <c r="F26" s="131" t="str">
        <f xml:space="preserve"> IF(OR(H26 &gt; 0, J26 &gt; 0), "Iron(II) hydroxide", "")</f>
        <v/>
      </c>
      <c r="G26" s="132"/>
      <c r="H26" s="41">
        <f t="shared" si="0"/>
        <v>0</v>
      </c>
      <c r="J26" s="137"/>
      <c r="K26" s="138"/>
      <c r="L26" s="80">
        <f t="shared" si="1"/>
        <v>0</v>
      </c>
      <c r="M26" s="27"/>
      <c r="N26" s="96" t="str">
        <f t="shared" si="2"/>
        <v/>
      </c>
      <c r="T26" s="125" t="s">
        <v>81</v>
      </c>
      <c r="U26" s="126">
        <v>0</v>
      </c>
      <c r="V26" s="127">
        <f xml:space="preserve"> IF(ISERR(G28), 0, IF(AND(ISNUMBER(G28), G28 &gt; 0), G28 * basis!E16 / 100 * (100 - $V$16) / 100, 0))</f>
        <v>0</v>
      </c>
      <c r="W26" s="126">
        <v>0</v>
      </c>
      <c r="X26" s="128">
        <f xml:space="preserve"> IF(J28 &gt; 0, J28 * basis!E16 / 100 * (100 - X16) / 100, 0)</f>
        <v>0</v>
      </c>
    </row>
    <row r="27" spans="1:24" s="123" customFormat="1" ht="15" customHeight="1">
      <c r="A27" s="103"/>
      <c r="C27" s="131" t="s">
        <v>31</v>
      </c>
      <c r="D27" s="42" t="str">
        <f xml:space="preserve"> IF(OR(H27 &gt; 0, J27 &gt; 0), "Fe³⁺, ""ferric""", "")</f>
        <v/>
      </c>
      <c r="E27" s="42"/>
      <c r="F27" s="131" t="str">
        <f xml:space="preserve"> IF(OR(H27 &gt; 0, J27 &gt; 0), "Iron(III) hydroxide", "")</f>
        <v/>
      </c>
      <c r="G27" s="132"/>
      <c r="H27" s="41">
        <f t="shared" si="0"/>
        <v>0</v>
      </c>
      <c r="I27" s="104"/>
      <c r="J27" s="137"/>
      <c r="K27" s="138"/>
      <c r="L27" s="80">
        <f t="shared" si="1"/>
        <v>0</v>
      </c>
      <c r="M27" s="27"/>
      <c r="N27" s="96" t="str">
        <f t="shared" si="2"/>
        <v/>
      </c>
      <c r="T27" s="110" t="s">
        <v>89</v>
      </c>
      <c r="U27" s="140">
        <f xml:space="preserve"> SUM(U18:U26)</f>
        <v>0</v>
      </c>
      <c r="V27" s="110">
        <f xml:space="preserve"> SUM(V18:V26)</f>
        <v>44.620129848243948</v>
      </c>
      <c r="W27" s="140">
        <f xml:space="preserve"> SUM(W18:W26)</f>
        <v>31.856750727962098</v>
      </c>
      <c r="X27" s="141">
        <f xml:space="preserve"> SUM(X18:X26)</f>
        <v>30.24833460456064</v>
      </c>
    </row>
    <row r="28" spans="1:24" s="123" customFormat="1" ht="15" customHeight="1">
      <c r="A28" s="103"/>
      <c r="C28" s="131" t="s">
        <v>98</v>
      </c>
      <c r="D28" s="53" t="str">
        <f xml:space="preserve"> IF(OR(H28 &gt; 0, J28 &gt; 0), "Fe³⁺, ""ferric""", "")</f>
        <v/>
      </c>
      <c r="E28" s="42"/>
      <c r="F28" s="131" t="str">
        <f xml:space="preserve"> IF(OR(H28 &gt; 0, J28 &gt; 0), "Iron(III) oxide trihydrate", "")</f>
        <v/>
      </c>
      <c r="G28" s="132"/>
      <c r="H28" s="41">
        <f t="shared" si="0"/>
        <v>0</v>
      </c>
      <c r="I28" s="104"/>
      <c r="J28" s="137"/>
      <c r="K28" s="138"/>
      <c r="L28" s="80">
        <f t="shared" si="1"/>
        <v>0</v>
      </c>
      <c r="M28" s="27"/>
      <c r="N28" s="96" t="str">
        <f t="shared" si="2"/>
        <v/>
      </c>
      <c r="T28" s="142" t="s">
        <v>86</v>
      </c>
      <c r="U28" s="143"/>
      <c r="V28" s="144">
        <f xml:space="preserve"> SUM(U18:V26)</f>
        <v>44.620129848243948</v>
      </c>
      <c r="W28" s="143"/>
      <c r="X28" s="145">
        <f xml:space="preserve"> SUM(W18:X26)</f>
        <v>62.105085332522734</v>
      </c>
    </row>
    <row r="29" spans="1:24" s="123" customFormat="1" ht="15" hidden="1" customHeight="1">
      <c r="A29" s="103"/>
      <c r="C29" s="146" t="s">
        <v>132</v>
      </c>
      <c r="D29" s="102"/>
      <c r="E29" s="102"/>
      <c r="F29" s="146"/>
      <c r="G29" s="147"/>
      <c r="H29" s="100" t="str">
        <f xml:space="preserve"> V30</f>
        <v>0 : 100</v>
      </c>
      <c r="I29" s="104"/>
      <c r="J29" s="137"/>
      <c r="K29" s="138"/>
      <c r="L29" s="101" t="str">
        <f xml:space="preserve"> X30</f>
        <v>51 : 49</v>
      </c>
      <c r="N29" s="96" t="str">
        <f t="shared" si="2"/>
        <v/>
      </c>
      <c r="T29" s="110" t="s">
        <v>179</v>
      </c>
      <c r="U29" s="140">
        <f xml:space="preserve"> U27 / (U27 + V27) * 100</f>
        <v>0</v>
      </c>
      <c r="V29" s="140">
        <f xml:space="preserve"> V27 / (U27 + V27) * 100</f>
        <v>100</v>
      </c>
      <c r="W29" s="140">
        <f xml:space="preserve"> W27 / (W27 + X27) * 100</f>
        <v>51.294914993506325</v>
      </c>
      <c r="X29" s="140">
        <f xml:space="preserve"> X27 / (W27 + X27) * 100</f>
        <v>48.70508500649369</v>
      </c>
    </row>
    <row r="30" spans="1:24" s="123" customFormat="1" ht="15" customHeight="1">
      <c r="A30" s="129"/>
      <c r="C30" s="148" t="s">
        <v>91</v>
      </c>
      <c r="D30" s="149"/>
      <c r="E30" s="149"/>
      <c r="F30" s="131"/>
      <c r="G30" s="150">
        <v>2.7500010000000001</v>
      </c>
      <c r="H30" s="41"/>
      <c r="I30" s="104"/>
      <c r="J30" s="137">
        <f xml:space="preserve"> IF(X16 = 0, "", X16)</f>
        <v>2</v>
      </c>
      <c r="K30" s="138"/>
      <c r="L30" s="80"/>
      <c r="M30" s="32"/>
      <c r="N30" s="96" t="str">
        <f xml:space="preserve"> IF(ISERR(MOD(ROUND(G30 * 1000000, 0), 10) = 1), "", IF(MOD(ROUND(G30 * 1000000, 0), 10) = 1, "← " &amp; TEXT(G30, "0.00") &amp; ": Example - Delete or replace with your own additive's moisture", ""))</f>
        <v>← 2.75: Example - Delete or replace with your own additive's moisture</v>
      </c>
      <c r="T30" s="151" t="s">
        <v>90</v>
      </c>
      <c r="U30" s="152"/>
      <c r="V30" s="151" t="str">
        <f xml:space="preserve">
IF(U27 = 0,
    IF(V27 = 0, "0 : 0", "0 : 100"),
    IF(V27 = 0,
        "100 : 0",
        ROUND(U29, 0) &amp; " : " &amp; ROUND(V29, 0)
    )
)</f>
        <v>0 : 100</v>
      </c>
      <c r="W30" s="152"/>
      <c r="X30" s="151" t="str">
        <f xml:space="preserve">
IF(W27 = 0,
    IF(X27 = 0, "0 : 0", "0 : 100"),
    IF(X27 = 0,
        "100 : 0",
        ROUND(W29, 0) &amp; " : " &amp; ROUND(X29, 0)
    )
)</f>
        <v>51 : 49</v>
      </c>
    </row>
    <row r="31" spans="1:24" s="154" customFormat="1" ht="15" customHeight="1">
      <c r="A31" s="153"/>
      <c r="C31" s="29" t="s">
        <v>63</v>
      </c>
      <c r="D31" s="29" t="s">
        <v>26</v>
      </c>
      <c r="E31" s="29"/>
      <c r="F31" s="29"/>
      <c r="G31" s="65"/>
      <c r="H31" s="66">
        <f xml:space="preserve"> V28</f>
        <v>44.620129848243948</v>
      </c>
      <c r="I31" s="20"/>
      <c r="J31" s="67"/>
      <c r="K31" s="81"/>
      <c r="L31" s="82">
        <f xml:space="preserve"> X28</f>
        <v>62.105085332522734</v>
      </c>
      <c r="M31" s="33"/>
      <c r="N31" s="26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123"/>
    </row>
    <row r="32" spans="1:24" s="123" customFormat="1" ht="12" customHeight="1">
      <c r="A32" s="103"/>
      <c r="C32" s="63" t="s">
        <v>207</v>
      </c>
      <c r="G32" s="155"/>
      <c r="H32" s="156"/>
      <c r="J32" s="124"/>
      <c r="K32" s="124"/>
      <c r="L32" s="124"/>
      <c r="N32" s="40"/>
    </row>
    <row r="33" spans="1:50" s="123" customFormat="1" ht="12" customHeight="1">
      <c r="A33" s="103"/>
      <c r="C33" s="63" t="s">
        <v>208</v>
      </c>
      <c r="H33" s="157"/>
      <c r="N33" s="40"/>
    </row>
    <row r="34" spans="1:50" s="123" customFormat="1" ht="15" customHeight="1"/>
    <row r="35" spans="1:50" s="123" customFormat="1" ht="15" customHeight="1">
      <c r="C35" s="69" t="s">
        <v>224</v>
      </c>
      <c r="D35" s="70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39.2% higher than the RIIC of Your_De-Sulph.</v>
      </c>
      <c r="E35" s="70"/>
      <c r="F35" s="71"/>
      <c r="G35" s="71"/>
      <c r="H35" s="71"/>
      <c r="I35" s="71"/>
      <c r="J35" s="71"/>
      <c r="K35" s="71"/>
      <c r="L35" s="73" t="str">
        <f xml:space="preserve"> IF(L31 / H31 &gt; 1.09, "Factor = " &amp; TEXT(L31 / H31, "0.0") &amp; " x", "")</f>
        <v>Factor = 1.4 x</v>
      </c>
      <c r="P35" s="26"/>
    </row>
    <row r="36" spans="1:50" s="123" customFormat="1" ht="15" hidden="1" customHeight="1"/>
    <row r="37" spans="1:50" s="123" customFormat="1" ht="15" hidden="1" customHeight="1">
      <c r="C37" s="104" t="s">
        <v>49</v>
      </c>
      <c r="D37" s="21"/>
      <c r="E37" s="21"/>
      <c r="F37" s="21"/>
      <c r="G37" s="104"/>
      <c r="H37" s="104"/>
      <c r="I37" s="104"/>
      <c r="J37" s="104"/>
      <c r="K37" s="104"/>
      <c r="L37" s="104"/>
      <c r="M37" s="104"/>
      <c r="N37" s="104"/>
    </row>
    <row r="38" spans="1:50" s="123" customFormat="1" ht="15" hidden="1" customHeight="1">
      <c r="C38" s="104" t="s">
        <v>56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1:50" s="123" customFormat="1" ht="15" hidden="1" customHeight="1">
      <c r="C39" s="104" t="s">
        <v>57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</row>
    <row r="40" spans="1:50" s="123" customFormat="1" ht="15" hidden="1" customHeight="1">
      <c r="C40" s="104" t="s">
        <v>51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T40" s="20" t="s">
        <v>118</v>
      </c>
      <c r="W40" s="54" t="s">
        <v>108</v>
      </c>
      <c r="X40" s="299" t="s">
        <v>199</v>
      </c>
      <c r="Y40" s="159"/>
      <c r="Z40" s="57" t="s">
        <v>115</v>
      </c>
      <c r="AA40" s="61">
        <f xml:space="preserve"> G48</f>
        <v>0</v>
      </c>
      <c r="AB40" s="62" t="s">
        <v>99</v>
      </c>
      <c r="AC40" s="160" t="s">
        <v>126</v>
      </c>
      <c r="AD40" s="160" t="s">
        <v>152</v>
      </c>
      <c r="AE40" s="301" t="s">
        <v>203</v>
      </c>
      <c r="AF40" s="160"/>
      <c r="AH40" s="57" t="s">
        <v>116</v>
      </c>
      <c r="AI40" s="61">
        <f xml:space="preserve"> G49</f>
        <v>0</v>
      </c>
      <c r="AJ40" s="62" t="s">
        <v>112</v>
      </c>
      <c r="AL40" s="57" t="s">
        <v>117</v>
      </c>
      <c r="AM40" s="61">
        <f xml:space="preserve"> G51</f>
        <v>0</v>
      </c>
      <c r="AN40" s="62" t="s">
        <v>111</v>
      </c>
      <c r="AO40" s="160" t="s">
        <v>126</v>
      </c>
      <c r="AQ40" s="58" t="s">
        <v>120</v>
      </c>
      <c r="AR40" s="59">
        <f xml:space="preserve"> AM51</f>
        <v>0</v>
      </c>
      <c r="AS40" s="59">
        <f xml:space="preserve"> J52</f>
        <v>1000.000001</v>
      </c>
      <c r="AU40" s="58" t="s">
        <v>127</v>
      </c>
      <c r="AV40" s="61">
        <f xml:space="preserve"> G53 - J53</f>
        <v>0</v>
      </c>
      <c r="AW40" s="161"/>
      <c r="AX40" s="161" t="s">
        <v>128</v>
      </c>
    </row>
    <row r="41" spans="1:50" s="123" customFormat="1" ht="15" hidden="1" customHeight="1">
      <c r="C41" s="330" t="s">
        <v>223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W41" s="162" t="s">
        <v>109</v>
      </c>
      <c r="X41" s="163" t="s">
        <v>110</v>
      </c>
      <c r="Y41" s="159"/>
      <c r="Z41" s="131"/>
      <c r="AA41" s="164">
        <f xml:space="preserve"> IF(IFERROR(SEARCH(Z41, $F$48), 0) = 0, 0, AB41)</f>
        <v>0</v>
      </c>
      <c r="AB41" s="165">
        <v>0</v>
      </c>
      <c r="AC41" s="165">
        <v>1</v>
      </c>
      <c r="AD41" s="165"/>
      <c r="AE41" s="165"/>
      <c r="AF41" s="165"/>
      <c r="AH41" s="131"/>
      <c r="AI41" s="164">
        <f xml:space="preserve"> IF(IFERROR(SEARCH(AH41, $AE$51), 0) = 0, 0, AJ41)</f>
        <v>0</v>
      </c>
      <c r="AJ41" s="165">
        <v>0</v>
      </c>
      <c r="AL41" s="131"/>
      <c r="AM41" s="164">
        <f xml:space="preserve"> IF(IFERROR(SEARCH(AL41,$F$51), 0) = 0, 0, AN41)</f>
        <v>0</v>
      </c>
      <c r="AN41" s="165">
        <v>0</v>
      </c>
      <c r="AO41" s="165">
        <v>1</v>
      </c>
      <c r="AQ41" s="131"/>
      <c r="AR41" s="165">
        <f xml:space="preserve"> IF(IFERROR( SEARCH(AQ41,#REF!), 0) = 0, 0, AS41)</f>
        <v>0</v>
      </c>
      <c r="AS41" s="165">
        <v>0</v>
      </c>
      <c r="AU41" s="131" t="s">
        <v>142</v>
      </c>
      <c r="AV41" s="166">
        <f xml:space="preserve"> IF(IFERROR(SEARCH(AU41, $L$55), 0) = 0, 0, AW41)</f>
        <v>0</v>
      </c>
      <c r="AW41" s="165">
        <f xml:space="preserve"> AV40</f>
        <v>0</v>
      </c>
      <c r="AX41" s="165" t="s">
        <v>121</v>
      </c>
    </row>
    <row r="42" spans="1:50" s="123" customFormat="1" ht="15" customHeight="1"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W42" s="55" t="s">
        <v>100</v>
      </c>
      <c r="X42" s="56" t="s">
        <v>101</v>
      </c>
      <c r="Y42" s="159"/>
      <c r="Z42" s="168" t="s">
        <v>138</v>
      </c>
      <c r="AA42" s="164">
        <f xml:space="preserve"> IF(IFERROR(SEARCH(Z42, $F$48), 0) = 0, 0, AB42)</f>
        <v>0</v>
      </c>
      <c r="AB42" s="164">
        <f xml:space="preserve"> G48</f>
        <v>0</v>
      </c>
      <c r="AC42" s="164"/>
      <c r="AD42" s="164" t="s">
        <v>153</v>
      </c>
      <c r="AE42" s="164"/>
      <c r="AF42" s="164"/>
      <c r="AH42" s="168" t="s">
        <v>146</v>
      </c>
      <c r="AI42" s="164">
        <f xml:space="preserve"> IF(IFERROR(SEARCH(AH42, $AE$51), 0) = 0, 0, AJ42)</f>
        <v>0</v>
      </c>
      <c r="AJ42" s="164">
        <f xml:space="preserve"> G49</f>
        <v>0</v>
      </c>
      <c r="AL42" s="131" t="s">
        <v>148</v>
      </c>
      <c r="AM42" s="164">
        <f xml:space="preserve"> IF(IFERROR(SEARCH(AL42,$F$51), 0) = 0, 0, AN42)</f>
        <v>0</v>
      </c>
      <c r="AN42" s="165">
        <f xml:space="preserve"> G51 * 1000</f>
        <v>0</v>
      </c>
      <c r="AO42" s="165"/>
      <c r="AQ42" s="168" t="s">
        <v>148</v>
      </c>
      <c r="AR42" s="165">
        <f xml:space="preserve"> IF(IFERROR( SEARCH(AQ42,#REF!), 0) = 0, 0, AS42)</f>
        <v>0</v>
      </c>
      <c r="AS42" s="165">
        <f xml:space="preserve"> AR40 / 1000</f>
        <v>0</v>
      </c>
      <c r="AU42" s="131" t="s">
        <v>143</v>
      </c>
      <c r="AV42" s="166">
        <f xml:space="preserve"> IF(IFERROR(SEARCH(AU42, $L$55), 0) = 0, 0, AW42)</f>
        <v>0</v>
      </c>
      <c r="AW42" s="165">
        <f xml:space="preserve"> AV40 * 7</f>
        <v>0</v>
      </c>
      <c r="AX42" s="165" t="s">
        <v>122</v>
      </c>
    </row>
    <row r="43" spans="1:50" s="123" customFormat="1" ht="15" customHeight="1">
      <c r="T43" s="169" t="s">
        <v>82</v>
      </c>
      <c r="U43" s="169">
        <f xml:space="preserve"> IF(ISERR(G50), 0, IF(AND(ISNUMBER(G50), G50 &gt; 0), G50, 0))</f>
        <v>0</v>
      </c>
      <c r="W43" s="162" t="s">
        <v>102</v>
      </c>
      <c r="X43" s="163">
        <v>0.45359237000000002</v>
      </c>
      <c r="Y43" s="159"/>
      <c r="Z43" s="168" t="s">
        <v>139</v>
      </c>
      <c r="AA43" s="164">
        <f xml:space="preserve"> IF(IFERROR(SEARCH(Z43, $F$48), 0) = 0, 0, AB43)</f>
        <v>0</v>
      </c>
      <c r="AB43" s="165">
        <f xml:space="preserve"> G48 * 1000</f>
        <v>0</v>
      </c>
      <c r="AC43" s="165"/>
      <c r="AD43" s="165"/>
      <c r="AE43" s="165"/>
      <c r="AF43" s="165"/>
      <c r="AH43" s="168" t="s">
        <v>164</v>
      </c>
      <c r="AI43" s="164">
        <f xml:space="preserve"> IF(IFERROR(SEARCH(AH43, $AE$51), 0) = 0, 0, AJ43)</f>
        <v>0</v>
      </c>
      <c r="AJ43" s="164">
        <f xml:space="preserve"> G49 * X43 / X48</f>
        <v>0</v>
      </c>
      <c r="AL43" s="168" t="s">
        <v>149</v>
      </c>
      <c r="AM43" s="164">
        <f xml:space="preserve"> IF(IFERROR(SEARCH(AL43,$F$51), 0) = 0, 0, AN43)</f>
        <v>0</v>
      </c>
      <c r="AN43" s="164">
        <f xml:space="preserve"> G51</f>
        <v>0</v>
      </c>
      <c r="AO43" s="164"/>
      <c r="AQ43" s="168" t="s">
        <v>151</v>
      </c>
      <c r="AR43" s="165">
        <f xml:space="preserve"> IF(IFERROR( SEARCH(AQ43,#REF!), 0) = 0, 0, AS43)</f>
        <v>0</v>
      </c>
      <c r="AS43" s="165">
        <f xml:space="preserve"> AR40 / 1000 * X43</f>
        <v>0</v>
      </c>
      <c r="AU43" s="131" t="s">
        <v>144</v>
      </c>
      <c r="AV43" s="166">
        <f xml:space="preserve"> IF(IFERROR(SEARCH(AU43, $L$55), 0) = 0, 0, AW43)</f>
        <v>0</v>
      </c>
      <c r="AW43" s="165">
        <f xml:space="preserve"> AV40 * 30</f>
        <v>0</v>
      </c>
      <c r="AX43" s="165" t="s">
        <v>123</v>
      </c>
    </row>
    <row r="44" spans="1:50" s="123" customFormat="1" ht="15" customHeight="1">
      <c r="A44" s="103"/>
      <c r="B44" s="20" t="s">
        <v>65</v>
      </c>
      <c r="C44" s="20" t="str">
        <f xml:space="preserve"> "Comparing daily dosage and costs between " &amp; G18 &amp; " and " &amp; U12 &amp; " for your biogas reactor, based on their respective RIICs"</f>
        <v>Comparing daily dosage and costs between Your_De-Sulph and SBGx for your biogas reactor, based on their respective RIICs</v>
      </c>
      <c r="H44" s="157"/>
      <c r="L44" s="157"/>
      <c r="Q44" s="300"/>
      <c r="R44" s="300"/>
      <c r="T44" s="169" t="s">
        <v>83</v>
      </c>
      <c r="U44" s="169">
        <f xml:space="preserve"> IF(ISERR(G52), 0, IF(AND(ISNUMBER(G52), G52 &gt; 0), G52, 0))</f>
        <v>0</v>
      </c>
      <c r="W44" s="162" t="s">
        <v>103</v>
      </c>
      <c r="X44" s="163">
        <v>1016.0469000000001</v>
      </c>
      <c r="Y44" s="159"/>
      <c r="Z44" s="168" t="s">
        <v>140</v>
      </c>
      <c r="AA44" s="164">
        <f t="shared" ref="AA44:AA47" si="3" xml:space="preserve"> IF(IFERROR(SEARCH(Z44, $F$48), 0) = 0, 0, AB44)</f>
        <v>0</v>
      </c>
      <c r="AB44" s="164">
        <f xml:space="preserve"> G48 * 1 * AI46</f>
        <v>0</v>
      </c>
      <c r="AC44" s="164">
        <v>1</v>
      </c>
      <c r="AD44" s="164"/>
      <c r="AE44" s="164" t="str">
        <f xml:space="preserve"> AH42</f>
        <v>Kilogram per litre [kg/l]</v>
      </c>
      <c r="AF44" s="302" t="s">
        <v>201</v>
      </c>
      <c r="AH44" s="168" t="s">
        <v>147</v>
      </c>
      <c r="AI44" s="164">
        <f xml:space="preserve"> IF(IFERROR(SEARCH(AH44, $AE$51), 0) = 0, 0, AJ44)</f>
        <v>0</v>
      </c>
      <c r="AJ44" s="164">
        <f xml:space="preserve"> G49 * X43 / X49</f>
        <v>0</v>
      </c>
      <c r="AL44" s="168" t="s">
        <v>150</v>
      </c>
      <c r="AM44" s="164">
        <f t="shared" ref="AM44:AM49" si="4" xml:space="preserve"> IF(IFERROR(SEARCH(AL44,$F$51), 0) = 0, 0, AN44)</f>
        <v>0</v>
      </c>
      <c r="AN44" s="164">
        <f xml:space="preserve"> IF(AI46 = 0, 0, G51 / (1 * AI46) * 1000)</f>
        <v>0</v>
      </c>
      <c r="AO44" s="164">
        <v>1</v>
      </c>
      <c r="AQ44" s="168" t="s">
        <v>162</v>
      </c>
      <c r="AR44" s="165">
        <f xml:space="preserve"> IF(IFERROR( SEARCH(AQ44,#REF!), 0) = 0, 0, AS44)</f>
        <v>0</v>
      </c>
      <c r="AS44" s="165">
        <f xml:space="preserve"> AR40 / 1000 * X44</f>
        <v>0</v>
      </c>
      <c r="AU44" s="131" t="s">
        <v>145</v>
      </c>
      <c r="AV44" s="166">
        <f xml:space="preserve"> IF(IFERROR(SEARCH(AU44, $L$55), 0) = 0, 0, AW44)</f>
        <v>0</v>
      </c>
      <c r="AW44" s="165">
        <f xml:space="preserve"> AV40 * 365</f>
        <v>0</v>
      </c>
      <c r="AX44" s="165" t="s">
        <v>125</v>
      </c>
    </row>
    <row r="45" spans="1:50" s="123" customFormat="1" ht="15" customHeight="1">
      <c r="A45" s="103"/>
      <c r="B45" s="20"/>
      <c r="C45" s="369" t="s">
        <v>267</v>
      </c>
      <c r="H45" s="157"/>
      <c r="L45" s="157"/>
      <c r="Q45" s="300"/>
      <c r="R45" s="300"/>
      <c r="T45" s="169" t="s">
        <v>84</v>
      </c>
      <c r="U45" s="169">
        <f xml:space="preserve"> IF(ISERR(J52), 0, IF(AND(ISNUMBER(J52), J52 &gt; 0), J52, 0))</f>
        <v>1000.000001</v>
      </c>
      <c r="W45" s="162" t="s">
        <v>104</v>
      </c>
      <c r="X45" s="163">
        <v>907.18474000000003</v>
      </c>
      <c r="Y45" s="159"/>
      <c r="Z45" s="168" t="s">
        <v>141</v>
      </c>
      <c r="AA45" s="164">
        <f t="shared" si="3"/>
        <v>0</v>
      </c>
      <c r="AB45" s="164">
        <f xml:space="preserve"> G48 * X43</f>
        <v>0</v>
      </c>
      <c r="AC45" s="164"/>
      <c r="AD45" s="164" t="s">
        <v>154</v>
      </c>
      <c r="AE45" s="164"/>
      <c r="AF45" s="164"/>
      <c r="AL45" s="168" t="s">
        <v>151</v>
      </c>
      <c r="AM45" s="164">
        <f t="shared" si="4"/>
        <v>0</v>
      </c>
      <c r="AN45" s="164">
        <f xml:space="preserve"> G51 / X43 * 1000</f>
        <v>0</v>
      </c>
      <c r="AO45" s="164"/>
      <c r="AQ45" s="168" t="s">
        <v>161</v>
      </c>
      <c r="AR45" s="165">
        <f xml:space="preserve"> IF(IFERROR( SEARCH(AQ45,#REF!), 0) = 0, 0, AS45)</f>
        <v>0</v>
      </c>
      <c r="AS45" s="165">
        <f xml:space="preserve"> AR40 / 1000 * X45</f>
        <v>0</v>
      </c>
    </row>
    <row r="46" spans="1:50" s="123" customFormat="1" ht="15" customHeight="1">
      <c r="A46" s="103"/>
      <c r="B46" s="20"/>
      <c r="C46" s="20" t="s">
        <v>228</v>
      </c>
      <c r="D46" s="33"/>
      <c r="E46" s="309" t="s">
        <v>217</v>
      </c>
      <c r="F46" s="170"/>
      <c r="G46" s="335" t="str">
        <f xml:space="preserve"> IF(ISBLANK(F46), " ← Tip: For more information hoover the cursor/arrow over the cell without clicking on or having selected it.", "")</f>
        <v xml:space="preserve"> ← Tip: For more information hoover the cursor/arrow over the cell without clicking on or having selected it.</v>
      </c>
      <c r="L46" s="157"/>
      <c r="P46" s="334"/>
      <c r="Q46" s="300"/>
      <c r="R46" s="300"/>
      <c r="T46" s="169" t="s">
        <v>85</v>
      </c>
      <c r="U46" s="169">
        <f xml:space="preserve"> IF(ISERR(#REF!), 0, IF(AND(ISNUMBER(#REF!),#REF! &gt; 0),#REF!, 0))</f>
        <v>0</v>
      </c>
      <c r="W46" s="297" t="s">
        <v>199</v>
      </c>
      <c r="X46" s="298" t="s">
        <v>199</v>
      </c>
      <c r="Y46" s="159"/>
      <c r="Z46" s="168" t="s">
        <v>165</v>
      </c>
      <c r="AA46" s="164">
        <f t="shared" si="3"/>
        <v>0</v>
      </c>
      <c r="AB46" s="164">
        <f xml:space="preserve"> G48 * X44</f>
        <v>0</v>
      </c>
      <c r="AC46" s="164"/>
      <c r="AD46" s="164"/>
      <c r="AE46" s="164"/>
      <c r="AF46" s="164"/>
      <c r="AH46" s="107" t="s">
        <v>113</v>
      </c>
      <c r="AI46" s="161">
        <f xml:space="preserve"> SUM(AI41:AI44)</f>
        <v>0</v>
      </c>
      <c r="AL46" s="168" t="s">
        <v>162</v>
      </c>
      <c r="AM46" s="164">
        <f t="shared" si="4"/>
        <v>0</v>
      </c>
      <c r="AN46" s="164">
        <f xml:space="preserve"> G51 / X44 * 1000</f>
        <v>0</v>
      </c>
      <c r="AO46" s="164"/>
      <c r="AU46" s="107" t="s">
        <v>124</v>
      </c>
      <c r="AV46" s="161">
        <f xml:space="preserve"> SUM(AV41:AV44)</f>
        <v>0</v>
      </c>
      <c r="AW46" s="161" t="str">
        <f xml:space="preserve"> VLOOKUP(AV46, AV41:AX44, 3, FALSE)</f>
        <v>daily</v>
      </c>
      <c r="AX46" s="172"/>
    </row>
    <row r="47" spans="1:50" s="123" customFormat="1" ht="15" customHeight="1">
      <c r="A47" s="103"/>
      <c r="G47" s="35" t="str">
        <f xml:space="preserve"> G18</f>
        <v>Your_De-Sulph</v>
      </c>
      <c r="H47" s="35"/>
      <c r="J47" s="37" t="str">
        <f xml:space="preserve"> U13</f>
        <v>SBGx by SwissBiogas.com</v>
      </c>
      <c r="K47" s="37"/>
      <c r="L47" s="124"/>
      <c r="Q47" s="300"/>
      <c r="R47" s="300"/>
      <c r="W47" s="55" t="s">
        <v>105</v>
      </c>
      <c r="X47" s="56" t="s">
        <v>106</v>
      </c>
      <c r="Y47" s="159"/>
      <c r="Z47" s="168" t="s">
        <v>160</v>
      </c>
      <c r="AA47" s="164">
        <f t="shared" si="3"/>
        <v>0</v>
      </c>
      <c r="AB47" s="164">
        <f xml:space="preserve"> G48 * X45</f>
        <v>0</v>
      </c>
      <c r="AC47" s="164"/>
      <c r="AD47" s="164"/>
      <c r="AE47" s="164"/>
      <c r="AF47" s="164"/>
      <c r="AL47" s="168" t="s">
        <v>161</v>
      </c>
      <c r="AM47" s="164">
        <f t="shared" si="4"/>
        <v>0</v>
      </c>
      <c r="AN47" s="164">
        <f xml:space="preserve"> G51 / X45 * 1000</f>
        <v>0</v>
      </c>
      <c r="AO47" s="164"/>
      <c r="AQ47" s="107" t="e">
        <f xml:space="preserve"> "Price per " &amp;#REF!</f>
        <v>#REF!</v>
      </c>
      <c r="AR47" s="161">
        <f xml:space="preserve"> SUM(AR41:AR45)</f>
        <v>0</v>
      </c>
      <c r="AS47" s="161">
        <f xml:space="preserve"> IF(AR40 &gt; 0, AR47 / AR40 * AS40, 0)</f>
        <v>0</v>
      </c>
    </row>
    <row r="48" spans="1:50" s="123" customFormat="1" ht="15" customHeight="1">
      <c r="A48" s="103"/>
      <c r="C48" s="305" t="s">
        <v>204</v>
      </c>
      <c r="D48" s="173"/>
      <c r="E48" s="75" t="s">
        <v>218</v>
      </c>
      <c r="F48" s="76"/>
      <c r="G48" s="307"/>
      <c r="H48" s="39"/>
      <c r="J48" s="37"/>
      <c r="K48" s="37"/>
      <c r="L48" s="124"/>
      <c r="Q48" s="300"/>
      <c r="R48" s="300"/>
      <c r="W48" s="162" t="s">
        <v>107</v>
      </c>
      <c r="X48" s="163">
        <v>4.5460900000000004</v>
      </c>
      <c r="Y48" s="159"/>
      <c r="Z48" s="168" t="s">
        <v>166</v>
      </c>
      <c r="AA48" s="164">
        <f xml:space="preserve"> IF(IFERROR(SEARCH(Z48, $F$48), 0) = 0, 0, AB48)</f>
        <v>0</v>
      </c>
      <c r="AB48" s="164">
        <f xml:space="preserve"> G48 * X48 * AI46</f>
        <v>0</v>
      </c>
      <c r="AC48" s="164">
        <v>1</v>
      </c>
      <c r="AD48" s="164"/>
      <c r="AE48" s="164" t="str">
        <f xml:space="preserve"> AH43</f>
        <v>Pound per Imperial gallon [lb/gal]</v>
      </c>
      <c r="AF48" s="302" t="s">
        <v>202</v>
      </c>
      <c r="AG48" s="159"/>
      <c r="AH48" s="159"/>
      <c r="AL48" s="168" t="s">
        <v>163</v>
      </c>
      <c r="AM48" s="164">
        <f t="shared" si="4"/>
        <v>0</v>
      </c>
      <c r="AN48" s="164">
        <f xml:space="preserve"> IF(AI46 = 0, 0, G51 / (X48 * AI46) * 1000)</f>
        <v>0</v>
      </c>
      <c r="AO48" s="164">
        <v>1</v>
      </c>
    </row>
    <row r="49" spans="1:50" s="123" customFormat="1" ht="15" customHeight="1">
      <c r="A49" s="103"/>
      <c r="C49" s="173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82"/>
      <c r="E49" s="304"/>
      <c r="F49" s="131"/>
      <c r="G49" s="307"/>
      <c r="H49" s="39"/>
      <c r="J49" s="37"/>
      <c r="K49" s="37"/>
      <c r="L49" s="124"/>
      <c r="Q49" s="300"/>
      <c r="R49" s="300"/>
      <c r="W49" s="174" t="s">
        <v>173</v>
      </c>
      <c r="X49" s="175">
        <v>3.7854117839999999</v>
      </c>
      <c r="Y49" s="176"/>
      <c r="Z49" s="168" t="s">
        <v>174</v>
      </c>
      <c r="AA49" s="164">
        <f xml:space="preserve"> IF(IFERROR(SEARCH(Z49, $F$48), 0) = 0, 0, AB49)</f>
        <v>0</v>
      </c>
      <c r="AB49" s="177">
        <f xml:space="preserve"> G48 * X49 * AI46</f>
        <v>0</v>
      </c>
      <c r="AC49" s="177">
        <v>1</v>
      </c>
      <c r="AD49" s="177"/>
      <c r="AE49" s="177" t="str">
        <f xml:space="preserve"> AH44</f>
        <v>Pound per US gallon [lb/gal]</v>
      </c>
      <c r="AF49" s="303" t="s">
        <v>202</v>
      </c>
      <c r="AL49" s="168" t="s">
        <v>175</v>
      </c>
      <c r="AM49" s="164">
        <f t="shared" si="4"/>
        <v>0</v>
      </c>
      <c r="AN49" s="177">
        <f xml:space="preserve"> IF(AI46 = 0, 0, G51 / (X49 * AI46) * 1000)</f>
        <v>0</v>
      </c>
      <c r="AO49" s="177">
        <v>1</v>
      </c>
    </row>
    <row r="50" spans="1:50" s="123" customFormat="1" ht="15" customHeight="1">
      <c r="A50" s="103"/>
      <c r="C50" s="72" t="s">
        <v>263</v>
      </c>
      <c r="D50" s="72" t="s">
        <v>213</v>
      </c>
      <c r="E50" s="178"/>
      <c r="F50" s="179"/>
      <c r="G50" s="338">
        <f xml:space="preserve"> AA51</f>
        <v>0</v>
      </c>
      <c r="H50" s="39"/>
      <c r="J50" s="326">
        <f xml:space="preserve"> IF(ISERR(U43), 0, U43 / L31 * H31)</f>
        <v>0</v>
      </c>
      <c r="K50" s="84"/>
      <c r="L50" s="83" t="str">
        <f xml:space="preserve"> IF(AND(U43 &gt; 0, J50 &gt; 0, U43 &gt; J50), "Factor " &amp; TEXT(U43 / J50, "0.0") &amp; " x", "")</f>
        <v/>
      </c>
      <c r="M50" s="20"/>
      <c r="N50" s="26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/>
      </c>
      <c r="Q50" s="300"/>
      <c r="R50" s="300"/>
      <c r="W50" s="159"/>
      <c r="X50" s="180"/>
      <c r="Y50" s="159"/>
      <c r="Z50" s="159"/>
      <c r="AA50" s="159"/>
      <c r="AB50" s="181" t="s">
        <v>126</v>
      </c>
      <c r="AC50" s="159" t="s">
        <v>152</v>
      </c>
      <c r="AD50" s="159"/>
      <c r="AE50" s="159"/>
      <c r="AF50" s="159"/>
      <c r="AN50" s="171" t="s">
        <v>126</v>
      </c>
    </row>
    <row r="51" spans="1:50" s="123" customFormat="1" ht="15" customHeight="1">
      <c r="A51" s="103"/>
      <c r="C51" s="306" t="s">
        <v>205</v>
      </c>
      <c r="D51" s="182"/>
      <c r="E51" s="75" t="s">
        <v>218</v>
      </c>
      <c r="F51" s="170"/>
      <c r="G51" s="183"/>
      <c r="H51" s="39"/>
      <c r="J51" s="184"/>
      <c r="K51" s="185"/>
      <c r="L51" s="124"/>
      <c r="P51" s="171"/>
      <c r="Q51" s="300"/>
      <c r="R51" s="300"/>
      <c r="Z51" s="186" t="s">
        <v>114</v>
      </c>
      <c r="AA51" s="187">
        <f xml:space="preserve"> SUM(AA41:AA49)</f>
        <v>0</v>
      </c>
      <c r="AB51" s="161">
        <f xml:space="preserve"> IF(ISBLANK(F48), 1, VLOOKUP(F48,Z42:AC49,4,FALSE))</f>
        <v>1</v>
      </c>
      <c r="AC51" s="161">
        <f xml:space="preserve"> IF(ISBLANK(F48), 1, VLOOKUP(F48, Z42:AD49, 5, FALSE))</f>
        <v>1</v>
      </c>
      <c r="AE51" s="161" t="b">
        <f xml:space="preserve"> IF(ISERROR(VLOOKUP(F48, Z42:AE49, 6, FALSE)), FALSE, VLOOKUP(F48, Z42:AE49, 6, FALSE))</f>
        <v>0</v>
      </c>
      <c r="AF51" s="161" t="e">
        <f xml:space="preserve"> VLOOKUP(F48, Z42:AF49, 7, FALSE)</f>
        <v>#N/A</v>
      </c>
      <c r="AL51" s="107" t="s">
        <v>119</v>
      </c>
      <c r="AM51" s="161">
        <f xml:space="preserve"> SUM(AM41:AM49)</f>
        <v>0</v>
      </c>
      <c r="AN51" s="161">
        <f xml:space="preserve"> IF(ISBLANK(F51), 1, VLOOKUP(F51, AL42:AO49,4,FALSE))</f>
        <v>1</v>
      </c>
    </row>
    <row r="52" spans="1:50" s="123" customFormat="1" ht="15" customHeight="1">
      <c r="A52" s="103"/>
      <c r="C52" s="29" t="str">
        <f xml:space="preserve"> "Price comparison btw. your additive and " &amp; U12 &amp; " per metric ton [/t]"</f>
        <v>Price comparison btw. your additive and SBGx per metric ton [/t]</v>
      </c>
      <c r="D52" s="179"/>
      <c r="E52" s="179"/>
      <c r="F52" s="179"/>
      <c r="G52" s="92">
        <f xml:space="preserve"> AM51</f>
        <v>0</v>
      </c>
      <c r="H52" s="39"/>
      <c r="J52" s="60">
        <v>1000.000001</v>
      </c>
      <c r="K52" s="86"/>
      <c r="L52" s="97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 xml:space="preserve"> ← Example - Please contact us for a binding additive price per metric ton in your currency.</v>
      </c>
      <c r="N52" s="209"/>
      <c r="Q52" s="300"/>
      <c r="R52" s="300"/>
      <c r="Y52" s="159"/>
      <c r="Z52" s="188"/>
      <c r="AA52" s="188"/>
    </row>
    <row r="53" spans="1:50" s="123" customFormat="1" ht="15" customHeight="1">
      <c r="A53" s="103"/>
      <c r="C53" s="29" t="s">
        <v>264</v>
      </c>
      <c r="D53" s="29" t="s">
        <v>206</v>
      </c>
      <c r="E53" s="29"/>
      <c r="F53" s="29"/>
      <c r="G53" s="93">
        <f xml:space="preserve"> IF(ISERR(U43), 0, IF(ISERR(U44), 0, IF(AND(U43 &gt; 0, U44 &gt; 0), U43 * U44 / 1000, 0)))</f>
        <v>0</v>
      </c>
      <c r="H53" s="155"/>
      <c r="J53" s="74">
        <f xml:space="preserve"> IF(ISERR(J50), 0, IF(ISERR(U45), 0, IF(AND(J50 &gt; 0, U45 &gt; 0), J50 * U45 / 1000, 0)))</f>
        <v>0</v>
      </c>
      <c r="K53" s="85"/>
      <c r="L53" s="83" t="str">
        <f xml:space="preserve"> IF(AND(G53 &gt; 0, J53 &gt; 0, G53 &gt; J53), "Factor " &amp; TEXT(G53 / J53, "0.0") &amp; " x", "")</f>
        <v/>
      </c>
      <c r="M53" s="20"/>
      <c r="N53" s="26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/>
      </c>
      <c r="O53" s="20"/>
      <c r="Y53" s="159"/>
      <c r="Z53" s="159"/>
      <c r="AA53" s="159"/>
    </row>
    <row r="54" spans="1:50" s="123" customFormat="1" ht="15" customHeight="1">
      <c r="C54" s="64"/>
      <c r="G54" s="155"/>
      <c r="H54" s="155"/>
      <c r="J54" s="331"/>
      <c r="K54" s="331"/>
      <c r="L54" s="331" t="s">
        <v>129</v>
      </c>
      <c r="O54" s="336"/>
      <c r="V54" s="180"/>
      <c r="Y54" s="159"/>
      <c r="Z54" s="159" t="s">
        <v>157</v>
      </c>
      <c r="AA54" s="159"/>
      <c r="AH54" s="123" t="s">
        <v>157</v>
      </c>
      <c r="AL54" s="123" t="s">
        <v>157</v>
      </c>
      <c r="AQ54" s="123" t="s">
        <v>157</v>
      </c>
    </row>
    <row r="55" spans="1:50" s="123" customFormat="1" ht="15" customHeight="1">
      <c r="A55" s="103"/>
      <c r="B55" s="20"/>
      <c r="C55" s="72" t="s">
        <v>224</v>
      </c>
      <c r="D55" s="72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Please enter the needed values to complete the calculation.</v>
      </c>
      <c r="E55" s="72"/>
      <c r="F55" s="72"/>
      <c r="G55" s="72"/>
      <c r="H55" s="72"/>
      <c r="I55" s="72"/>
      <c r="J55" s="72"/>
      <c r="K55" s="72"/>
      <c r="L55" s="191" t="s">
        <v>145</v>
      </c>
      <c r="N55" s="104"/>
      <c r="O55" s="337"/>
      <c r="Q55" s="104"/>
      <c r="R55" s="104"/>
      <c r="T55" s="123" t="s">
        <v>167</v>
      </c>
      <c r="V55" s="180"/>
      <c r="W55" s="104"/>
      <c r="X55" s="104"/>
      <c r="Y55" s="159"/>
      <c r="Z55" s="189" t="str">
        <f xml:space="preserve"> Z42</f>
        <v>Kilogram [kg/day]</v>
      </c>
      <c r="AA55" s="159"/>
      <c r="AB55" s="159"/>
      <c r="AC55" s="159"/>
      <c r="AD55" s="159"/>
      <c r="AE55" s="159"/>
      <c r="AF55" s="159"/>
      <c r="AG55" s="159"/>
      <c r="AH55" s="189" t="str">
        <f xml:space="preserve"> AH42</f>
        <v>Kilogram per litre [kg/l]</v>
      </c>
      <c r="AI55" s="104"/>
      <c r="AJ55" s="104"/>
      <c r="AK55" s="104"/>
      <c r="AL55" s="189" t="str">
        <f xml:space="preserve"> AL42</f>
        <v>Kilogram [/kg]</v>
      </c>
      <c r="AM55" s="104"/>
      <c r="AN55" s="104"/>
      <c r="AO55" s="104"/>
      <c r="AP55" s="104"/>
      <c r="AQ55" s="189" t="str">
        <f xml:space="preserve"> AQ42</f>
        <v>Kilogram [/kg]</v>
      </c>
      <c r="AR55" s="104"/>
      <c r="AT55" s="104"/>
      <c r="AU55" s="104"/>
      <c r="AV55" s="104"/>
      <c r="AW55" s="104"/>
      <c r="AX55" s="104"/>
    </row>
    <row r="56" spans="1:50" s="123" customFormat="1" ht="15" customHeight="1">
      <c r="A56" s="103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194"/>
      <c r="M56" s="167"/>
      <c r="N56" s="167"/>
      <c r="O56" s="113"/>
      <c r="P56" s="167"/>
      <c r="Q56" s="167"/>
      <c r="R56" s="167"/>
      <c r="S56" s="167"/>
      <c r="T56" s="159" t="s">
        <v>156</v>
      </c>
      <c r="V56" s="180"/>
      <c r="W56" s="104"/>
      <c r="X56" s="104"/>
      <c r="Y56" s="159"/>
      <c r="Z56" s="189" t="str">
        <f xml:space="preserve"> Z43</f>
        <v>Metric ton (Tonne) [t/day]</v>
      </c>
      <c r="AA56" s="159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89" t="str">
        <f xml:space="preserve"> AL43</f>
        <v>Metric ton (Tonne) [/t]</v>
      </c>
      <c r="AM56" s="104"/>
      <c r="AN56" s="104"/>
      <c r="AO56" s="104"/>
      <c r="AP56" s="104"/>
      <c r="AQ56" s="104"/>
      <c r="AR56" s="104"/>
      <c r="AT56" s="104"/>
      <c r="AU56" s="104"/>
      <c r="AV56" s="104"/>
      <c r="AW56" s="104"/>
      <c r="AX56" s="104"/>
    </row>
    <row r="57" spans="1:50" s="123" customFormat="1" ht="15" customHeight="1">
      <c r="A57" s="103"/>
      <c r="B57" s="197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97"/>
      <c r="T57" s="391" t="s">
        <v>271</v>
      </c>
      <c r="U57" s="190">
        <v>1</v>
      </c>
      <c r="V57" s="190">
        <f xml:space="preserve"> IF(IFERROR(SEARCH(T57, $F$46), 0) = 0, 0, U57)</f>
        <v>0</v>
      </c>
      <c r="W57" s="104"/>
      <c r="X57" s="104"/>
      <c r="Y57" s="159"/>
      <c r="Z57" s="189" t="str">
        <f xml:space="preserve"> Z44</f>
        <v>Litre [l/day]</v>
      </c>
      <c r="AA57" s="159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89" t="str">
        <f xml:space="preserve"> AL44</f>
        <v>Litre [/l]</v>
      </c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</row>
    <row r="58" spans="1:50" ht="15" customHeight="1">
      <c r="A58" s="129"/>
      <c r="B58" s="89" t="s">
        <v>64</v>
      </c>
      <c r="C58" s="89" t="s">
        <v>265</v>
      </c>
      <c r="D58" s="115"/>
      <c r="E58" s="115"/>
      <c r="F58" s="115"/>
      <c r="G58" s="115"/>
      <c r="H58" s="115"/>
      <c r="I58" s="115"/>
      <c r="J58" s="368" t="s">
        <v>266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92" t="s">
        <v>168</v>
      </c>
      <c r="U58" s="193">
        <v>2</v>
      </c>
      <c r="V58" s="190">
        <f xml:space="preserve"> IF(IFERROR(SEARCH(T58, $F$46), 0) = 0, 0, U58)</f>
        <v>0</v>
      </c>
      <c r="Y58" s="159"/>
      <c r="Z58" s="159" t="s">
        <v>158</v>
      </c>
      <c r="AA58" s="159"/>
      <c r="AH58" s="104" t="s">
        <v>158</v>
      </c>
      <c r="AL58" s="104" t="s">
        <v>158</v>
      </c>
      <c r="AQ58" s="104" t="s">
        <v>158</v>
      </c>
    </row>
    <row r="59" spans="1:50" ht="15" customHeight="1">
      <c r="A59" s="129"/>
      <c r="C59" s="407" t="str">
        <f xml:space="preserve"> "Volume of daily produced biogas in " &amp; IF(ISBLANK(H59), "[m³/day]", "")</f>
        <v xml:space="preserve">Volume of daily produced biogas in </v>
      </c>
      <c r="D59" s="173"/>
      <c r="E59" s="173"/>
      <c r="F59" s="173"/>
      <c r="G59" s="173"/>
      <c r="H59" s="430" t="s">
        <v>300</v>
      </c>
      <c r="I59" s="428"/>
      <c r="J59" s="202">
        <v>41250.000001</v>
      </c>
      <c r="K59" s="203"/>
      <c r="L59" s="281" t="str">
        <f xml:space="preserve"> IF(MOD(ROUND(SUM(J59,J60,J67) * 1000000, 0), 10) = 3, " ← Complete example data set", "")</f>
        <v xml:space="preserve"> ← Complete example data set</v>
      </c>
      <c r="N59" s="123"/>
      <c r="O59" s="291"/>
      <c r="P59" s="291"/>
      <c r="T59" s="195" t="s">
        <v>155</v>
      </c>
      <c r="U59" s="193">
        <v>3</v>
      </c>
      <c r="V59" s="190">
        <f xml:space="preserve"> IF(IFERROR(SEARCH(T59, $F$46), 0) = 0, 0, U59)</f>
        <v>0</v>
      </c>
      <c r="Y59" s="159"/>
      <c r="Z59" s="189" t="str">
        <f xml:space="preserve"> Z45</f>
        <v>Pound [lb/day]</v>
      </c>
      <c r="AA59" s="159"/>
      <c r="AH59" s="196" t="str">
        <f xml:space="preserve"> AH43</f>
        <v>Pound per Imperial gallon [lb/gal]</v>
      </c>
      <c r="AL59" s="196" t="str">
        <f xml:space="preserve"> AL45</f>
        <v>Pound [/lb]</v>
      </c>
      <c r="AQ59" s="196" t="str">
        <f xml:space="preserve"> AQ43</f>
        <v>Pound [/lb]</v>
      </c>
    </row>
    <row r="60" spans="1:50" ht="15" customHeight="1">
      <c r="A60" s="129"/>
      <c r="C60" s="227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82"/>
      <c r="E60" s="182"/>
      <c r="F60" s="182"/>
      <c r="G60" s="182"/>
      <c r="H60" s="427" t="s">
        <v>198</v>
      </c>
      <c r="I60" s="428"/>
      <c r="J60" s="200">
        <v>1750.0000010000001</v>
      </c>
      <c r="K60" s="203"/>
      <c r="L60" s="99" t="str">
        <f xml:space="preserve"> IF(L59 &lt;&gt; "", " ←", "")</f>
        <v xml:space="preserve"> ←</v>
      </c>
      <c r="N60" s="123"/>
      <c r="O60" s="295"/>
      <c r="P60" s="292"/>
      <c r="T60" s="188"/>
      <c r="V60" s="180"/>
      <c r="Y60" s="159"/>
      <c r="Z60" s="189" t="str">
        <f xml:space="preserve"> Z46</f>
        <v>Imperial ton [t/day]</v>
      </c>
      <c r="AA60" s="159"/>
      <c r="AL60" s="196" t="str">
        <f xml:space="preserve"> AL46</f>
        <v>Imperial ton [/t]</v>
      </c>
      <c r="AQ60" s="196" t="str">
        <f xml:space="preserve"> AQ44</f>
        <v>Imperial ton [/t]</v>
      </c>
    </row>
    <row r="61" spans="1:50" ht="15" hidden="1" customHeight="1">
      <c r="A61" s="129"/>
      <c r="C61" s="29" t="s">
        <v>214</v>
      </c>
      <c r="D61" s="29"/>
      <c r="E61" s="29"/>
      <c r="F61" s="29"/>
      <c r="G61" s="29"/>
      <c r="H61" s="29"/>
      <c r="I61" s="277"/>
      <c r="J61" s="283">
        <f xml:space="preserve"> H98</f>
        <v>100619.63196177667</v>
      </c>
      <c r="K61" s="284"/>
      <c r="L61" s="328"/>
      <c r="N61" s="293"/>
      <c r="O61" s="292"/>
      <c r="P61" s="296"/>
      <c r="Q61" s="228"/>
      <c r="T61" s="123"/>
      <c r="V61" s="107">
        <f xml:space="preserve"> SUM(V57:V59)</f>
        <v>0</v>
      </c>
      <c r="Z61" s="196" t="str">
        <f xml:space="preserve"> Z48</f>
        <v>Imperial gallon [gal/day]</v>
      </c>
      <c r="AL61" s="196" t="str">
        <f xml:space="preserve"> AL48</f>
        <v>Imperial gallon [/gal]</v>
      </c>
    </row>
    <row r="62" spans="1:50" ht="15" customHeight="1">
      <c r="A62" s="129"/>
      <c r="C62" s="402" t="s">
        <v>296</v>
      </c>
      <c r="D62" s="173"/>
      <c r="E62" s="173"/>
      <c r="F62" s="173"/>
      <c r="G62" s="173"/>
      <c r="H62" s="421" t="s">
        <v>222</v>
      </c>
      <c r="I62" s="422"/>
      <c r="J62" s="200"/>
      <c r="K62" s="201"/>
      <c r="L62" s="98"/>
      <c r="N62" s="311"/>
      <c r="O62" s="294"/>
      <c r="P62" s="123"/>
      <c r="Q62" s="228"/>
      <c r="X62" s="180"/>
      <c r="Z62" s="104" t="s">
        <v>159</v>
      </c>
      <c r="AH62" s="104" t="s">
        <v>159</v>
      </c>
      <c r="AL62" s="104" t="s">
        <v>159</v>
      </c>
      <c r="AQ62" s="104" t="s">
        <v>159</v>
      </c>
    </row>
    <row r="63" spans="1:50" ht="15" customHeight="1">
      <c r="A63" s="129"/>
      <c r="C63" s="327" t="s">
        <v>215</v>
      </c>
      <c r="D63" s="182"/>
      <c r="E63" s="182"/>
      <c r="F63" s="182"/>
      <c r="G63" s="182"/>
      <c r="H63" s="423"/>
      <c r="I63" s="424"/>
      <c r="J63" s="204"/>
      <c r="K63" s="205"/>
      <c r="L63" s="30"/>
      <c r="R63" s="282"/>
      <c r="X63" s="180"/>
      <c r="Z63" s="196" t="str">
        <f xml:space="preserve"> Z45</f>
        <v>Pound [lb/day]</v>
      </c>
      <c r="AH63" s="196" t="str">
        <f xml:space="preserve"> AH44</f>
        <v>Pound per US gallon [lb/gal]</v>
      </c>
      <c r="AL63" s="196" t="str">
        <f xml:space="preserve"> AL45</f>
        <v>Pound [/lb]</v>
      </c>
      <c r="AQ63" s="196" t="str">
        <f xml:space="preserve"> AQ43</f>
        <v>Pound [/lb]</v>
      </c>
    </row>
    <row r="64" spans="1:50" ht="15" customHeight="1">
      <c r="A64" s="129"/>
      <c r="C64" s="327" t="s">
        <v>216</v>
      </c>
      <c r="D64" s="182"/>
      <c r="E64" s="182"/>
      <c r="F64" s="182"/>
      <c r="G64" s="182"/>
      <c r="H64" s="423"/>
      <c r="I64" s="424"/>
      <c r="J64" s="206"/>
      <c r="K64" s="207"/>
      <c r="L64" s="30"/>
      <c r="N64" s="252"/>
      <c r="O64" s="211"/>
      <c r="P64" s="233"/>
      <c r="Z64" s="196" t="str">
        <f xml:space="preserve"> Z47</f>
        <v>US short ton [t/day]</v>
      </c>
      <c r="AL64" s="196" t="str">
        <f xml:space="preserve"> AL47</f>
        <v>US short ton [/t]</v>
      </c>
      <c r="AQ64" s="196" t="str">
        <f xml:space="preserve"> AQ45</f>
        <v>US short ton [/t]</v>
      </c>
    </row>
    <row r="65" spans="1:51" ht="15" customHeight="1">
      <c r="A65" s="129"/>
      <c r="C65" s="395" t="s">
        <v>272</v>
      </c>
      <c r="D65" s="182"/>
      <c r="E65" s="182"/>
      <c r="F65" s="182"/>
      <c r="G65" s="182"/>
      <c r="H65" s="425"/>
      <c r="I65" s="426"/>
      <c r="J65" s="262"/>
      <c r="K65" s="88" t="str">
        <f xml:space="preserve"> IF(H109 &gt; 0, "Approx. " &amp; TEXT(H109, "0.000") &amp; " ", "")</f>
        <v/>
      </c>
      <c r="L65" s="253" t="str">
        <f xml:space="preserve"> IF(K65 = "", "", " ← Overwrite this calculated value only, if you have the measured value for the total content of sulfide in the liquid available.")</f>
        <v/>
      </c>
      <c r="O65" s="234"/>
      <c r="P65" s="233"/>
      <c r="Z65" s="196" t="str">
        <f xml:space="preserve"> Z49</f>
        <v>US gallon [gal/day]</v>
      </c>
      <c r="AL65" s="196" t="str">
        <f xml:space="preserve"> AL49</f>
        <v>US gallon [/gal]</v>
      </c>
    </row>
    <row r="66" spans="1:51" ht="15" hidden="1" customHeight="1">
      <c r="A66" s="129"/>
      <c r="C66" s="29" t="s">
        <v>212</v>
      </c>
      <c r="D66" s="29"/>
      <c r="E66" s="29"/>
      <c r="F66" s="29"/>
      <c r="G66" s="29"/>
      <c r="H66" s="279"/>
      <c r="I66" s="286"/>
      <c r="J66" s="283">
        <f xml:space="preserve"> H110</f>
        <v>0</v>
      </c>
      <c r="K66" s="285"/>
      <c r="L66" s="328"/>
      <c r="N66" s="95"/>
      <c r="O66" s="95"/>
      <c r="P66" s="95"/>
      <c r="Q66" s="228"/>
    </row>
    <row r="67" spans="1:51" ht="15" customHeight="1">
      <c r="A67" s="129"/>
      <c r="C67" s="396" t="s">
        <v>227</v>
      </c>
      <c r="D67" s="182"/>
      <c r="E67" s="182"/>
      <c r="F67" s="182"/>
      <c r="G67" s="182"/>
      <c r="H67" s="182"/>
      <c r="I67" s="131"/>
      <c r="J67" s="200">
        <v>1.7000010000000001</v>
      </c>
      <c r="K67" s="87"/>
      <c r="L67" s="104" t="str">
        <f xml:space="preserve"> IF(L59 &lt;&gt; "", " ←", IF(AND(ISNUMBER(J67), J67 &lt;= 1), " Recommendation: Use a value greater than 1 for β; See footnote A.", ""))</f>
        <v xml:space="preserve"> ←</v>
      </c>
      <c r="N67" s="258"/>
      <c r="O67" s="258"/>
      <c r="P67" s="258"/>
      <c r="Q67" s="287"/>
      <c r="R67" s="258"/>
      <c r="S67" s="258"/>
    </row>
    <row r="68" spans="1:51" s="95" customFormat="1" ht="12" customHeight="1">
      <c r="A68" s="225"/>
      <c r="C68" s="94" t="s">
        <v>221</v>
      </c>
      <c r="D68" s="312"/>
      <c r="E68" s="312"/>
      <c r="G68" s="332"/>
      <c r="H68" s="332"/>
      <c r="I68" s="332"/>
      <c r="J68" s="373"/>
      <c r="K68" s="332"/>
      <c r="L68" s="332"/>
      <c r="O68" s="313"/>
    </row>
    <row r="69" spans="1:51" s="95" customFormat="1" ht="8.1" customHeight="1">
      <c r="A69" s="225"/>
      <c r="C69" s="94"/>
      <c r="D69" s="312"/>
      <c r="E69" s="312"/>
      <c r="G69" s="332"/>
      <c r="H69" s="332"/>
      <c r="I69" s="332"/>
      <c r="J69" s="332"/>
      <c r="K69" s="332"/>
      <c r="L69" s="332"/>
      <c r="O69" s="313"/>
    </row>
    <row r="70" spans="1:51" s="95" customFormat="1" ht="15" customHeight="1">
      <c r="A70" s="129"/>
      <c r="B70" s="104"/>
      <c r="C70" s="211"/>
      <c r="D70" s="31"/>
      <c r="E70" s="31"/>
      <c r="F70" s="211"/>
      <c r="G70" s="35" t="str">
        <f xml:space="preserve"> G18</f>
        <v>Your_De-Sulph</v>
      </c>
      <c r="H70" s="35"/>
      <c r="I70" s="104"/>
      <c r="J70" s="38" t="str">
        <f xml:space="preserve"> U13</f>
        <v>SBGx by SwissBiogas.com</v>
      </c>
      <c r="K70" s="38"/>
      <c r="L70" s="210"/>
      <c r="M70" s="104"/>
      <c r="N70" s="258"/>
      <c r="O70" s="255"/>
      <c r="P70" s="255"/>
      <c r="Q70" s="256"/>
      <c r="R70" s="256"/>
      <c r="S70" s="257"/>
    </row>
    <row r="71" spans="1:51" s="95" customFormat="1" ht="15" customHeight="1">
      <c r="A71" s="129"/>
      <c r="B71" s="104"/>
      <c r="C71" s="72" t="s">
        <v>63</v>
      </c>
      <c r="D71" s="72" t="s">
        <v>200</v>
      </c>
      <c r="E71" s="72"/>
      <c r="F71" s="178"/>
      <c r="G71" s="325">
        <f xml:space="preserve"> IF(V28 &gt; 0, H114 / V28 * 100 / 1000, 0)</f>
        <v>628.18242350749949</v>
      </c>
      <c r="H71" s="310"/>
      <c r="I71" s="104"/>
      <c r="J71" s="326">
        <f xml:space="preserve"> H114 / X28 * 100 / 1000</f>
        <v>451.32505905455815</v>
      </c>
      <c r="K71" s="77"/>
      <c r="L71" s="210"/>
      <c r="M71" s="104"/>
      <c r="N71" s="104"/>
      <c r="O71" s="104"/>
      <c r="P71" s="104"/>
      <c r="Q71" s="104"/>
      <c r="R71" s="104"/>
      <c r="S71" s="104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</row>
    <row r="72" spans="1:51" s="95" customFormat="1" ht="8.1" customHeight="1">
      <c r="A72" s="225"/>
      <c r="C72" s="104"/>
      <c r="D72" s="20"/>
      <c r="E72" s="20"/>
      <c r="F72" s="123"/>
      <c r="G72" s="36"/>
      <c r="H72" s="43"/>
      <c r="I72" s="104"/>
      <c r="J72" s="91"/>
      <c r="K72" s="68"/>
      <c r="L72" s="226"/>
      <c r="M72" s="104"/>
      <c r="O72" s="255"/>
      <c r="P72" s="255"/>
      <c r="Q72" s="255"/>
      <c r="R72" s="255"/>
      <c r="S72" s="255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</row>
    <row r="73" spans="1:51" ht="15" customHeight="1">
      <c r="A73" s="242"/>
      <c r="B73" s="243"/>
      <c r="C73" s="254"/>
      <c r="D73" s="244"/>
      <c r="E73" s="244"/>
      <c r="F73" s="243"/>
      <c r="G73" s="243"/>
      <c r="H73" s="240"/>
      <c r="I73" s="243"/>
      <c r="J73" s="243"/>
      <c r="K73" s="243"/>
      <c r="L73" s="243"/>
      <c r="M73" s="243"/>
      <c r="N73" s="241"/>
      <c r="O73" s="243"/>
      <c r="P73" s="241"/>
      <c r="Q73" s="241"/>
      <c r="R73" s="241"/>
      <c r="S73" s="241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</row>
    <row r="74" spans="1:51" ht="15" customHeight="1">
      <c r="A74" s="242"/>
      <c r="B74" s="243"/>
      <c r="C74" s="429" t="s">
        <v>253</v>
      </c>
      <c r="D74" s="429"/>
      <c r="E74" s="429"/>
      <c r="F74" s="429"/>
      <c r="G74" s="429"/>
      <c r="H74" s="240"/>
      <c r="I74" s="243"/>
      <c r="J74" s="243"/>
      <c r="K74" s="243"/>
      <c r="L74" s="247" t="s">
        <v>48</v>
      </c>
      <c r="M74" s="243"/>
      <c r="O74" s="243"/>
      <c r="P74" s="241"/>
      <c r="Q74" s="241"/>
      <c r="R74" s="241"/>
      <c r="S74" s="241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</row>
    <row r="75" spans="1:51" ht="15" customHeight="1">
      <c r="A75" s="242"/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9"/>
      <c r="M75" s="248"/>
      <c r="N75" s="249"/>
      <c r="O75" s="248"/>
      <c r="P75" s="249"/>
      <c r="Q75" s="249"/>
      <c r="R75" s="249"/>
      <c r="S75" s="249"/>
    </row>
    <row r="76" spans="1:51" s="95" customFormat="1" ht="15" customHeight="1">
      <c r="A76" s="241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</row>
    <row r="77" spans="1:51" s="241" customFormat="1" ht="15" customHeight="1"/>
    <row r="78" spans="1:51" s="241" customFormat="1" ht="15" customHeight="1"/>
    <row r="79" spans="1:51" s="241" customFormat="1" ht="15" customHeight="1"/>
    <row r="80" spans="1:51" s="241" customFormat="1" ht="15" customHeight="1"/>
    <row r="81" spans="1:19" s="241" customFormat="1" ht="15" customHeight="1"/>
    <row r="82" spans="1:19" s="241" customFormat="1" ht="15" customHeight="1"/>
    <row r="83" spans="1:19" s="241" customFormat="1" ht="15" customHeight="1">
      <c r="A83" s="242"/>
      <c r="B83" s="243"/>
      <c r="H83" s="239"/>
      <c r="M83" s="243"/>
      <c r="N83" s="243"/>
      <c r="O83" s="243"/>
    </row>
    <row r="84" spans="1:19" s="241" customFormat="1" ht="15" customHeight="1">
      <c r="A84" s="242"/>
    </row>
    <row r="85" spans="1:19" s="241" customFormat="1" ht="15" customHeight="1">
      <c r="A85" s="242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6"/>
      <c r="Q85" s="246"/>
      <c r="R85" s="246"/>
      <c r="S85" s="246"/>
    </row>
    <row r="86" spans="1:19" s="241" customFormat="1" ht="15" customHeight="1">
      <c r="A86" s="236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5"/>
      <c r="Q86" s="235"/>
      <c r="R86" s="235"/>
      <c r="S86" s="235"/>
    </row>
    <row r="87" spans="1:19" s="241" customFormat="1" ht="15" customHeight="1">
      <c r="A87" s="236"/>
      <c r="B87" s="232"/>
      <c r="C87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5"/>
      <c r="Q87" s="235"/>
      <c r="R87" s="235"/>
      <c r="S87" s="235"/>
    </row>
    <row r="88" spans="1:19" s="241" customFormat="1" ht="15" hidden="1" customHeight="1">
      <c r="A88" s="236"/>
      <c r="B88" s="232"/>
      <c r="C88" s="405" t="s">
        <v>299</v>
      </c>
      <c r="D88" s="232"/>
      <c r="E88" s="232"/>
      <c r="F88" s="232"/>
      <c r="G88" s="232"/>
      <c r="H88" s="406" t="s">
        <v>300</v>
      </c>
      <c r="I88" s="232"/>
      <c r="J88" s="232"/>
      <c r="K88" s="232"/>
      <c r="L88" s="232"/>
      <c r="M88" s="232"/>
      <c r="N88" s="232"/>
      <c r="O88" s="232"/>
      <c r="P88" s="235"/>
      <c r="Q88" s="235"/>
      <c r="R88" s="235"/>
      <c r="S88" s="235"/>
    </row>
    <row r="89" spans="1:19" s="241" customFormat="1" ht="15" hidden="1" customHeight="1">
      <c r="A89" s="236"/>
      <c r="B89" s="232"/>
      <c r="C89"/>
      <c r="D89" s="232"/>
      <c r="E89" s="232"/>
      <c r="F89" s="232"/>
      <c r="G89" s="232"/>
      <c r="H89" s="408" t="s">
        <v>301</v>
      </c>
      <c r="I89" s="232"/>
      <c r="J89" s="232"/>
      <c r="K89" s="232"/>
      <c r="L89" s="235"/>
      <c r="M89" s="232"/>
      <c r="N89" s="232"/>
      <c r="O89" s="232"/>
      <c r="P89" s="235"/>
      <c r="Q89" s="235"/>
      <c r="R89" s="235"/>
      <c r="S89" s="235"/>
    </row>
    <row r="90" spans="1:19" s="241" customFormat="1" ht="15" hidden="1" customHeight="1">
      <c r="A90" s="236"/>
      <c r="B90"/>
      <c r="C90" s="237"/>
      <c r="D90" s="237"/>
      <c r="E90" s="237"/>
      <c r="F90" s="237"/>
      <c r="G90" s="237"/>
      <c r="H90" s="408" t="s">
        <v>302</v>
      </c>
      <c r="I90" s="237"/>
      <c r="J90" s="237"/>
      <c r="K90" s="237"/>
      <c r="L90" s="238"/>
      <c r="M90" s="237"/>
      <c r="N90" s="237"/>
      <c r="O90" s="237"/>
      <c r="P90" s="238"/>
      <c r="Q90" s="238"/>
      <c r="R90" s="238"/>
      <c r="S90" s="238"/>
    </row>
    <row r="91" spans="1:19" s="241" customFormat="1" ht="15" hidden="1" customHeight="1">
      <c r="A91" s="236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5"/>
      <c r="Q91" s="235"/>
      <c r="R91" s="235"/>
      <c r="S91" s="235"/>
    </row>
    <row r="92" spans="1:19" s="241" customFormat="1" ht="15" hidden="1" customHeight="1">
      <c r="A92" s="236"/>
      <c r="B92" s="232"/>
      <c r="C92" s="289" t="s">
        <v>196</v>
      </c>
      <c r="D92" s="232"/>
      <c r="E92" s="232"/>
      <c r="F92" s="232"/>
      <c r="G92" s="232"/>
      <c r="H92" s="290" t="s">
        <v>198</v>
      </c>
      <c r="I92" s="232"/>
      <c r="J92" s="232"/>
      <c r="K92" s="232"/>
      <c r="L92" s="232"/>
      <c r="M92" s="232"/>
      <c r="N92" s="232"/>
      <c r="O92" s="232"/>
      <c r="P92" s="235"/>
      <c r="Q92" s="235"/>
      <c r="R92" s="235"/>
      <c r="S92" s="235"/>
    </row>
    <row r="93" spans="1:19" s="241" customFormat="1" ht="15" hidden="1" customHeight="1">
      <c r="A93" s="236"/>
      <c r="B93" s="232"/>
      <c r="C93" s="235"/>
      <c r="D93" s="235"/>
      <c r="E93" s="235"/>
      <c r="F93" s="232"/>
      <c r="G93" s="232"/>
      <c r="H93" s="290" t="s">
        <v>197</v>
      </c>
      <c r="I93" s="232"/>
      <c r="J93" s="232"/>
      <c r="K93" s="232"/>
      <c r="L93" s="235"/>
      <c r="M93" s="232"/>
      <c r="N93" s="232"/>
      <c r="O93" s="232"/>
      <c r="P93" s="235"/>
      <c r="Q93" s="235"/>
      <c r="R93" s="235"/>
      <c r="S93" s="235"/>
    </row>
    <row r="94" spans="1:19" s="241" customFormat="1" ht="15" hidden="1" customHeight="1">
      <c r="A94" s="236"/>
      <c r="B94" s="232"/>
      <c r="C94" s="238"/>
      <c r="D94" s="238"/>
      <c r="E94" s="238"/>
      <c r="F94" s="237"/>
      <c r="G94" s="237"/>
      <c r="H94" s="232"/>
      <c r="I94" s="232"/>
      <c r="J94" s="232"/>
      <c r="K94" s="232"/>
      <c r="L94" s="232"/>
      <c r="M94" s="232"/>
      <c r="N94" s="232"/>
      <c r="O94" s="232"/>
      <c r="P94" s="235"/>
      <c r="Q94" s="235"/>
      <c r="R94" s="235"/>
      <c r="S94" s="235"/>
    </row>
    <row r="95" spans="1:19" s="241" customFormat="1" ht="15" hidden="1" customHeight="1">
      <c r="A95" s="103"/>
      <c r="B95" s="199"/>
      <c r="C95" s="198" t="s">
        <v>32</v>
      </c>
      <c r="D95" s="115"/>
      <c r="E95" s="115"/>
      <c r="F95" s="115"/>
      <c r="G95" s="115"/>
      <c r="H95" s="397">
        <v>55.844999999999999</v>
      </c>
      <c r="I95" s="104"/>
      <c r="J95" s="208"/>
      <c r="K95" s="208"/>
      <c r="L95" s="199"/>
      <c r="M95" s="199"/>
      <c r="N95" s="199"/>
      <c r="O95" s="199"/>
      <c r="P95" s="104"/>
      <c r="Q95" s="104"/>
      <c r="R95" s="104"/>
      <c r="S95" s="104"/>
    </row>
    <row r="96" spans="1:19" s="235" customFormat="1" ht="15" hidden="1" customHeight="1">
      <c r="A96" s="103"/>
      <c r="B96" s="199"/>
      <c r="C96" s="271" t="s">
        <v>181</v>
      </c>
      <c r="D96" s="115"/>
      <c r="E96" s="115"/>
      <c r="F96" s="115"/>
      <c r="G96" s="115"/>
      <c r="H96" s="397">
        <v>34.08</v>
      </c>
      <c r="I96" s="104"/>
      <c r="J96" s="229" t="s">
        <v>182</v>
      </c>
      <c r="K96" s="208"/>
      <c r="L96" s="199"/>
      <c r="M96" s="199"/>
      <c r="N96" s="199"/>
      <c r="O96" s="199"/>
      <c r="P96" s="104"/>
      <c r="Q96" s="104"/>
      <c r="R96" s="104"/>
      <c r="S96" s="104"/>
    </row>
    <row r="97" spans="1:19" s="235" customFormat="1" ht="15" hidden="1" customHeight="1">
      <c r="A97" s="103"/>
      <c r="B97" s="199"/>
      <c r="C97" s="272" t="s">
        <v>184</v>
      </c>
      <c r="D97" s="115"/>
      <c r="E97" s="115"/>
      <c r="F97" s="115"/>
      <c r="G97" s="115"/>
      <c r="H97" s="397">
        <v>24.45</v>
      </c>
      <c r="I97" s="104"/>
      <c r="J97" s="316" t="s">
        <v>183</v>
      </c>
      <c r="K97" s="208"/>
      <c r="L97" s="199"/>
      <c r="M97" s="199"/>
      <c r="N97" s="199"/>
      <c r="O97" s="199"/>
      <c r="P97" s="104"/>
      <c r="Q97" s="104"/>
      <c r="R97" s="104"/>
      <c r="S97" s="104"/>
    </row>
    <row r="98" spans="1:19" s="235" customFormat="1" ht="15" hidden="1" customHeight="1">
      <c r="A98" s="103"/>
      <c r="B98" s="104"/>
      <c r="C98" s="260" t="s">
        <v>193</v>
      </c>
      <c r="D98" s="104"/>
      <c r="E98" s="104"/>
      <c r="F98" s="104"/>
      <c r="G98" s="104"/>
      <c r="H98" s="278">
        <f xml:space="preserve"> IF(H60 = H93, H97 * J60 / H96, J60) / 1000 / H97 * H96 * IF(H59 = H89, J59 * X48 / 1000, IF(H59 = H90, J59 * X49 / 1000, J59))</f>
        <v>100619.63196177667</v>
      </c>
      <c r="I98" s="104"/>
      <c r="J98" s="104"/>
      <c r="K98" s="104"/>
      <c r="L98" s="288" t="s">
        <v>195</v>
      </c>
      <c r="M98" s="104"/>
      <c r="N98" s="104"/>
      <c r="O98" s="104"/>
      <c r="P98" s="104"/>
      <c r="Q98" s="104"/>
      <c r="R98" s="104"/>
      <c r="S98" s="104"/>
    </row>
    <row r="99" spans="1:19" s="235" customFormat="1" ht="15" hidden="1" customHeight="1">
      <c r="A99" s="103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</row>
    <row r="100" spans="1:19" s="235" customFormat="1" ht="15" hidden="1" customHeight="1">
      <c r="A100" s="103"/>
      <c r="B100" s="199"/>
      <c r="C100" s="198" t="s">
        <v>33</v>
      </c>
      <c r="D100" s="115"/>
      <c r="E100" s="115"/>
      <c r="F100" s="115"/>
      <c r="G100" s="115"/>
      <c r="H100" s="213">
        <f xml:space="preserve"> IF(J64 &gt; 0, 10 ^ -J64, 0)</f>
        <v>0</v>
      </c>
      <c r="I100" s="104"/>
      <c r="J100" s="214"/>
      <c r="K100" s="199"/>
      <c r="L100" s="199"/>
      <c r="M100" s="199"/>
      <c r="N100" s="199"/>
      <c r="O100" s="199"/>
      <c r="P100" s="104"/>
      <c r="Q100" s="104"/>
      <c r="R100" s="104"/>
      <c r="S100" s="104"/>
    </row>
    <row r="101" spans="1:19" s="235" customFormat="1" ht="15" hidden="1" customHeight="1">
      <c r="A101" s="103"/>
      <c r="B101" s="199"/>
      <c r="C101" s="198" t="s">
        <v>34</v>
      </c>
      <c r="D101" s="115"/>
      <c r="E101" s="115"/>
      <c r="F101" s="115"/>
      <c r="G101" s="115"/>
      <c r="H101" s="213">
        <f xml:space="preserve"> IF(J63 &gt; 0, 10 ^ -(1351.9 / (J63 + 273.15) + 0.0992 + 0.00792 * (J63 + 273.15)), 0)</f>
        <v>0</v>
      </c>
      <c r="I101" s="104"/>
      <c r="J101" s="199"/>
      <c r="K101" s="199"/>
      <c r="L101" s="199"/>
      <c r="M101" s="199"/>
      <c r="N101" s="199"/>
      <c r="O101" s="199"/>
      <c r="P101" s="104"/>
      <c r="Q101" s="104"/>
      <c r="R101" s="104"/>
      <c r="S101" s="104"/>
    </row>
    <row r="102" spans="1:19" s="235" customFormat="1" ht="15" hidden="1" customHeight="1">
      <c r="A102" s="103"/>
      <c r="B102" s="199"/>
      <c r="C102" s="198" t="s">
        <v>35</v>
      </c>
      <c r="D102" s="115"/>
      <c r="E102" s="115"/>
      <c r="F102" s="115"/>
      <c r="G102" s="115"/>
      <c r="H102" s="215">
        <f xml:space="preserve"> 10 ^ -11.96</f>
        <v>1.0964781961431817E-12</v>
      </c>
      <c r="I102" s="104"/>
      <c r="J102" s="154"/>
      <c r="K102" s="154"/>
      <c r="L102" s="199"/>
      <c r="M102" s="199"/>
      <c r="N102" s="199"/>
      <c r="O102" s="199"/>
      <c r="P102" s="104"/>
      <c r="Q102" s="104"/>
      <c r="R102" s="104"/>
      <c r="S102" s="104"/>
    </row>
    <row r="103" spans="1:19" s="235" customFormat="1" ht="15" hidden="1" customHeight="1">
      <c r="A103" s="103"/>
      <c r="B103" s="199"/>
      <c r="C103" s="198" t="s">
        <v>180</v>
      </c>
      <c r="D103" s="115"/>
      <c r="E103" s="115"/>
      <c r="F103" s="115"/>
      <c r="G103" s="115"/>
      <c r="H103" s="213">
        <f xml:space="preserve"> IF(H101 * H100 &gt; 0, (1 + H101 / H100 + H101 * H102 / H100 ^ 2) ^ -1, 0)</f>
        <v>0</v>
      </c>
      <c r="I103" s="104"/>
      <c r="J103" s="154"/>
      <c r="K103" s="154"/>
      <c r="L103" s="199"/>
      <c r="M103" s="199"/>
      <c r="N103" s="199"/>
      <c r="O103" s="199"/>
      <c r="P103" s="104"/>
      <c r="Q103" s="104"/>
      <c r="R103" s="104"/>
      <c r="S103" s="104"/>
    </row>
    <row r="104" spans="1:19" s="235" customFormat="1" ht="15" hidden="1" customHeight="1">
      <c r="A104" s="103"/>
      <c r="B104" s="199"/>
      <c r="C104" s="273" t="s">
        <v>191</v>
      </c>
      <c r="D104" s="115"/>
      <c r="E104" s="115"/>
      <c r="F104" s="115"/>
      <c r="G104" s="115"/>
      <c r="H104" s="213">
        <f xml:space="preserve"> IF(H103 &gt; 0, H101 / H100 * H103, 0)</f>
        <v>0</v>
      </c>
      <c r="I104" s="104"/>
      <c r="J104" s="250" t="s">
        <v>185</v>
      </c>
      <c r="K104" s="216"/>
      <c r="L104" s="217"/>
      <c r="M104" s="217"/>
      <c r="N104" s="217"/>
      <c r="O104" s="217"/>
      <c r="P104" s="105"/>
      <c r="Q104" s="105"/>
      <c r="R104" s="105"/>
      <c r="S104" s="104"/>
    </row>
    <row r="105" spans="1:19" ht="15" hidden="1" customHeight="1">
      <c r="B105" s="199"/>
      <c r="C105" s="273" t="s">
        <v>192</v>
      </c>
      <c r="D105" s="115"/>
      <c r="E105" s="115"/>
      <c r="F105" s="115"/>
      <c r="G105" s="276"/>
      <c r="H105" s="213" t="e">
        <f xml:space="preserve"> H101 * H102 / H100 ^ 2 * H103</f>
        <v>#DIV/0!</v>
      </c>
      <c r="J105" s="251" t="s">
        <v>178</v>
      </c>
      <c r="K105" s="216"/>
      <c r="L105" s="217"/>
      <c r="M105" s="217"/>
      <c r="N105" s="217"/>
      <c r="O105" s="217"/>
      <c r="P105" s="105"/>
      <c r="Q105" s="105"/>
      <c r="R105" s="105"/>
    </row>
    <row r="106" spans="1:19" ht="15" hidden="1" customHeight="1">
      <c r="B106" s="199"/>
      <c r="C106" s="274" t="s">
        <v>170</v>
      </c>
      <c r="D106" s="275"/>
      <c r="E106" s="275"/>
      <c r="F106" s="275"/>
      <c r="G106" s="275"/>
      <c r="H106" s="266"/>
      <c r="J106" s="154"/>
      <c r="K106" s="154"/>
      <c r="L106" s="199"/>
      <c r="M106" s="199"/>
      <c r="N106" s="199"/>
      <c r="O106" s="199"/>
    </row>
    <row r="107" spans="1:19" ht="15" hidden="1" customHeight="1">
      <c r="B107" s="199"/>
      <c r="C107" s="198" t="s">
        <v>36</v>
      </c>
      <c r="G107" s="199"/>
      <c r="H107" s="198"/>
      <c r="I107" s="199"/>
    </row>
    <row r="108" spans="1:19" ht="15" hidden="1" customHeight="1">
      <c r="B108" s="199"/>
      <c r="C108" s="218" t="s">
        <v>37</v>
      </c>
      <c r="G108" s="199"/>
      <c r="H108" s="199"/>
      <c r="I108" s="199"/>
    </row>
    <row r="109" spans="1:19" ht="15" hidden="1" customHeight="1">
      <c r="B109" s="199"/>
      <c r="C109" s="218" t="s">
        <v>171</v>
      </c>
      <c r="H109" s="213">
        <f xml:space="preserve"> IF(J60 * H103 &gt; 0, EXP((LN(J60) - 6.42) / 0.78) / H103, 0)</f>
        <v>0</v>
      </c>
      <c r="J109" s="219"/>
      <c r="K109" s="219"/>
      <c r="O109" s="199"/>
    </row>
    <row r="110" spans="1:19" ht="15" hidden="1" customHeight="1">
      <c r="B110" s="199"/>
      <c r="C110" s="280" t="s">
        <v>194</v>
      </c>
      <c r="D110" s="220"/>
      <c r="E110" s="220"/>
      <c r="F110" s="220"/>
      <c r="G110" s="220"/>
      <c r="H110" s="278">
        <f xml:space="preserve"> IF(ISNUMBER(J65), J65, H109) * J62</f>
        <v>0</v>
      </c>
      <c r="M110" s="219"/>
      <c r="N110" s="231"/>
      <c r="O110" s="199"/>
    </row>
    <row r="111" spans="1:19" ht="15" hidden="1" customHeight="1">
      <c r="B111" s="199"/>
      <c r="C111" s="199"/>
    </row>
    <row r="112" spans="1:19" ht="15" hidden="1" customHeight="1">
      <c r="B112" s="199"/>
      <c r="C112" s="199"/>
    </row>
    <row r="113" spans="2:15" ht="15" hidden="1" customHeight="1">
      <c r="B113" s="199"/>
      <c r="C113" s="329" t="s">
        <v>220</v>
      </c>
      <c r="H113" s="221">
        <f xml:space="preserve"> IF( H98 &gt; 0, H95 / H96 * (H98 + H110), 0)</f>
        <v>164879.79304299937</v>
      </c>
      <c r="L113" s="265" t="s">
        <v>189</v>
      </c>
    </row>
    <row r="114" spans="2:15" ht="15" hidden="1" customHeight="1">
      <c r="B114" s="199"/>
      <c r="C114" s="267" t="s">
        <v>219</v>
      </c>
      <c r="D114" s="268"/>
      <c r="E114" s="268"/>
      <c r="F114" s="268"/>
      <c r="G114" s="268"/>
      <c r="H114" s="221">
        <f xml:space="preserve"> IF(AND(J67 &gt; 0, H98 &gt; 0), J67 * H95 / H96 * (H98 + H110), 0)</f>
        <v>280295.81305289199</v>
      </c>
      <c r="J114" s="230"/>
      <c r="K114" s="199"/>
      <c r="L114" s="263">
        <f xml:space="preserve"> J60 / 1000 / H97 * H96 * J59</f>
        <v>100619.63196177667</v>
      </c>
      <c r="M114" s="199"/>
      <c r="N114" s="261" t="s">
        <v>187</v>
      </c>
      <c r="O114" s="199"/>
    </row>
    <row r="115" spans="2:15" ht="15" hidden="1" customHeight="1">
      <c r="B115" s="199"/>
      <c r="C115" s="269" t="s">
        <v>188</v>
      </c>
      <c r="D115" s="211"/>
      <c r="E115" s="211"/>
      <c r="F115" s="211"/>
      <c r="G115" s="211"/>
      <c r="H115" s="212"/>
      <c r="J115" s="199"/>
      <c r="K115" s="199"/>
      <c r="L115" s="264">
        <f xml:space="preserve"> J67 * H95 / H96 * L114</f>
        <v>280295.81305289199</v>
      </c>
      <c r="M115" s="199"/>
      <c r="N115" s="261" t="s">
        <v>190</v>
      </c>
      <c r="O115" s="199"/>
    </row>
    <row r="116" spans="2:15" ht="15" hidden="1" customHeight="1">
      <c r="B116" s="199"/>
      <c r="C116" s="219"/>
      <c r="D116" s="211"/>
      <c r="E116" s="211"/>
      <c r="F116" s="211"/>
      <c r="G116" s="270" t="s">
        <v>186</v>
      </c>
      <c r="H116" s="259">
        <f xml:space="preserve"> (IF(AND(ISNUMBER(J65), J65 &gt; 0), J65, H109) * J62 + J60 / 1000 / H97 * H96 * J59)</f>
        <v>100619.63196177667</v>
      </c>
      <c r="J116" s="199"/>
      <c r="K116" s="199"/>
      <c r="O116" s="199"/>
    </row>
    <row r="117" spans="2:15" ht="15" hidden="1" customHeight="1">
      <c r="B117" s="199"/>
      <c r="C117" s="219"/>
      <c r="D117" s="211"/>
      <c r="E117" s="211"/>
      <c r="F117" s="211"/>
      <c r="G117" s="211"/>
      <c r="H117" s="199"/>
      <c r="J117" s="199"/>
      <c r="K117" s="199"/>
      <c r="O117" s="199"/>
    </row>
    <row r="118" spans="2:15" ht="15" hidden="1" customHeight="1">
      <c r="B118" s="199"/>
      <c r="C118" s="199"/>
      <c r="H118" s="199"/>
      <c r="J118" s="199"/>
      <c r="K118" s="199"/>
      <c r="L118" s="199"/>
      <c r="M118" s="199"/>
      <c r="N118" s="199"/>
      <c r="O118" s="199"/>
    </row>
    <row r="119" spans="2:15" ht="18" hidden="1" customHeight="1">
      <c r="B119" s="199"/>
      <c r="C119" s="199" t="s">
        <v>38</v>
      </c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</row>
    <row r="120" spans="2:15" ht="18" hidden="1" customHeight="1">
      <c r="B120" s="199"/>
      <c r="C120" s="199" t="s">
        <v>39</v>
      </c>
      <c r="D120" s="222"/>
      <c r="E120" s="222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</row>
    <row r="121" spans="2:15" ht="15" hidden="1" customHeight="1">
      <c r="B121" s="199"/>
      <c r="C121" s="199" t="s">
        <v>40</v>
      </c>
      <c r="D121" s="223"/>
      <c r="E121" s="223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</row>
    <row r="122" spans="2:15" ht="15" hidden="1" customHeight="1">
      <c r="B122" s="199"/>
      <c r="C122" s="199"/>
      <c r="D122" s="212"/>
      <c r="E122" s="212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</row>
    <row r="123" spans="2:15" ht="15" hidden="1" customHeight="1">
      <c r="B123" s="159"/>
      <c r="C123" s="212" t="s">
        <v>41</v>
      </c>
      <c r="D123" s="212"/>
      <c r="E123" s="212"/>
      <c r="F123" s="199"/>
      <c r="G123" s="199"/>
      <c r="H123" s="199"/>
      <c r="I123" s="199"/>
      <c r="J123" s="199"/>
      <c r="K123" s="199"/>
      <c r="L123" s="159"/>
      <c r="M123" s="159"/>
      <c r="N123" s="159"/>
      <c r="O123" s="159"/>
    </row>
    <row r="124" spans="2:15" ht="15" hidden="1" customHeight="1">
      <c r="B124" s="159"/>
      <c r="C124" s="224" t="s">
        <v>42</v>
      </c>
      <c r="D124" s="199"/>
      <c r="E124" s="199"/>
      <c r="F124" s="199"/>
      <c r="G124" s="199"/>
      <c r="H124" s="199"/>
      <c r="I124" s="199"/>
      <c r="J124" s="159"/>
      <c r="K124" s="159"/>
      <c r="L124" s="159"/>
      <c r="M124" s="159"/>
      <c r="N124" s="159"/>
      <c r="O124" s="159"/>
    </row>
    <row r="125" spans="2:15" ht="18" hidden="1" customHeight="1">
      <c r="B125" s="159"/>
      <c r="C125" s="199" t="s">
        <v>43</v>
      </c>
      <c r="D125" s="212"/>
      <c r="E125" s="212"/>
      <c r="F125" s="199"/>
      <c r="G125" s="159"/>
      <c r="H125" s="199"/>
      <c r="I125" s="199"/>
      <c r="J125" s="159"/>
      <c r="K125" s="159"/>
      <c r="L125" s="159"/>
      <c r="M125" s="159"/>
      <c r="N125" s="159"/>
      <c r="O125" s="159"/>
    </row>
    <row r="126" spans="2:15" ht="15" hidden="1" customHeight="1">
      <c r="B126" s="159"/>
      <c r="C126" s="224" t="s">
        <v>44</v>
      </c>
      <c r="D126" s="180"/>
      <c r="E126" s="180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</row>
    <row r="127" spans="2:15" ht="15" hidden="1" customHeight="1">
      <c r="B127" s="159"/>
      <c r="C127" s="199" t="s">
        <v>45</v>
      </c>
      <c r="D127" s="180"/>
      <c r="E127" s="180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</row>
    <row r="128" spans="2:15" ht="15" hidden="1" customHeight="1">
      <c r="B128" s="159"/>
      <c r="C128" s="16" t="s">
        <v>46</v>
      </c>
      <c r="D128" s="180"/>
      <c r="E128" s="180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</row>
    <row r="129" spans="2:15" ht="15" hidden="1" customHeight="1">
      <c r="B129" s="159"/>
      <c r="C129" s="199" t="s">
        <v>47</v>
      </c>
      <c r="D129" s="180"/>
      <c r="E129" s="180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/>
  <mergeCells count="4">
    <mergeCell ref="H62:I65"/>
    <mergeCell ref="H60:I60"/>
    <mergeCell ref="C74:G74"/>
    <mergeCell ref="H59:I59"/>
  </mergeCells>
  <conditionalFormatting sqref="G20:G30">
    <cfRule type="expression" dxfId="23" priority="8">
      <formula xml:space="preserve"> NOT(N20 = "")</formula>
    </cfRule>
  </conditionalFormatting>
  <conditionalFormatting sqref="J59:J60 J62:J65 J67">
    <cfRule type="expression" dxfId="22" priority="7">
      <formula xml:space="preserve"> AND(MOD(J59 * 1000000, 100) &gt; 0.99, MOD(J59 * 1000000, 100) &lt; 1.01)</formula>
    </cfRule>
  </conditionalFormatting>
  <conditionalFormatting sqref="J52">
    <cfRule type="expression" dxfId="21" priority="6">
      <formula xml:space="preserve"> NOT($L$52 = "")</formula>
    </cfRule>
  </conditionalFormatting>
  <conditionalFormatting sqref="G49">
    <cfRule type="expression" dxfId="20" priority="28">
      <formula xml:space="preserve"> OR(NOT($AB$51), ISBLANK($F$48))</formula>
    </cfRule>
  </conditionalFormatting>
  <conditionalFormatting sqref="C65">
    <cfRule type="expression" dxfId="19" priority="3">
      <formula xml:space="preserve"> AND(ISBLANK($J$65), K65 = "")</formula>
    </cfRule>
  </conditionalFormatting>
  <conditionalFormatting sqref="L67">
    <cfRule type="expression" dxfId="18" priority="2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39370078740157483" right="0.39370078740157483" top="0.47244094488188981" bottom="0.47244094488188981" header="0.31496062992125984" footer="0.31496062992125984"/>
  <pageSetup paperSize="9" scale="82" orientation="portrait" horizontalDpi="0" verticalDpi="0" r:id="rId6"/>
  <ignoredErrors>
    <ignoredError sqref="D26" formula="1"/>
  </ignoredErrors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zoomScaleNormal="100" workbookViewId="0">
      <selection activeCell="A16" sqref="A16"/>
    </sheetView>
  </sheetViews>
  <sheetFormatPr defaultRowHeight="15"/>
  <cols>
    <col min="1" max="1" width="1.625" style="159" customWidth="1"/>
    <col min="2" max="2" width="2.125" style="104" customWidth="1"/>
    <col min="3" max="3" width="10.125" style="104" customWidth="1"/>
    <col min="4" max="4" width="16.25" style="104" customWidth="1"/>
    <col min="5" max="5" width="0.125" style="104" customWidth="1"/>
    <col min="6" max="6" width="26.75" style="104" customWidth="1"/>
    <col min="7" max="7" width="12.625" style="104" customWidth="1"/>
    <col min="8" max="8" width="10.625" style="104" customWidth="1"/>
    <col min="9" max="9" width="0.875" style="104" customWidth="1"/>
    <col min="10" max="10" width="12.625" style="104" customWidth="1"/>
    <col min="11" max="11" width="0.125" style="104" customWidth="1"/>
    <col min="12" max="12" width="10.625" style="104" customWidth="1"/>
    <col min="13" max="13" width="0.875" style="104" customWidth="1"/>
    <col min="14" max="14" width="33" style="104" customWidth="1"/>
    <col min="15" max="16" width="7.5" style="104" customWidth="1"/>
    <col min="17" max="17" width="15.75" style="104" customWidth="1"/>
    <col min="18" max="19" width="12.125" style="104" customWidth="1"/>
    <col min="20" max="24" width="12.625" style="104" hidden="1" customWidth="1"/>
    <col min="25" max="25" width="9" style="104" hidden="1" customWidth="1"/>
    <col min="26" max="26" width="24.875" style="104" hidden="1" customWidth="1"/>
    <col min="27" max="28" width="10.875" style="104" hidden="1" customWidth="1"/>
    <col min="29" max="30" width="3.25" style="104" hidden="1" customWidth="1"/>
    <col min="31" max="31" width="10.75" style="104" hidden="1" customWidth="1"/>
    <col min="32" max="32" width="3.25" style="104" hidden="1" customWidth="1"/>
    <col min="33" max="33" width="9" style="104" hidden="1" customWidth="1"/>
    <col min="34" max="34" width="26.125" style="104" hidden="1" customWidth="1"/>
    <col min="35" max="36" width="10.875" style="104" hidden="1" customWidth="1"/>
    <col min="37" max="37" width="9" style="104" hidden="1" customWidth="1"/>
    <col min="38" max="38" width="21.25" style="104" hidden="1" customWidth="1"/>
    <col min="39" max="40" width="10.875" style="104" hidden="1" customWidth="1"/>
    <col min="41" max="41" width="3.25" style="104" hidden="1" customWidth="1"/>
    <col min="42" max="42" width="9" style="104" hidden="1" customWidth="1"/>
    <col min="43" max="43" width="19" style="104" hidden="1" customWidth="1"/>
    <col min="44" max="46" width="9" style="104" hidden="1" customWidth="1"/>
    <col min="47" max="47" width="14.625" style="104" hidden="1" customWidth="1"/>
    <col min="48" max="50" width="9" style="104" hidden="1" customWidth="1"/>
    <col min="51" max="16384" width="9" style="104"/>
  </cols>
  <sheetData>
    <row r="1" spans="2:50" ht="9.9499999999999993" hidden="1" customHeight="1"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</row>
    <row r="2" spans="2:50" ht="18.75" hidden="1">
      <c r="B2" s="28" t="s">
        <v>68</v>
      </c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</row>
    <row r="3" spans="2:50" ht="15" hidden="1" customHeight="1">
      <c r="B3" s="21" t="str">
        <f xml:space="preserve"> IF(EXACT(L74, "powered by SwissBiogas.com"), "", "*** This version is not authorised by SwissBiogas.com ***")</f>
        <v/>
      </c>
    </row>
    <row r="4" spans="2:50" ht="15" hidden="1" customHeight="1">
      <c r="B4" s="333" t="s">
        <v>225</v>
      </c>
    </row>
    <row r="5" spans="2:50" ht="15" hidden="1" customHeight="1">
      <c r="B5" s="239" t="s">
        <v>226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50" ht="15" hidden="1" customHeight="1">
      <c r="B6" s="104" t="s">
        <v>73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2:50" ht="15" hidden="1" customHeight="1">
      <c r="B7" s="104" t="s">
        <v>69</v>
      </c>
      <c r="C7" s="104" t="s">
        <v>94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2:50" ht="15" hidden="1" customHeight="1">
      <c r="C8" s="104" t="s">
        <v>72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2:50" ht="15" hidden="1" customHeight="1">
      <c r="B9" s="104" t="s">
        <v>69</v>
      </c>
      <c r="C9" s="104" t="s">
        <v>134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2:50" ht="15" hidden="1" customHeight="1">
      <c r="C10" s="104" t="s">
        <v>135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2:50" ht="15" hidden="1" customHeight="1">
      <c r="C11" s="104" t="s">
        <v>71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2:50" ht="15" hidden="1" customHeight="1">
      <c r="B12" s="104" t="s">
        <v>69</v>
      </c>
      <c r="C12" s="104" t="s">
        <v>95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T12" s="107" t="s">
        <v>130</v>
      </c>
      <c r="U12" s="108" t="s">
        <v>19</v>
      </c>
      <c r="V12" s="109"/>
    </row>
    <row r="13" spans="2:50" ht="15" hidden="1" customHeight="1">
      <c r="C13" s="104" t="s">
        <v>136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T13" s="110" t="s">
        <v>131</v>
      </c>
      <c r="U13" s="111" t="s">
        <v>50</v>
      </c>
      <c r="V13" s="112"/>
    </row>
    <row r="14" spans="2:50" ht="15" hidden="1" customHeight="1">
      <c r="C14" s="104" t="s">
        <v>137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390"/>
    </row>
    <row r="15" spans="2:50" ht="15" hidden="1" customHeight="1">
      <c r="B15" s="113"/>
      <c r="C15" s="38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3"/>
      <c r="P15" s="113"/>
      <c r="Q15" s="113"/>
      <c r="R15" s="113"/>
      <c r="S15" s="113"/>
      <c r="T15" s="20" t="s">
        <v>118</v>
      </c>
    </row>
    <row r="16" spans="2:50" ht="15" customHeight="1"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6" t="s">
        <v>61</v>
      </c>
      <c r="U16" s="117" t="s">
        <v>87</v>
      </c>
      <c r="V16" s="118">
        <f xml:space="preserve"> IF(NOT(ISERR(G30)), IF(AND(ISNUMBER(G30), G30 &gt; 0), G30, 0), 0)</f>
        <v>0</v>
      </c>
      <c r="W16" s="117" t="s">
        <v>88</v>
      </c>
      <c r="X16" s="119">
        <f xml:space="preserve"> IF(NOT(ISERR(G30)), IF(ISNUMBER(G30), basis!D22, 0), 0)</f>
        <v>0</v>
      </c>
    </row>
    <row r="17" spans="1:24" ht="15" customHeight="1">
      <c r="B17" s="89" t="s">
        <v>66</v>
      </c>
      <c r="C17" s="89" t="s">
        <v>67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07" t="s">
        <v>79</v>
      </c>
      <c r="U17" s="120" t="s">
        <v>74</v>
      </c>
      <c r="V17" s="121" t="s">
        <v>75</v>
      </c>
      <c r="W17" s="120" t="s">
        <v>76</v>
      </c>
      <c r="X17" s="122" t="s">
        <v>77</v>
      </c>
    </row>
    <row r="18" spans="1:24" s="123" customFormat="1" ht="15" customHeight="1">
      <c r="A18" s="159"/>
      <c r="C18" s="20" t="s">
        <v>177</v>
      </c>
      <c r="D18" s="20"/>
      <c r="E18" s="20"/>
      <c r="F18" s="410" t="s">
        <v>268</v>
      </c>
      <c r="G18" s="35" t="str">
        <f xml:space="preserve"> IF(OR(F18 = "", F18 = " ", F18 = "  "), "Your Additive", F18)</f>
        <v>My_Fe(OH)₃_Additive</v>
      </c>
      <c r="H18" s="36"/>
      <c r="J18" s="37" t="str">
        <f xml:space="preserve"> U13</f>
        <v>SBGx by SwissBiogas.com</v>
      </c>
      <c r="K18" s="37"/>
      <c r="L18" s="124"/>
      <c r="N18" s="389"/>
      <c r="T18" s="125" t="s">
        <v>80</v>
      </c>
      <c r="U18" s="126">
        <f xml:space="preserve"> IF(ISERR(G20), 0, IF(AND(ISNUMBER(G20), G20 &gt; 0), G20 * basis!E8 / 100 * (100 - $V$16) / 100, 0))</f>
        <v>0</v>
      </c>
      <c r="V18" s="127">
        <v>0</v>
      </c>
      <c r="W18" s="126">
        <f xml:space="preserve"> IF(J20 &gt; 0, J20 * basis!E8 / 100 * (100 - X16) / 100, 0)</f>
        <v>32.506888497920507</v>
      </c>
      <c r="X18" s="128">
        <v>0</v>
      </c>
    </row>
    <row r="19" spans="1:24" ht="15" customHeight="1">
      <c r="A19" s="104"/>
      <c r="C19" s="45" t="s">
        <v>62</v>
      </c>
      <c r="D19" s="46" t="s">
        <v>92</v>
      </c>
      <c r="E19" s="46"/>
      <c r="F19" s="45" t="s">
        <v>93</v>
      </c>
      <c r="G19" s="47" t="s">
        <v>133</v>
      </c>
      <c r="H19" s="48" t="s">
        <v>26</v>
      </c>
      <c r="I19" s="49"/>
      <c r="J19" s="50" t="s">
        <v>169</v>
      </c>
      <c r="K19" s="78"/>
      <c r="L19" s="79" t="s">
        <v>26</v>
      </c>
      <c r="M19" s="44"/>
      <c r="T19" s="125" t="s">
        <v>81</v>
      </c>
      <c r="U19" s="126">
        <v>0</v>
      </c>
      <c r="V19" s="127">
        <f xml:space="preserve"> IF(ISERR(G21), 0, IF(AND(ISNUMBER(G21), G21 &gt; 0), G21 * basis!E9 / 100 * (100 - $V$16) / 100, 0))</f>
        <v>0</v>
      </c>
      <c r="W19" s="126">
        <v>0</v>
      </c>
      <c r="X19" s="128">
        <f xml:space="preserve"> IF(J21 &gt; 0, J21 * basis!E9 / 100 * (100 - X16) / 100, 0)</f>
        <v>30.865647555674123</v>
      </c>
    </row>
    <row r="20" spans="1:24" ht="15" customHeight="1">
      <c r="C20" s="130" t="s">
        <v>5</v>
      </c>
      <c r="D20" s="42" t="str">
        <f xml:space="preserve"> IF(OR(H20 &gt; 0, J20 &gt; 0), "Fe²⁺, ""ferrous""", "")</f>
        <v>Fe²⁺, "ferrous"</v>
      </c>
      <c r="E20" s="42"/>
      <c r="F20" s="131" t="str">
        <f xml:space="preserve"> IF(OR(H20 &gt; 0, J20 &gt; 0), "Iron(II) oxide", "")</f>
        <v>Iron(II) oxide</v>
      </c>
      <c r="G20" s="374"/>
      <c r="H20" s="41">
        <f t="shared" ref="H20:H28" si="0" xml:space="preserve"> SUM(U18:V18)</f>
        <v>0</v>
      </c>
      <c r="J20" s="133">
        <f xml:space="preserve"> basis!B22</f>
        <v>41.82</v>
      </c>
      <c r="K20" s="134"/>
      <c r="L20" s="80">
        <f t="shared" ref="L20:L28" si="1" xml:space="preserve"> SUM(W18:X18)</f>
        <v>32.506888497920507</v>
      </c>
      <c r="M20" s="27"/>
      <c r="N20" s="96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25" t="s">
        <v>78</v>
      </c>
      <c r="U20" s="126">
        <f xml:space="preserve"> IF(ISERR(G22), 0, IF(AND(ISNUMBER(G22), G22 &gt; 0), G22 / 3 * basis!E10 / 100 * (100 - $V$16) / 100, 0))</f>
        <v>0</v>
      </c>
      <c r="V20" s="127">
        <f xml:space="preserve"> IF(ISERR(G22), 0, IF(AND(ISNUMBER(G22), G22 &gt; 0), G22 * 2 / 3 * basis!E10 / 100 * (100 - $V$16) / 100, 0))</f>
        <v>0</v>
      </c>
      <c r="W20" s="126">
        <f xml:space="preserve"> IF(J22 &gt; 0, J22 / 3 * basis!E10 / 100 * (100 - X16) / 100, 0)</f>
        <v>0</v>
      </c>
      <c r="X20" s="128">
        <f xml:space="preserve"> IF(J22 &gt; 0, J22 * 2 / 3 * basis!E10 / 100 * (100 - X16) / 100, 0)</f>
        <v>0</v>
      </c>
    </row>
    <row r="21" spans="1:24" ht="15" customHeight="1">
      <c r="C21" s="130" t="s">
        <v>27</v>
      </c>
      <c r="D21" s="42" t="str">
        <f xml:space="preserve"> IF(OR(H21 &gt; 0, J21 &gt; 0), "Fe³⁺, ""ferric""", "")</f>
        <v>Fe³⁺, "ferric"</v>
      </c>
      <c r="E21" s="42"/>
      <c r="F21" s="131" t="str">
        <f xml:space="preserve"> IF(OR(H21 &gt; 0, J21 &gt; 0), "Iron(III) oxide", "")</f>
        <v>Iron(III) oxide</v>
      </c>
      <c r="G21" s="374"/>
      <c r="H21" s="41">
        <f t="shared" si="0"/>
        <v>0</v>
      </c>
      <c r="J21" s="135">
        <f xml:space="preserve"> basis!C22</f>
        <v>44.13</v>
      </c>
      <c r="K21" s="136"/>
      <c r="L21" s="80">
        <f t="shared" si="1"/>
        <v>30.865647555674123</v>
      </c>
      <c r="M21" s="27"/>
      <c r="N21" s="96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25" t="s">
        <v>80</v>
      </c>
      <c r="U21" s="126">
        <f xml:space="preserve"> IF(ISERR(G23), 0, IF(AND(ISNUMBER(G23), G23 &gt; 0), G23 * basis!E11 / 100 * (100 - $V$16) / 100, 0))</f>
        <v>0</v>
      </c>
      <c r="V21" s="127">
        <v>0</v>
      </c>
      <c r="W21" s="126">
        <f xml:space="preserve"> IF(J23 &gt; 0, J23 * basis!E11 / 100 * (100 - X16) / 100, 0)</f>
        <v>0</v>
      </c>
      <c r="X21" s="128">
        <v>0</v>
      </c>
    </row>
    <row r="22" spans="1:24" ht="15" customHeight="1">
      <c r="C22" s="131" t="s">
        <v>28</v>
      </c>
      <c r="D22" s="42" t="str">
        <f xml:space="preserve"> IF(OR(H22 &gt; 0, J22 &gt; 0), "⅓ Fe²⁺ + ⅔ Fe³⁺", "")</f>
        <v/>
      </c>
      <c r="E22" s="42"/>
      <c r="F22" s="131" t="str">
        <f xml:space="preserve"> IF(OR(H22 &gt; 0, J22 &gt; 0), "Iron(II,III) oxide", "")</f>
        <v/>
      </c>
      <c r="G22" s="374"/>
      <c r="H22" s="41">
        <f t="shared" si="0"/>
        <v>0</v>
      </c>
      <c r="J22" s="137"/>
      <c r="K22" s="138"/>
      <c r="L22" s="80">
        <f t="shared" si="1"/>
        <v>0</v>
      </c>
      <c r="M22" s="27"/>
      <c r="N22" s="96" t="str">
        <f t="shared" si="2"/>
        <v/>
      </c>
      <c r="T22" s="125" t="s">
        <v>81</v>
      </c>
      <c r="U22" s="126">
        <v>0</v>
      </c>
      <c r="V22" s="127">
        <f xml:space="preserve"> IF(ISERR(G24), 0, IF(AND(ISNUMBER(G24), G24 &gt; 0), G24 * basis!E12 / 100 * (100 - $V$16) / 100, 0))</f>
        <v>0</v>
      </c>
      <c r="W22" s="126">
        <v>0</v>
      </c>
      <c r="X22" s="128">
        <f xml:space="preserve"> IF(J24 &gt; 0, J24 * basis!E12 / 100 * (100 - X16) / 100, 0)</f>
        <v>0</v>
      </c>
    </row>
    <row r="23" spans="1:24" ht="15" customHeight="1">
      <c r="C23" s="131" t="s">
        <v>29</v>
      </c>
      <c r="D23" s="42" t="str">
        <f xml:space="preserve"> IF(OR(H23 &gt; 0, J23 &gt; 0), "Fe²⁺, ""ferrous""", "")</f>
        <v/>
      </c>
      <c r="E23" s="42"/>
      <c r="F23" s="131" t="str">
        <f xml:space="preserve"> IF(OR(H23 &gt; 0, J23 &gt; 0), "Iron(II) chloride", "")</f>
        <v/>
      </c>
      <c r="G23" s="374"/>
      <c r="H23" s="41">
        <f t="shared" si="0"/>
        <v>0</v>
      </c>
      <c r="J23" s="137"/>
      <c r="K23" s="138"/>
      <c r="L23" s="80">
        <f t="shared" si="1"/>
        <v>0</v>
      </c>
      <c r="M23" s="27"/>
      <c r="N23" s="96" t="str">
        <f t="shared" si="2"/>
        <v/>
      </c>
      <c r="T23" s="125" t="s">
        <v>81</v>
      </c>
      <c r="U23" s="126">
        <v>0</v>
      </c>
      <c r="V23" s="127">
        <f xml:space="preserve"> IF(ISERR(G25), 0, IF(AND(ISNUMBER(G25), G25 &gt; 0), G25 * basis!E13 / 100 * (100 - $V$16) / 100, 0))</f>
        <v>0</v>
      </c>
      <c r="W23" s="126">
        <v>0</v>
      </c>
      <c r="X23" s="128">
        <f xml:space="preserve"> IF(J25 &gt; 0, J25 * basis!E13 / 100 * (100 - X16) / 100, 0)</f>
        <v>0</v>
      </c>
    </row>
    <row r="24" spans="1:24" ht="15" customHeight="1">
      <c r="C24" s="131" t="s">
        <v>30</v>
      </c>
      <c r="D24" s="42" t="str">
        <f xml:space="preserve"> IF(OR(H24 &gt; 0, J24 &gt; 0), "Fe³⁺, ""ferric""", "")</f>
        <v/>
      </c>
      <c r="E24" s="42"/>
      <c r="F24" s="131" t="str">
        <f xml:space="preserve"> IF(OR(H24 &gt; 0, J24 &gt; 0), "Iron(III) chloride", "")</f>
        <v/>
      </c>
      <c r="G24" s="374"/>
      <c r="H24" s="41">
        <f t="shared" si="0"/>
        <v>0</v>
      </c>
      <c r="J24" s="137"/>
      <c r="K24" s="138"/>
      <c r="L24" s="80">
        <f t="shared" si="1"/>
        <v>0</v>
      </c>
      <c r="M24" s="27"/>
      <c r="N24" s="96" t="str">
        <f t="shared" si="2"/>
        <v/>
      </c>
      <c r="T24" s="125" t="s">
        <v>80</v>
      </c>
      <c r="U24" s="126">
        <f xml:space="preserve"> IF(ISERR(G26), 0, IF(AND(ISNUMBER(G26), G26 &gt; 0), G26 * basis!E14 / 100 * (100 - $V$16) / 100, 0))</f>
        <v>0</v>
      </c>
      <c r="V24" s="127">
        <v>0</v>
      </c>
      <c r="W24" s="126">
        <f xml:space="preserve"> IF(J26 &gt; 0, J26 * basis!E14 / 100 * (100 - X16) / 100, 0)</f>
        <v>0</v>
      </c>
      <c r="X24" s="128">
        <v>0</v>
      </c>
    </row>
    <row r="25" spans="1:24" ht="15" customHeight="1">
      <c r="C25" s="131" t="s">
        <v>15</v>
      </c>
      <c r="D25" s="42" t="str">
        <f xml:space="preserve"> IF(OR(H25 &gt; 0, J25 &gt; 0), "Fe³⁺, ""ferric""", "")</f>
        <v/>
      </c>
      <c r="E25" s="42"/>
      <c r="F25" s="131" t="str">
        <f xml:space="preserve"> IF(OR(H25 &gt; 0, J25 &gt; 0), "Iron(III) oxide-hydroxide", "")</f>
        <v/>
      </c>
      <c r="G25" s="375"/>
      <c r="H25" s="41">
        <f t="shared" si="0"/>
        <v>0</v>
      </c>
      <c r="J25" s="137"/>
      <c r="K25" s="138"/>
      <c r="L25" s="80">
        <f t="shared" si="1"/>
        <v>0</v>
      </c>
      <c r="M25" s="27"/>
      <c r="N25" s="96" t="str">
        <f t="shared" si="2"/>
        <v/>
      </c>
      <c r="T25" s="125" t="s">
        <v>81</v>
      </c>
      <c r="U25" s="126">
        <v>0</v>
      </c>
      <c r="V25" s="127">
        <f xml:space="preserve"> IF(ISERR(G27), 0, IF(AND(ISNUMBER(G27), G27 &gt; 0), G27 * basis!E15 / 100 * (100 - $V$16) / 100, 0))</f>
        <v>33.96674671007014</v>
      </c>
      <c r="W25" s="126">
        <v>0</v>
      </c>
      <c r="X25" s="128">
        <f xml:space="preserve"> IF(J27 &gt; 0, J27 * basis!E15 / 100 * (100 - X16) / 100, 0)</f>
        <v>0</v>
      </c>
    </row>
    <row r="26" spans="1:24" ht="15" customHeight="1">
      <c r="C26" s="131" t="s">
        <v>55</v>
      </c>
      <c r="D26" s="42" t="str">
        <f xml:space="preserve"> IF(OR(H26 &gt; 0, J26 &gt; 0), "Fe²⁺, ""ferrous""", "")</f>
        <v/>
      </c>
      <c r="E26" s="42"/>
      <c r="F26" s="131" t="str">
        <f xml:space="preserve"> IF(OR(H26 &gt; 0, J26 &gt; 0), "Iron(II) hydroxide", "")</f>
        <v/>
      </c>
      <c r="G26" s="374"/>
      <c r="H26" s="41">
        <f t="shared" si="0"/>
        <v>0</v>
      </c>
      <c r="J26" s="137"/>
      <c r="K26" s="138"/>
      <c r="L26" s="80">
        <f t="shared" si="1"/>
        <v>0</v>
      </c>
      <c r="M26" s="27"/>
      <c r="N26" s="96" t="str">
        <f t="shared" si="2"/>
        <v/>
      </c>
      <c r="T26" s="125" t="s">
        <v>81</v>
      </c>
      <c r="U26" s="126">
        <v>0</v>
      </c>
      <c r="V26" s="127">
        <f xml:space="preserve"> IF(ISERR(G28), 0, IF(AND(ISNUMBER(G28), G28 &gt; 0), G28 * basis!E16 / 100 * (100 - $V$16) / 100, 0))</f>
        <v>0</v>
      </c>
      <c r="W26" s="126">
        <v>0</v>
      </c>
      <c r="X26" s="128">
        <f xml:space="preserve"> IF(J28 &gt; 0, J28 * basis!E16 / 100 * (100 - X16) / 100, 0)</f>
        <v>0</v>
      </c>
    </row>
    <row r="27" spans="1:24" s="123" customFormat="1" ht="15" customHeight="1">
      <c r="A27" s="159"/>
      <c r="C27" s="131" t="s">
        <v>31</v>
      </c>
      <c r="D27" s="42" t="str">
        <f xml:space="preserve"> IF(OR(H27 &gt; 0, J27 &gt; 0), "Fe³⁺, ""ferric""", "")</f>
        <v>Fe³⁺, "ferric"</v>
      </c>
      <c r="E27" s="42"/>
      <c r="F27" s="131" t="str">
        <f xml:space="preserve"> IF(OR(H27 &gt; 0, J27 &gt; 0), "Iron(III) hydroxide", "")</f>
        <v>Iron(III) hydroxide</v>
      </c>
      <c r="G27" s="374">
        <v>65</v>
      </c>
      <c r="H27" s="41">
        <f t="shared" si="0"/>
        <v>33.96674671007014</v>
      </c>
      <c r="I27" s="104"/>
      <c r="J27" s="137"/>
      <c r="K27" s="138"/>
      <c r="L27" s="80">
        <f t="shared" si="1"/>
        <v>0</v>
      </c>
      <c r="M27" s="27"/>
      <c r="N27" s="96" t="str">
        <f t="shared" si="2"/>
        <v/>
      </c>
      <c r="T27" s="110" t="s">
        <v>89</v>
      </c>
      <c r="U27" s="140">
        <f xml:space="preserve"> SUM(U18:U26)</f>
        <v>0</v>
      </c>
      <c r="V27" s="110">
        <f xml:space="preserve"> SUM(V18:V26)</f>
        <v>33.96674671007014</v>
      </c>
      <c r="W27" s="140">
        <f xml:space="preserve"> SUM(W18:W26)</f>
        <v>32.506888497920507</v>
      </c>
      <c r="X27" s="141">
        <f xml:space="preserve"> SUM(X18:X26)</f>
        <v>30.865647555674123</v>
      </c>
    </row>
    <row r="28" spans="1:24" s="123" customFormat="1" ht="15" customHeight="1">
      <c r="A28" s="159"/>
      <c r="C28" s="131" t="s">
        <v>98</v>
      </c>
      <c r="D28" s="53" t="str">
        <f xml:space="preserve"> IF(OR(H28 &gt; 0, J28 &gt; 0), "Fe³⁺, ""ferric""", "")</f>
        <v/>
      </c>
      <c r="E28" s="42"/>
      <c r="F28" s="131" t="str">
        <f xml:space="preserve"> IF(OR(H28 &gt; 0, J28 &gt; 0), "Iron(III) oxide trihydrate", "")</f>
        <v/>
      </c>
      <c r="G28" s="374"/>
      <c r="H28" s="41">
        <f t="shared" si="0"/>
        <v>0</v>
      </c>
      <c r="I28" s="104"/>
      <c r="J28" s="137"/>
      <c r="K28" s="138"/>
      <c r="L28" s="80">
        <f t="shared" si="1"/>
        <v>0</v>
      </c>
      <c r="M28" s="27"/>
      <c r="N28" s="96" t="str">
        <f t="shared" si="2"/>
        <v/>
      </c>
      <c r="T28" s="142" t="s">
        <v>86</v>
      </c>
      <c r="U28" s="143"/>
      <c r="V28" s="144">
        <f xml:space="preserve"> SUM(U18:V26)</f>
        <v>33.96674671007014</v>
      </c>
      <c r="W28" s="143"/>
      <c r="X28" s="145">
        <f xml:space="preserve"> SUM(W18:X26)</f>
        <v>63.372536053594629</v>
      </c>
    </row>
    <row r="29" spans="1:24" s="123" customFormat="1" ht="15" hidden="1" customHeight="1">
      <c r="A29" s="159"/>
      <c r="C29" s="146" t="s">
        <v>132</v>
      </c>
      <c r="D29" s="102"/>
      <c r="E29" s="102"/>
      <c r="F29" s="146"/>
      <c r="G29" s="147"/>
      <c r="H29" s="100" t="str">
        <f xml:space="preserve"> V30</f>
        <v>0 : 100</v>
      </c>
      <c r="I29" s="104"/>
      <c r="J29" s="137"/>
      <c r="K29" s="138"/>
      <c r="L29" s="101" t="str">
        <f xml:space="preserve"> X30</f>
        <v>51 : 49</v>
      </c>
      <c r="N29" s="96" t="str">
        <f t="shared" si="2"/>
        <v/>
      </c>
      <c r="T29" s="110" t="s">
        <v>179</v>
      </c>
      <c r="U29" s="140">
        <f xml:space="preserve"> U27 / (U27 + V27) * 100</f>
        <v>0</v>
      </c>
      <c r="V29" s="140">
        <f xml:space="preserve"> V27 / (U27 + V27) * 100</f>
        <v>100</v>
      </c>
      <c r="W29" s="140">
        <f xml:space="preserve"> W27 / (W27 + X27) * 100</f>
        <v>51.29491499350631</v>
      </c>
      <c r="X29" s="140">
        <f xml:space="preserve"> X27 / (W27 + X27) * 100</f>
        <v>48.70508500649369</v>
      </c>
    </row>
    <row r="30" spans="1:24" s="123" customFormat="1" ht="15" customHeight="1">
      <c r="A30" s="104"/>
      <c r="C30" s="148" t="s">
        <v>91</v>
      </c>
      <c r="D30" s="149"/>
      <c r="E30" s="149"/>
      <c r="F30" s="131"/>
      <c r="G30" s="376"/>
      <c r="H30" s="41"/>
      <c r="I30" s="104"/>
      <c r="J30" s="137" t="str">
        <f xml:space="preserve"> IF(X16 = 0, "", X16)</f>
        <v/>
      </c>
      <c r="K30" s="138"/>
      <c r="L30" s="80"/>
      <c r="M30" s="32"/>
      <c r="N30" s="96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51" t="s">
        <v>90</v>
      </c>
      <c r="U30" s="152"/>
      <c r="V30" s="151" t="str">
        <f xml:space="preserve">
IF(U27 = 0,
    IF(V27 = 0, "0 : 0", "0 : 100"),
    IF(V27 = 0,
        "100 : 0",
        ROUND(U29, 0) &amp; " : " &amp; ROUND(V29, 0)
    )
)</f>
        <v>0 : 100</v>
      </c>
      <c r="W30" s="152"/>
      <c r="X30" s="151" t="str">
        <f xml:space="preserve">
IF(W27 = 0,
    IF(X27 = 0, "0 : 0", "0 : 100"),
    IF(X27 = 0,
        "100 : 0",
        ROUND(W29, 0) &amp; " : " &amp; ROUND(X29, 0)
    )
)</f>
        <v>51 : 49</v>
      </c>
    </row>
    <row r="31" spans="1:24" s="154" customFormat="1" ht="15" customHeight="1">
      <c r="A31" s="199"/>
      <c r="C31" s="29" t="s">
        <v>63</v>
      </c>
      <c r="D31" s="29" t="s">
        <v>26</v>
      </c>
      <c r="E31" s="29"/>
      <c r="F31" s="29"/>
      <c r="G31" s="65"/>
      <c r="H31" s="66">
        <f xml:space="preserve"> V28</f>
        <v>33.96674671007014</v>
      </c>
      <c r="I31" s="20"/>
      <c r="J31" s="67"/>
      <c r="K31" s="81"/>
      <c r="L31" s="82">
        <f xml:space="preserve"> X28</f>
        <v>63.372536053594629</v>
      </c>
      <c r="M31" s="33"/>
      <c r="N31" s="26" t="str">
        <f xml:space="preserve"> IF(X16, "Moisture(" &amp; U12 &amp; ") &lt; " &amp; TEXT(basis!E22, "0.#") &amp; "% → RIIC(" &amp; U12 &amp; ") &gt; " &amp; TEXT(X28 / (100 - basis!D22) * (100 - basis!E22), "#.00") &amp; "%", "")</f>
        <v/>
      </c>
      <c r="O31" s="123"/>
    </row>
    <row r="32" spans="1:24" s="123" customFormat="1" ht="12" customHeight="1">
      <c r="A32" s="159"/>
      <c r="C32" s="63" t="s">
        <v>207</v>
      </c>
      <c r="G32" s="155"/>
      <c r="H32" s="156"/>
      <c r="J32" s="124"/>
      <c r="K32" s="124"/>
      <c r="L32" s="124"/>
      <c r="N32" s="40"/>
    </row>
    <row r="33" spans="1:50" s="123" customFormat="1" ht="12" customHeight="1">
      <c r="A33" s="159"/>
      <c r="C33" s="63" t="s">
        <v>208</v>
      </c>
      <c r="H33" s="157"/>
      <c r="N33" s="40"/>
    </row>
    <row r="34" spans="1:50" s="123" customFormat="1" ht="15" customHeight="1"/>
    <row r="35" spans="1:50" s="123" customFormat="1" ht="15" customHeight="1">
      <c r="C35" s="69" t="s">
        <v>224</v>
      </c>
      <c r="D35" s="70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86.6% higher than the RIIC of My_Fe(OH)₃_Additive.</v>
      </c>
      <c r="E35" s="70"/>
      <c r="F35" s="71"/>
      <c r="G35" s="71"/>
      <c r="H35" s="71"/>
      <c r="I35" s="71"/>
      <c r="J35" s="71"/>
      <c r="K35" s="71"/>
      <c r="L35" s="73" t="str">
        <f xml:space="preserve"> IF(L31 / H31 &gt; 1.09, "Factor = " &amp; TEXT(L31 / H31, "0.0") &amp; " x", "")</f>
        <v>Factor = 1.9 x</v>
      </c>
      <c r="P35" s="26"/>
    </row>
    <row r="36" spans="1:50" s="123" customFormat="1" ht="15" hidden="1" customHeight="1"/>
    <row r="37" spans="1:50" s="123" customFormat="1" ht="15" hidden="1" customHeight="1">
      <c r="C37" s="104" t="s">
        <v>49</v>
      </c>
      <c r="D37" s="21"/>
      <c r="E37" s="21"/>
      <c r="F37" s="21"/>
      <c r="G37" s="104"/>
      <c r="H37" s="104"/>
      <c r="I37" s="104"/>
      <c r="J37" s="104"/>
      <c r="K37" s="104"/>
      <c r="L37" s="104"/>
      <c r="M37" s="104"/>
      <c r="N37" s="104"/>
    </row>
    <row r="38" spans="1:50" s="123" customFormat="1" ht="15" hidden="1" customHeight="1">
      <c r="C38" s="104" t="s">
        <v>56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1:50" s="123" customFormat="1" ht="15" hidden="1" customHeight="1">
      <c r="C39" s="104" t="s">
        <v>57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</row>
    <row r="40" spans="1:50" s="123" customFormat="1" ht="15" hidden="1" customHeight="1">
      <c r="C40" s="104" t="s">
        <v>51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T40" s="20" t="s">
        <v>118</v>
      </c>
      <c r="W40" s="54" t="s">
        <v>108</v>
      </c>
      <c r="X40" s="299" t="s">
        <v>199</v>
      </c>
      <c r="Y40" s="159"/>
      <c r="Z40" s="57" t="s">
        <v>115</v>
      </c>
      <c r="AA40" s="61">
        <f xml:space="preserve"> G48</f>
        <v>450</v>
      </c>
      <c r="AB40" s="62" t="s">
        <v>99</v>
      </c>
      <c r="AC40" s="160" t="s">
        <v>126</v>
      </c>
      <c r="AD40" s="160" t="s">
        <v>152</v>
      </c>
      <c r="AE40" s="301" t="s">
        <v>203</v>
      </c>
      <c r="AF40" s="160"/>
      <c r="AH40" s="57" t="s">
        <v>116</v>
      </c>
      <c r="AI40" s="61">
        <f xml:space="preserve"> G49</f>
        <v>0</v>
      </c>
      <c r="AJ40" s="62" t="s">
        <v>112</v>
      </c>
      <c r="AL40" s="57" t="s">
        <v>117</v>
      </c>
      <c r="AM40" s="61">
        <f xml:space="preserve"> G51</f>
        <v>490</v>
      </c>
      <c r="AN40" s="62" t="s">
        <v>111</v>
      </c>
      <c r="AO40" s="160" t="s">
        <v>126</v>
      </c>
      <c r="AQ40" s="58" t="s">
        <v>120</v>
      </c>
      <c r="AR40" s="59">
        <f xml:space="preserve"> AM51</f>
        <v>490</v>
      </c>
      <c r="AS40" s="59">
        <f xml:space="preserve"> J52</f>
        <v>800</v>
      </c>
      <c r="AU40" s="58" t="s">
        <v>127</v>
      </c>
      <c r="AV40" s="61">
        <f xml:space="preserve"> G53 - J53</f>
        <v>27.545297898699914</v>
      </c>
      <c r="AW40" s="161"/>
      <c r="AX40" s="161" t="s">
        <v>128</v>
      </c>
    </row>
    <row r="41" spans="1:50" s="123" customFormat="1" ht="15" hidden="1" customHeight="1">
      <c r="C41" s="330" t="s">
        <v>223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W41" s="162" t="s">
        <v>109</v>
      </c>
      <c r="X41" s="163" t="s">
        <v>110</v>
      </c>
      <c r="Y41" s="159"/>
      <c r="Z41" s="131"/>
      <c r="AA41" s="164">
        <f xml:space="preserve"> IF(IFERROR(SEARCH(Z41, $F$48), 0) = 0, 0, AB41)</f>
        <v>0</v>
      </c>
      <c r="AB41" s="165">
        <v>0</v>
      </c>
      <c r="AC41" s="165">
        <v>1</v>
      </c>
      <c r="AD41" s="165"/>
      <c r="AE41" s="165"/>
      <c r="AF41" s="165"/>
      <c r="AH41" s="131"/>
      <c r="AI41" s="164">
        <f xml:space="preserve"> IF(IFERROR(SEARCH(AH41, $AE$51), 0) = 0, 0, AJ41)</f>
        <v>0</v>
      </c>
      <c r="AJ41" s="165">
        <v>0</v>
      </c>
      <c r="AL41" s="131"/>
      <c r="AM41" s="164">
        <f xml:space="preserve"> IF(IFERROR(SEARCH(AL41,$F$51), 0) = 0, 0, AN41)</f>
        <v>0</v>
      </c>
      <c r="AN41" s="165">
        <v>0</v>
      </c>
      <c r="AO41" s="165">
        <v>1</v>
      </c>
      <c r="AQ41" s="131"/>
      <c r="AR41" s="165">
        <f xml:space="preserve"> IF(IFERROR( SEARCH(AQ41,#REF!), 0) = 0, 0, AS41)</f>
        <v>0</v>
      </c>
      <c r="AS41" s="165">
        <v>0</v>
      </c>
      <c r="AU41" s="131" t="s">
        <v>142</v>
      </c>
      <c r="AV41" s="166">
        <f xml:space="preserve"> IF(IFERROR(SEARCH(AU41, $L$55), 0) = 0, 0, AW41)</f>
        <v>0</v>
      </c>
      <c r="AW41" s="165">
        <f xml:space="preserve"> AV40</f>
        <v>27.545297898699914</v>
      </c>
      <c r="AX41" s="165" t="s">
        <v>121</v>
      </c>
    </row>
    <row r="42" spans="1:50" s="123" customFormat="1" ht="15" customHeight="1"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W42" s="55" t="s">
        <v>100</v>
      </c>
      <c r="X42" s="56" t="s">
        <v>101</v>
      </c>
      <c r="Y42" s="159"/>
      <c r="Z42" s="168" t="s">
        <v>138</v>
      </c>
      <c r="AA42" s="164">
        <f xml:space="preserve"> IF(IFERROR(SEARCH(Z42, $F$48), 0) = 0, 0, AB42)</f>
        <v>450</v>
      </c>
      <c r="AB42" s="164">
        <f xml:space="preserve"> G48</f>
        <v>450</v>
      </c>
      <c r="AC42" s="164"/>
      <c r="AD42" s="164" t="s">
        <v>153</v>
      </c>
      <c r="AE42" s="164"/>
      <c r="AF42" s="164"/>
      <c r="AH42" s="168" t="s">
        <v>146</v>
      </c>
      <c r="AI42" s="164">
        <f xml:space="preserve"> IF(IFERROR(SEARCH(AH42, $AE$51), 0) = 0, 0, AJ42)</f>
        <v>0</v>
      </c>
      <c r="AJ42" s="164">
        <f xml:space="preserve"> G49</f>
        <v>0</v>
      </c>
      <c r="AL42" s="131" t="s">
        <v>148</v>
      </c>
      <c r="AM42" s="164">
        <f xml:space="preserve"> IF(IFERROR(SEARCH(AL42,$F$51), 0) = 0, 0, AN42)</f>
        <v>0</v>
      </c>
      <c r="AN42" s="165">
        <f xml:space="preserve"> G51 * 1000</f>
        <v>490000</v>
      </c>
      <c r="AO42" s="165"/>
      <c r="AQ42" s="168" t="s">
        <v>148</v>
      </c>
      <c r="AR42" s="165">
        <f xml:space="preserve"> IF(IFERROR( SEARCH(AQ42,#REF!), 0) = 0, 0, AS42)</f>
        <v>0</v>
      </c>
      <c r="AS42" s="165">
        <f xml:space="preserve"> AR40 / 1000</f>
        <v>0.49</v>
      </c>
      <c r="AU42" s="131" t="s">
        <v>143</v>
      </c>
      <c r="AV42" s="166">
        <f xml:space="preserve"> IF(IFERROR(SEARCH(AU42, $L$55), 0) = 0, 0, AW42)</f>
        <v>0</v>
      </c>
      <c r="AW42" s="165">
        <f xml:space="preserve"> AV40 * 7</f>
        <v>192.8170852908994</v>
      </c>
      <c r="AX42" s="165" t="s">
        <v>122</v>
      </c>
    </row>
    <row r="43" spans="1:50" s="123" customFormat="1" ht="15" customHeight="1">
      <c r="T43" s="169" t="s">
        <v>82</v>
      </c>
      <c r="U43" s="169">
        <f xml:space="preserve"> IF(ISERR(G50), 0, IF(AND(ISNUMBER(G50), G50 &gt; 0), G50, 0))</f>
        <v>450</v>
      </c>
      <c r="W43" s="162" t="s">
        <v>102</v>
      </c>
      <c r="X43" s="163">
        <v>0.45359237000000002</v>
      </c>
      <c r="Y43" s="159"/>
      <c r="Z43" s="168" t="s">
        <v>139</v>
      </c>
      <c r="AA43" s="164">
        <f xml:space="preserve"> IF(IFERROR(SEARCH(Z43, $F$48), 0) = 0, 0, AB43)</f>
        <v>0</v>
      </c>
      <c r="AB43" s="165">
        <f xml:space="preserve"> G48 * 1000</f>
        <v>450000</v>
      </c>
      <c r="AC43" s="165"/>
      <c r="AD43" s="165"/>
      <c r="AE43" s="165"/>
      <c r="AF43" s="165"/>
      <c r="AH43" s="168" t="s">
        <v>164</v>
      </c>
      <c r="AI43" s="164">
        <f xml:space="preserve"> IF(IFERROR(SEARCH(AH43, $AE$51), 0) = 0, 0, AJ43)</f>
        <v>0</v>
      </c>
      <c r="AJ43" s="164">
        <f xml:space="preserve"> G49 * X43 / X48</f>
        <v>0</v>
      </c>
      <c r="AL43" s="168" t="s">
        <v>149</v>
      </c>
      <c r="AM43" s="164">
        <f xml:space="preserve"> IF(IFERROR(SEARCH(AL43,$F$51), 0) = 0, 0, AN43)</f>
        <v>490</v>
      </c>
      <c r="AN43" s="164">
        <f xml:space="preserve"> G51</f>
        <v>490</v>
      </c>
      <c r="AO43" s="164"/>
      <c r="AQ43" s="168" t="s">
        <v>151</v>
      </c>
      <c r="AR43" s="165">
        <f xml:space="preserve"> IF(IFERROR( SEARCH(AQ43,#REF!), 0) = 0, 0, AS43)</f>
        <v>0</v>
      </c>
      <c r="AS43" s="165">
        <f xml:space="preserve"> AR40 / 1000 * X43</f>
        <v>0.22226026130000001</v>
      </c>
      <c r="AU43" s="131" t="s">
        <v>144</v>
      </c>
      <c r="AV43" s="166">
        <f xml:space="preserve"> IF(IFERROR(SEARCH(AU43, $L$55), 0) = 0, 0, AW43)</f>
        <v>0</v>
      </c>
      <c r="AW43" s="165">
        <f xml:space="preserve"> AV40 * 30</f>
        <v>826.35893696099743</v>
      </c>
      <c r="AX43" s="165" t="s">
        <v>123</v>
      </c>
    </row>
    <row r="44" spans="1:50" s="123" customFormat="1" ht="15" customHeight="1">
      <c r="A44" s="159"/>
      <c r="B44" s="20" t="s">
        <v>65</v>
      </c>
      <c r="C44" s="20" t="str">
        <f xml:space="preserve"> "Comparing daily dosage and costs between " &amp; G18 &amp; " and " &amp; U12 &amp; " for your biogas reactor, based on their respective RIICs"</f>
        <v>Comparing daily dosage and costs between My_Fe(OH)₃_Additive and SBGx for your biogas reactor, based on their respective RIICs</v>
      </c>
      <c r="H44" s="157"/>
      <c r="L44" s="157"/>
      <c r="Q44" s="300"/>
      <c r="R44" s="300"/>
      <c r="T44" s="169" t="s">
        <v>83</v>
      </c>
      <c r="U44" s="169">
        <f xml:space="preserve"> IF(ISERR(G52), 0, IF(AND(ISNUMBER(G52), G52 &gt; 0), G52, 0))</f>
        <v>490</v>
      </c>
      <c r="W44" s="162" t="s">
        <v>103</v>
      </c>
      <c r="X44" s="163">
        <v>1016.0469000000001</v>
      </c>
      <c r="Y44" s="159"/>
      <c r="Z44" s="168" t="s">
        <v>140</v>
      </c>
      <c r="AA44" s="164">
        <f t="shared" ref="AA44:AA47" si="3" xml:space="preserve"> IF(IFERROR(SEARCH(Z44, $F$48), 0) = 0, 0, AB44)</f>
        <v>0</v>
      </c>
      <c r="AB44" s="164">
        <f xml:space="preserve"> G48 * 1 * AI46</f>
        <v>0</v>
      </c>
      <c r="AC44" s="164">
        <v>1</v>
      </c>
      <c r="AD44" s="164"/>
      <c r="AE44" s="164" t="str">
        <f xml:space="preserve"> AH42</f>
        <v>Kilogram per litre [kg/l]</v>
      </c>
      <c r="AF44" s="302" t="s">
        <v>201</v>
      </c>
      <c r="AH44" s="168" t="s">
        <v>147</v>
      </c>
      <c r="AI44" s="164">
        <f xml:space="preserve"> IF(IFERROR(SEARCH(AH44, $AE$51), 0) = 0, 0, AJ44)</f>
        <v>0</v>
      </c>
      <c r="AJ44" s="164">
        <f xml:space="preserve"> G49 * X43 / X49</f>
        <v>0</v>
      </c>
      <c r="AL44" s="168" t="s">
        <v>150</v>
      </c>
      <c r="AM44" s="164">
        <f t="shared" ref="AM44:AM49" si="4" xml:space="preserve"> IF(IFERROR(SEARCH(AL44,$F$51), 0) = 0, 0, AN44)</f>
        <v>0</v>
      </c>
      <c r="AN44" s="164">
        <f xml:space="preserve"> IF(AI46 = 0, 0, G51 / (1 * AI46) * 1000)</f>
        <v>0</v>
      </c>
      <c r="AO44" s="164">
        <v>1</v>
      </c>
      <c r="AQ44" s="168" t="s">
        <v>162</v>
      </c>
      <c r="AR44" s="165">
        <f xml:space="preserve"> IF(IFERROR( SEARCH(AQ44,#REF!), 0) = 0, 0, AS44)</f>
        <v>0</v>
      </c>
      <c r="AS44" s="165">
        <f xml:space="preserve"> AR40 / 1000 * X44</f>
        <v>497.86298099999999</v>
      </c>
      <c r="AU44" s="131" t="s">
        <v>145</v>
      </c>
      <c r="AV44" s="166">
        <f xml:space="preserve"> IF(IFERROR(SEARCH(AU44, $L$55), 0) = 0, 0, AW44)</f>
        <v>10054.033733025468</v>
      </c>
      <c r="AW44" s="165">
        <f xml:space="preserve"> AV40 * 365</f>
        <v>10054.033733025468</v>
      </c>
      <c r="AX44" s="165" t="s">
        <v>125</v>
      </c>
    </row>
    <row r="45" spans="1:50" s="123" customFormat="1" ht="15" customHeight="1">
      <c r="A45" s="159"/>
      <c r="B45" s="20"/>
      <c r="C45" s="369" t="s">
        <v>267</v>
      </c>
      <c r="H45" s="157"/>
      <c r="L45" s="157"/>
      <c r="Q45" s="300"/>
      <c r="R45" s="300"/>
      <c r="T45" s="169" t="s">
        <v>84</v>
      </c>
      <c r="U45" s="169">
        <f xml:space="preserve"> IF(ISERR(J52), 0, IF(AND(ISNUMBER(J52), J52 &gt; 0), J52, 0))</f>
        <v>800</v>
      </c>
      <c r="W45" s="162" t="s">
        <v>104</v>
      </c>
      <c r="X45" s="163">
        <v>907.18474000000003</v>
      </c>
      <c r="Y45" s="159"/>
      <c r="Z45" s="168" t="s">
        <v>141</v>
      </c>
      <c r="AA45" s="164">
        <f t="shared" si="3"/>
        <v>0</v>
      </c>
      <c r="AB45" s="164">
        <f xml:space="preserve"> G48 * X43</f>
        <v>204.1165665</v>
      </c>
      <c r="AC45" s="164"/>
      <c r="AD45" s="164" t="s">
        <v>154</v>
      </c>
      <c r="AE45" s="164"/>
      <c r="AF45" s="164"/>
      <c r="AL45" s="168" t="s">
        <v>151</v>
      </c>
      <c r="AM45" s="164">
        <f t="shared" si="4"/>
        <v>0</v>
      </c>
      <c r="AN45" s="164">
        <f xml:space="preserve"> G51 / X43 * 1000</f>
        <v>1080265.0847059002</v>
      </c>
      <c r="AO45" s="164"/>
      <c r="AQ45" s="168" t="s">
        <v>161</v>
      </c>
      <c r="AR45" s="165">
        <f xml:space="preserve"> IF(IFERROR( SEARCH(AQ45,#REF!), 0) = 0, 0, AS45)</f>
        <v>0</v>
      </c>
      <c r="AS45" s="165">
        <f xml:space="preserve"> AR40 / 1000 * X45</f>
        <v>444.52052259999999</v>
      </c>
    </row>
    <row r="46" spans="1:50" s="123" customFormat="1" ht="15" customHeight="1">
      <c r="A46" s="159"/>
      <c r="B46" s="20"/>
      <c r="C46" s="20" t="s">
        <v>228</v>
      </c>
      <c r="D46" s="33"/>
      <c r="E46" s="309" t="s">
        <v>217</v>
      </c>
      <c r="F46" s="409" t="s">
        <v>271</v>
      </c>
      <c r="G46" s="335" t="str">
        <f xml:space="preserve"> IF(ISBLANK(F46), " ← Tip: For more information hoover the cursor/arrow over the cell without clicking on or having selected it.", "")</f>
        <v/>
      </c>
      <c r="L46" s="157"/>
      <c r="P46" s="334"/>
      <c r="Q46" s="300"/>
      <c r="R46" s="300"/>
      <c r="T46" s="169" t="s">
        <v>85</v>
      </c>
      <c r="U46" s="169">
        <f xml:space="preserve"> IF(ISERR(#REF!), 0, IF(AND(ISNUMBER(#REF!),#REF! &gt; 0),#REF!, 0))</f>
        <v>0</v>
      </c>
      <c r="W46" s="297" t="s">
        <v>199</v>
      </c>
      <c r="X46" s="298" t="s">
        <v>199</v>
      </c>
      <c r="Y46" s="159"/>
      <c r="Z46" s="168" t="s">
        <v>165</v>
      </c>
      <c r="AA46" s="164">
        <f t="shared" si="3"/>
        <v>0</v>
      </c>
      <c r="AB46" s="164">
        <f xml:space="preserve"> G48 * X44</f>
        <v>457221.10500000004</v>
      </c>
      <c r="AC46" s="164"/>
      <c r="AD46" s="164"/>
      <c r="AE46" s="164"/>
      <c r="AF46" s="164"/>
      <c r="AH46" s="107" t="s">
        <v>113</v>
      </c>
      <c r="AI46" s="161">
        <f xml:space="preserve"> SUM(AI41:AI44)</f>
        <v>0</v>
      </c>
      <c r="AL46" s="168" t="s">
        <v>162</v>
      </c>
      <c r="AM46" s="164">
        <f t="shared" si="4"/>
        <v>0</v>
      </c>
      <c r="AN46" s="164">
        <f xml:space="preserve"> G51 / X44 * 1000</f>
        <v>482.26120270629235</v>
      </c>
      <c r="AO46" s="164"/>
      <c r="AU46" s="107" t="s">
        <v>124</v>
      </c>
      <c r="AV46" s="161">
        <f xml:space="preserve"> SUM(AV41:AV44)</f>
        <v>10054.033733025468</v>
      </c>
      <c r="AW46" s="161" t="str">
        <f xml:space="preserve"> VLOOKUP(AV46, AV41:AX44, 3, FALSE)</f>
        <v>yearly</v>
      </c>
      <c r="AX46" s="172"/>
    </row>
    <row r="47" spans="1:50" s="123" customFormat="1" ht="15" customHeight="1">
      <c r="A47" s="159"/>
      <c r="G47" s="35" t="str">
        <f xml:space="preserve"> G18</f>
        <v>My_Fe(OH)₃_Additive</v>
      </c>
      <c r="H47" s="35"/>
      <c r="J47" s="37" t="str">
        <f xml:space="preserve"> U13</f>
        <v>SBGx by SwissBiogas.com</v>
      </c>
      <c r="K47" s="37"/>
      <c r="L47" s="124"/>
      <c r="Q47" s="300"/>
      <c r="R47" s="300"/>
      <c r="W47" s="55" t="s">
        <v>105</v>
      </c>
      <c r="X47" s="56" t="s">
        <v>106</v>
      </c>
      <c r="Y47" s="159"/>
      <c r="Z47" s="168" t="s">
        <v>160</v>
      </c>
      <c r="AA47" s="164">
        <f t="shared" si="3"/>
        <v>0</v>
      </c>
      <c r="AB47" s="164">
        <f xml:space="preserve"> G48 * X45</f>
        <v>408233.13300000003</v>
      </c>
      <c r="AC47" s="164"/>
      <c r="AD47" s="164"/>
      <c r="AE47" s="164"/>
      <c r="AF47" s="164"/>
      <c r="AL47" s="168" t="s">
        <v>161</v>
      </c>
      <c r="AM47" s="164">
        <f t="shared" si="4"/>
        <v>0</v>
      </c>
      <c r="AN47" s="164">
        <f xml:space="preserve"> G51 / X45 * 1000</f>
        <v>540.13254235295005</v>
      </c>
      <c r="AO47" s="164"/>
      <c r="AQ47" s="107" t="e">
        <f xml:space="preserve"> "Price per " &amp;#REF!</f>
        <v>#REF!</v>
      </c>
      <c r="AR47" s="161">
        <f xml:space="preserve"> SUM(AR41:AR45)</f>
        <v>0</v>
      </c>
      <c r="AS47" s="161">
        <f xml:space="preserve"> IF(AR40 &gt; 0, AR47 / AR40 * AS40, 0)</f>
        <v>0</v>
      </c>
    </row>
    <row r="48" spans="1:50" s="123" customFormat="1" ht="15" customHeight="1">
      <c r="A48" s="159"/>
      <c r="C48" s="305" t="s">
        <v>204</v>
      </c>
      <c r="D48" s="173"/>
      <c r="E48" s="75" t="s">
        <v>218</v>
      </c>
      <c r="F48" s="377" t="s">
        <v>138</v>
      </c>
      <c r="G48" s="378">
        <v>450</v>
      </c>
      <c r="H48" s="39"/>
      <c r="J48" s="37"/>
      <c r="K48" s="37"/>
      <c r="L48" s="124"/>
      <c r="Q48" s="300"/>
      <c r="R48" s="300"/>
      <c r="W48" s="162" t="s">
        <v>107</v>
      </c>
      <c r="X48" s="163">
        <v>4.5460900000000004</v>
      </c>
      <c r="Y48" s="159"/>
      <c r="Z48" s="168" t="s">
        <v>166</v>
      </c>
      <c r="AA48" s="164">
        <f xml:space="preserve"> IF(IFERROR(SEARCH(Z48, $F$48), 0) = 0, 0, AB48)</f>
        <v>0</v>
      </c>
      <c r="AB48" s="164">
        <f xml:space="preserve"> G48 * X48 * AI46</f>
        <v>0</v>
      </c>
      <c r="AC48" s="164">
        <v>1</v>
      </c>
      <c r="AD48" s="164"/>
      <c r="AE48" s="164" t="str">
        <f xml:space="preserve"> AH43</f>
        <v>Pound per Imperial gallon [lb/gal]</v>
      </c>
      <c r="AF48" s="302" t="s">
        <v>202</v>
      </c>
      <c r="AG48" s="159"/>
      <c r="AH48" s="159"/>
      <c r="AL48" s="168" t="s">
        <v>163</v>
      </c>
      <c r="AM48" s="164">
        <f t="shared" si="4"/>
        <v>0</v>
      </c>
      <c r="AN48" s="164">
        <f xml:space="preserve"> IF(AI46 = 0, 0, G51 / (X48 * AI46) * 1000)</f>
        <v>0</v>
      </c>
      <c r="AO48" s="164">
        <v>1</v>
      </c>
    </row>
    <row r="49" spans="1:50" s="123" customFormat="1" ht="15" customHeight="1">
      <c r="A49" s="159"/>
      <c r="C49" s="173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82"/>
      <c r="E49" s="304"/>
      <c r="F49" s="131"/>
      <c r="G49" s="378"/>
      <c r="H49" s="39"/>
      <c r="J49" s="37"/>
      <c r="K49" s="37"/>
      <c r="L49" s="124"/>
      <c r="Q49" s="300"/>
      <c r="R49" s="300"/>
      <c r="W49" s="174" t="s">
        <v>173</v>
      </c>
      <c r="X49" s="175">
        <v>3.7854117839999999</v>
      </c>
      <c r="Y49" s="176"/>
      <c r="Z49" s="168" t="s">
        <v>174</v>
      </c>
      <c r="AA49" s="164">
        <f xml:space="preserve"> IF(IFERROR(SEARCH(Z49, $F$48), 0) = 0, 0, AB49)</f>
        <v>0</v>
      </c>
      <c r="AB49" s="177">
        <f xml:space="preserve"> G48 * X49 * AI46</f>
        <v>0</v>
      </c>
      <c r="AC49" s="177">
        <v>1</v>
      </c>
      <c r="AD49" s="177"/>
      <c r="AE49" s="177" t="str">
        <f xml:space="preserve"> AH44</f>
        <v>Pound per US gallon [lb/gal]</v>
      </c>
      <c r="AF49" s="303" t="s">
        <v>202</v>
      </c>
      <c r="AL49" s="168" t="s">
        <v>175</v>
      </c>
      <c r="AM49" s="164">
        <f t="shared" si="4"/>
        <v>0</v>
      </c>
      <c r="AN49" s="177">
        <f xml:space="preserve"> IF(AI46 = 0, 0, G51 / (X49 * AI46) * 1000)</f>
        <v>0</v>
      </c>
      <c r="AO49" s="177">
        <v>1</v>
      </c>
    </row>
    <row r="50" spans="1:50" s="123" customFormat="1" ht="15" customHeight="1">
      <c r="A50" s="159"/>
      <c r="C50" s="72" t="s">
        <v>263</v>
      </c>
      <c r="D50" s="72" t="s">
        <v>213</v>
      </c>
      <c r="E50" s="178"/>
      <c r="F50" s="179"/>
      <c r="G50" s="338">
        <f xml:space="preserve"> AA51</f>
        <v>450</v>
      </c>
      <c r="H50" s="39"/>
      <c r="J50" s="326">
        <f xml:space="preserve"> IF(ISERR(U43), 0, U43 / L31 * H31)</f>
        <v>241.19337762662511</v>
      </c>
      <c r="K50" s="84"/>
      <c r="L50" s="83" t="str">
        <f xml:space="preserve"> IF(AND(U43 &gt; 0, J50 &gt; 0, U43 &gt; J50), "Factor " &amp; TEXT(U43 / J50, "0.0") &amp; " x", "")</f>
        <v>Factor 1.9 x</v>
      </c>
      <c r="M50" s="20"/>
      <c r="N50" s="26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46.4% additive dosage reduction; Dosage factor = 1.9</v>
      </c>
      <c r="Q50" s="300"/>
      <c r="R50" s="300"/>
      <c r="W50" s="159"/>
      <c r="X50" s="180"/>
      <c r="Y50" s="159"/>
      <c r="Z50" s="159"/>
      <c r="AA50" s="159"/>
      <c r="AB50" s="181" t="s">
        <v>126</v>
      </c>
      <c r="AC50" s="159" t="s">
        <v>152</v>
      </c>
      <c r="AD50" s="159"/>
      <c r="AE50" s="159"/>
      <c r="AF50" s="159"/>
      <c r="AN50" s="171" t="s">
        <v>126</v>
      </c>
    </row>
    <row r="51" spans="1:50" s="123" customFormat="1" ht="15" customHeight="1">
      <c r="A51" s="159"/>
      <c r="C51" s="306" t="s">
        <v>205</v>
      </c>
      <c r="D51" s="182"/>
      <c r="E51" s="75" t="s">
        <v>218</v>
      </c>
      <c r="F51" s="409" t="s">
        <v>149</v>
      </c>
      <c r="G51" s="379">
        <v>490</v>
      </c>
      <c r="H51" s="39"/>
      <c r="J51" s="184"/>
      <c r="K51" s="185"/>
      <c r="L51" s="124"/>
      <c r="P51" s="171"/>
      <c r="Q51" s="300"/>
      <c r="R51" s="300"/>
      <c r="Z51" s="186" t="s">
        <v>114</v>
      </c>
      <c r="AA51" s="187">
        <f xml:space="preserve"> SUM(AA41:AA49)</f>
        <v>450</v>
      </c>
      <c r="AB51" s="161">
        <f xml:space="preserve"> IF(ISBLANK(F48), 1, VLOOKUP(F48,Z42:AC49,4,FALSE))</f>
        <v>0</v>
      </c>
      <c r="AC51" s="161" t="str">
        <f xml:space="preserve"> IF(ISBLANK(F48), 1, VLOOKUP(F48, Z42:AD49, 5, FALSE))</f>
        <v>si</v>
      </c>
      <c r="AE51" s="161">
        <f xml:space="preserve"> IF(ISERROR(VLOOKUP(F48, Z42:AE49, 6, FALSE)), FALSE, VLOOKUP(F48, Z42:AE49, 6, FALSE))</f>
        <v>0</v>
      </c>
      <c r="AF51" s="161">
        <f xml:space="preserve"> VLOOKUP(F48, Z42:AF49, 7, FALSE)</f>
        <v>0</v>
      </c>
      <c r="AL51" s="107" t="s">
        <v>119</v>
      </c>
      <c r="AM51" s="161">
        <f xml:space="preserve"> SUM(AM41:AM49)</f>
        <v>490</v>
      </c>
      <c r="AN51" s="161">
        <f xml:space="preserve"> IF(ISBLANK(F51), 1, VLOOKUP(F51, AL42:AO49,4,FALSE))</f>
        <v>0</v>
      </c>
    </row>
    <row r="52" spans="1:50" s="123" customFormat="1" ht="15" customHeight="1">
      <c r="A52" s="159"/>
      <c r="C52" s="29" t="str">
        <f xml:space="preserve"> "Price comparison btw. your additive and " &amp; U12 &amp; " per metric ton [/t]"</f>
        <v>Price comparison btw. your additive and SBGx per metric ton [/t]</v>
      </c>
      <c r="D52" s="179"/>
      <c r="E52" s="179"/>
      <c r="F52" s="179"/>
      <c r="G52" s="92">
        <f xml:space="preserve"> AM51</f>
        <v>490</v>
      </c>
      <c r="H52" s="39"/>
      <c r="J52" s="380">
        <v>800</v>
      </c>
      <c r="K52" s="86"/>
      <c r="L52" s="97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209"/>
      <c r="Q52" s="300"/>
      <c r="R52" s="300"/>
      <c r="Y52" s="159"/>
      <c r="Z52" s="188"/>
      <c r="AA52" s="188"/>
    </row>
    <row r="53" spans="1:50" s="123" customFormat="1" ht="15" customHeight="1">
      <c r="A53" s="159"/>
      <c r="C53" s="29" t="s">
        <v>264</v>
      </c>
      <c r="D53" s="29" t="s">
        <v>206</v>
      </c>
      <c r="E53" s="29"/>
      <c r="F53" s="29"/>
      <c r="G53" s="93">
        <f xml:space="preserve"> IF(ISERR(U43), 0, IF(ISERR(U44), 0, IF(AND(U43 &gt; 0, U44 &gt; 0), U43 * U44 / 1000, 0)))</f>
        <v>220.5</v>
      </c>
      <c r="H53" s="155"/>
      <c r="J53" s="74">
        <f xml:space="preserve"> IF(ISERR(J50), 0, IF(ISERR(U45), 0, IF(AND(J50 &gt; 0, U45 &gt; 0), J50 * U45 / 1000, 0)))</f>
        <v>192.95470210130009</v>
      </c>
      <c r="K53" s="85"/>
      <c r="L53" s="83" t="str">
        <f xml:space="preserve"> IF(AND(G53 &gt; 0, J53 &gt; 0, G53 &gt; J53), "Factor " &amp; TEXT(G53 / J53, "0.0") &amp; " x", "")</f>
        <v>Factor 1.1 x</v>
      </c>
      <c r="M53" s="20"/>
      <c r="N53" s="26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12.5% additive cost reduction; Cost factor = 1.1</v>
      </c>
      <c r="O53" s="20"/>
      <c r="Y53" s="159"/>
      <c r="Z53" s="159"/>
      <c r="AA53" s="159"/>
    </row>
    <row r="54" spans="1:50" s="123" customFormat="1" ht="15" customHeight="1">
      <c r="C54" s="64"/>
      <c r="G54" s="155"/>
      <c r="H54" s="155"/>
      <c r="J54" s="331"/>
      <c r="K54" s="331"/>
      <c r="L54" s="331" t="s">
        <v>129</v>
      </c>
      <c r="O54" s="336"/>
      <c r="V54" s="180"/>
      <c r="Y54" s="159"/>
      <c r="Z54" s="159" t="s">
        <v>157</v>
      </c>
      <c r="AA54" s="159"/>
      <c r="AH54" s="123" t="s">
        <v>157</v>
      </c>
      <c r="AL54" s="123" t="s">
        <v>157</v>
      </c>
      <c r="AQ54" s="123" t="s">
        <v>157</v>
      </c>
    </row>
    <row r="55" spans="1:50" s="123" customFormat="1" ht="15" customHeight="1">
      <c r="A55" s="159"/>
      <c r="B55" s="20"/>
      <c r="C55" s="72" t="s">
        <v>224</v>
      </c>
      <c r="D55" s="72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10,054.--. (Minus 12.5%)</v>
      </c>
      <c r="E55" s="72"/>
      <c r="F55" s="72"/>
      <c r="G55" s="72"/>
      <c r="H55" s="72"/>
      <c r="I55" s="72"/>
      <c r="J55" s="72"/>
      <c r="K55" s="72"/>
      <c r="L55" s="381" t="s">
        <v>145</v>
      </c>
      <c r="N55" s="104"/>
      <c r="O55" s="337"/>
      <c r="Q55" s="104"/>
      <c r="R55" s="104"/>
      <c r="T55" s="123" t="s">
        <v>167</v>
      </c>
      <c r="V55" s="180"/>
      <c r="W55" s="104"/>
      <c r="X55" s="104"/>
      <c r="Y55" s="159"/>
      <c r="Z55" s="189" t="str">
        <f xml:space="preserve"> Z42</f>
        <v>Kilogram [kg/day]</v>
      </c>
      <c r="AA55" s="159"/>
      <c r="AB55" s="159"/>
      <c r="AC55" s="159"/>
      <c r="AD55" s="159"/>
      <c r="AE55" s="159"/>
      <c r="AF55" s="159"/>
      <c r="AG55" s="159"/>
      <c r="AH55" s="189" t="str">
        <f xml:space="preserve"> AH42</f>
        <v>Kilogram per litre [kg/l]</v>
      </c>
      <c r="AI55" s="104"/>
      <c r="AJ55" s="104"/>
      <c r="AK55" s="104"/>
      <c r="AL55" s="189" t="str">
        <f xml:space="preserve"> AL42</f>
        <v>Kilogram [/kg]</v>
      </c>
      <c r="AM55" s="104"/>
      <c r="AN55" s="104"/>
      <c r="AO55" s="104"/>
      <c r="AP55" s="104"/>
      <c r="AQ55" s="189" t="str">
        <f xml:space="preserve"> AQ42</f>
        <v>Kilogram [/kg]</v>
      </c>
      <c r="AR55" s="104"/>
      <c r="AT55" s="104"/>
      <c r="AU55" s="104"/>
      <c r="AV55" s="104"/>
      <c r="AW55" s="104"/>
      <c r="AX55" s="104"/>
    </row>
    <row r="56" spans="1:50" s="123" customFormat="1" ht="15" customHeight="1">
      <c r="A56" s="15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194"/>
      <c r="M56" s="167"/>
      <c r="N56" s="167"/>
      <c r="O56" s="113"/>
      <c r="P56" s="167"/>
      <c r="Q56" s="167"/>
      <c r="R56" s="167"/>
      <c r="S56" s="167"/>
      <c r="T56" s="159" t="s">
        <v>156</v>
      </c>
      <c r="V56" s="180"/>
      <c r="W56" s="104"/>
      <c r="X56" s="104"/>
      <c r="Y56" s="159"/>
      <c r="Z56" s="189" t="str">
        <f xml:space="preserve"> Z43</f>
        <v>Metric ton (Tonne) [t/day]</v>
      </c>
      <c r="AA56" s="159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89" t="str">
        <f xml:space="preserve"> AL43</f>
        <v>Metric ton (Tonne) [/t]</v>
      </c>
      <c r="AM56" s="104"/>
      <c r="AN56" s="104"/>
      <c r="AO56" s="104"/>
      <c r="AP56" s="104"/>
      <c r="AQ56" s="104"/>
      <c r="AR56" s="104"/>
      <c r="AT56" s="104"/>
      <c r="AU56" s="104"/>
      <c r="AV56" s="104"/>
      <c r="AW56" s="104"/>
      <c r="AX56" s="104"/>
    </row>
    <row r="57" spans="1:50" s="123" customFormat="1" ht="15" customHeight="1">
      <c r="A57" s="159"/>
      <c r="B57" s="197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97"/>
      <c r="T57" s="391" t="s">
        <v>271</v>
      </c>
      <c r="U57" s="190">
        <v>1</v>
      </c>
      <c r="V57" s="190">
        <f xml:space="preserve"> IF(IFERROR(SEARCH(T57, $F$46), 0) = 0, 0, U57)</f>
        <v>1</v>
      </c>
      <c r="W57" s="104"/>
      <c r="X57" s="104"/>
      <c r="Y57" s="159"/>
      <c r="Z57" s="189" t="str">
        <f xml:space="preserve"> Z44</f>
        <v>Litre [l/day]</v>
      </c>
      <c r="AA57" s="159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89" t="str">
        <f xml:space="preserve"> AL44</f>
        <v>Litre [/l]</v>
      </c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</row>
    <row r="58" spans="1:50" ht="15" customHeight="1">
      <c r="A58" s="104"/>
      <c r="B58" s="89" t="s">
        <v>64</v>
      </c>
      <c r="C58" s="89" t="s">
        <v>265</v>
      </c>
      <c r="D58" s="115"/>
      <c r="E58" s="115"/>
      <c r="F58" s="115"/>
      <c r="G58" s="115"/>
      <c r="H58" s="115"/>
      <c r="I58" s="115"/>
      <c r="J58" s="368" t="s">
        <v>266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92" t="s">
        <v>168</v>
      </c>
      <c r="U58" s="193">
        <v>2</v>
      </c>
      <c r="V58" s="190">
        <f xml:space="preserve"> IF(IFERROR(SEARCH(T58, $F$46), 0) = 0, 0, U58)</f>
        <v>0</v>
      </c>
      <c r="Y58" s="159"/>
      <c r="Z58" s="159" t="s">
        <v>158</v>
      </c>
      <c r="AA58" s="159"/>
      <c r="AH58" s="104" t="s">
        <v>158</v>
      </c>
      <c r="AL58" s="104" t="s">
        <v>158</v>
      </c>
      <c r="AQ58" s="104" t="s">
        <v>158</v>
      </c>
    </row>
    <row r="59" spans="1:50" ht="15" customHeight="1">
      <c r="A59" s="104"/>
      <c r="C59" s="407" t="str">
        <f xml:space="preserve"> "Volume of daily produced biogas in " &amp; IF(ISBLANK(H59), "[m³/day]", "")</f>
        <v xml:space="preserve">Volume of daily produced biogas in </v>
      </c>
      <c r="D59" s="173"/>
      <c r="E59" s="173"/>
      <c r="F59" s="173"/>
      <c r="G59" s="173"/>
      <c r="H59" s="431" t="s">
        <v>300</v>
      </c>
      <c r="I59" s="432"/>
      <c r="J59" s="382">
        <v>19000</v>
      </c>
      <c r="K59" s="203"/>
      <c r="L59" s="281" t="str">
        <f xml:space="preserve"> IF(MOD(ROUND(SUM(J59,J60,J67) * 1000000, 0), 10) = 3, " ← Complete example data set", "")</f>
        <v/>
      </c>
      <c r="N59" s="123"/>
      <c r="O59" s="291"/>
      <c r="P59" s="291"/>
      <c r="T59" s="195" t="s">
        <v>155</v>
      </c>
      <c r="U59" s="193">
        <v>3</v>
      </c>
      <c r="V59" s="190">
        <f xml:space="preserve"> IF(IFERROR(SEARCH(T59, $F$46), 0) = 0, 0, U59)</f>
        <v>0</v>
      </c>
      <c r="Y59" s="159"/>
      <c r="Z59" s="189" t="str">
        <f xml:space="preserve"> Z45</f>
        <v>Pound [lb/day]</v>
      </c>
      <c r="AA59" s="159"/>
      <c r="AH59" s="196" t="str">
        <f xml:space="preserve"> AH43</f>
        <v>Pound per Imperial gallon [lb/gal]</v>
      </c>
      <c r="AL59" s="196" t="str">
        <f xml:space="preserve"> AL45</f>
        <v>Pound [/lb]</v>
      </c>
      <c r="AQ59" s="196" t="str">
        <f xml:space="preserve"> AQ43</f>
        <v>Pound [/lb]</v>
      </c>
    </row>
    <row r="60" spans="1:50" ht="15" customHeight="1">
      <c r="A60" s="104"/>
      <c r="C60" s="227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82"/>
      <c r="E60" s="182"/>
      <c r="F60" s="182"/>
      <c r="G60" s="182"/>
      <c r="H60" s="431" t="s">
        <v>198</v>
      </c>
      <c r="I60" s="432"/>
      <c r="J60" s="383">
        <v>2100</v>
      </c>
      <c r="K60" s="203"/>
      <c r="L60" s="99" t="str">
        <f xml:space="preserve"> IF(L59 &lt;&gt; "", " ←", "")</f>
        <v/>
      </c>
      <c r="N60" s="123"/>
      <c r="O60" s="295"/>
      <c r="P60" s="292"/>
      <c r="T60" s="188"/>
      <c r="V60" s="180"/>
      <c r="Y60" s="159"/>
      <c r="Z60" s="189" t="str">
        <f xml:space="preserve"> Z46</f>
        <v>Imperial ton [t/day]</v>
      </c>
      <c r="AA60" s="159"/>
      <c r="AL60" s="196" t="str">
        <f xml:space="preserve"> AL46</f>
        <v>Imperial ton [/t]</v>
      </c>
      <c r="AQ60" s="196" t="str">
        <f xml:space="preserve"> AQ44</f>
        <v>Imperial ton [/t]</v>
      </c>
    </row>
    <row r="61" spans="1:50" ht="15" hidden="1" customHeight="1">
      <c r="A61" s="104"/>
      <c r="C61" s="29" t="s">
        <v>214</v>
      </c>
      <c r="D61" s="29"/>
      <c r="E61" s="29"/>
      <c r="F61" s="29"/>
      <c r="G61" s="29"/>
      <c r="H61" s="29"/>
      <c r="I61" s="277"/>
      <c r="J61" s="283">
        <f xml:space="preserve"> H98</f>
        <v>55615.21472392638</v>
      </c>
      <c r="K61" s="284"/>
      <c r="L61" s="328"/>
      <c r="N61" s="293"/>
      <c r="O61" s="292"/>
      <c r="P61" s="296"/>
      <c r="Q61" s="228"/>
      <c r="T61" s="123"/>
      <c r="V61" s="107">
        <f xml:space="preserve"> SUM(V57:V59)</f>
        <v>1</v>
      </c>
      <c r="Z61" s="196" t="str">
        <f xml:space="preserve"> Z48</f>
        <v>Imperial gallon [gal/day]</v>
      </c>
      <c r="AL61" s="196" t="str">
        <f xml:space="preserve"> AL48</f>
        <v>Imperial gallon [/gal]</v>
      </c>
    </row>
    <row r="62" spans="1:50" ht="15" customHeight="1">
      <c r="A62" s="104"/>
      <c r="C62" s="402" t="s">
        <v>296</v>
      </c>
      <c r="D62" s="173"/>
      <c r="E62" s="173"/>
      <c r="F62" s="173"/>
      <c r="G62" s="173"/>
      <c r="H62" s="421" t="s">
        <v>222</v>
      </c>
      <c r="I62" s="422"/>
      <c r="J62" s="383"/>
      <c r="K62" s="201"/>
      <c r="L62" s="98"/>
      <c r="N62" s="311"/>
      <c r="O62" s="294"/>
      <c r="P62" s="123"/>
      <c r="Q62" s="228"/>
      <c r="X62" s="180"/>
      <c r="Z62" s="104" t="s">
        <v>159</v>
      </c>
      <c r="AH62" s="104" t="s">
        <v>159</v>
      </c>
      <c r="AL62" s="104" t="s">
        <v>159</v>
      </c>
      <c r="AQ62" s="104" t="s">
        <v>159</v>
      </c>
    </row>
    <row r="63" spans="1:50" ht="15" customHeight="1">
      <c r="A63" s="104"/>
      <c r="C63" s="327" t="s">
        <v>215</v>
      </c>
      <c r="D63" s="182"/>
      <c r="E63" s="182"/>
      <c r="F63" s="182"/>
      <c r="G63" s="182"/>
      <c r="H63" s="423"/>
      <c r="I63" s="424"/>
      <c r="J63" s="384"/>
      <c r="K63" s="205"/>
      <c r="L63" s="30"/>
      <c r="R63" s="282"/>
      <c r="X63" s="180"/>
      <c r="Z63" s="196" t="str">
        <f xml:space="preserve"> Z45</f>
        <v>Pound [lb/day]</v>
      </c>
      <c r="AH63" s="196" t="str">
        <f xml:space="preserve"> AH44</f>
        <v>Pound per US gallon [lb/gal]</v>
      </c>
      <c r="AL63" s="196" t="str">
        <f xml:space="preserve"> AL45</f>
        <v>Pound [/lb]</v>
      </c>
      <c r="AQ63" s="196" t="str">
        <f xml:space="preserve"> AQ43</f>
        <v>Pound [/lb]</v>
      </c>
    </row>
    <row r="64" spans="1:50" ht="15" customHeight="1">
      <c r="A64" s="104"/>
      <c r="C64" s="327" t="s">
        <v>216</v>
      </c>
      <c r="D64" s="182"/>
      <c r="E64" s="182"/>
      <c r="F64" s="182"/>
      <c r="G64" s="182"/>
      <c r="H64" s="423"/>
      <c r="I64" s="424"/>
      <c r="J64" s="385"/>
      <c r="K64" s="207"/>
      <c r="L64" s="30"/>
      <c r="N64" s="252"/>
      <c r="O64" s="211"/>
      <c r="P64" s="233"/>
      <c r="Z64" s="196" t="str">
        <f xml:space="preserve"> Z47</f>
        <v>US short ton [t/day]</v>
      </c>
      <c r="AL64" s="196" t="str">
        <f xml:space="preserve"> AL47</f>
        <v>US short ton [/t]</v>
      </c>
      <c r="AQ64" s="196" t="str">
        <f xml:space="preserve"> AQ45</f>
        <v>US short ton [/t]</v>
      </c>
    </row>
    <row r="65" spans="1:51" ht="15" customHeight="1">
      <c r="A65" s="104"/>
      <c r="C65" s="395" t="s">
        <v>272</v>
      </c>
      <c r="D65" s="182"/>
      <c r="E65" s="182"/>
      <c r="F65" s="182"/>
      <c r="G65" s="182"/>
      <c r="H65" s="425"/>
      <c r="I65" s="426"/>
      <c r="J65" s="386"/>
      <c r="K65" s="88" t="str">
        <f xml:space="preserve"> IF(H109 &gt; 0, "Approx. " &amp; TEXT(H109, "0.000") &amp; " ", "")</f>
        <v/>
      </c>
      <c r="L65" s="253" t="str">
        <f xml:space="preserve"> IF(K65 = "", "", " ← Overwrite this calculated value only, if you have the measured value for the total content of sulfide in the liquid available.")</f>
        <v/>
      </c>
      <c r="O65" s="234"/>
      <c r="P65" s="233"/>
      <c r="Z65" s="196" t="str">
        <f xml:space="preserve"> Z49</f>
        <v>US gallon [gal/day]</v>
      </c>
      <c r="AL65" s="196" t="str">
        <f xml:space="preserve"> AL49</f>
        <v>US gallon [/gal]</v>
      </c>
    </row>
    <row r="66" spans="1:51" ht="15" hidden="1" customHeight="1">
      <c r="A66" s="104"/>
      <c r="C66" s="29" t="s">
        <v>212</v>
      </c>
      <c r="D66" s="29"/>
      <c r="E66" s="29"/>
      <c r="F66" s="29"/>
      <c r="G66" s="29"/>
      <c r="H66" s="279"/>
      <c r="I66" s="286"/>
      <c r="J66" s="283">
        <f xml:space="preserve"> H110</f>
        <v>0</v>
      </c>
      <c r="K66" s="285"/>
      <c r="L66" s="328"/>
      <c r="N66" s="95"/>
      <c r="O66" s="95"/>
      <c r="P66" s="95"/>
      <c r="Q66" s="228"/>
    </row>
    <row r="67" spans="1:51" ht="15" customHeight="1">
      <c r="A67" s="104"/>
      <c r="C67" s="396" t="s">
        <v>227</v>
      </c>
      <c r="D67" s="182"/>
      <c r="E67" s="182"/>
      <c r="F67" s="182"/>
      <c r="G67" s="182"/>
      <c r="H67" s="182"/>
      <c r="I67" s="131"/>
      <c r="J67" s="383">
        <v>1.7</v>
      </c>
      <c r="K67" s="87"/>
      <c r="L67" s="104" t="str">
        <f xml:space="preserve"> IF(L59 &lt;&gt; "", " ←", IF(AND(ISNUMBER(J67), J67 &lt;= 1), " Recommendation: Use a value greater than 1 for β; See footnote A.", ""))</f>
        <v/>
      </c>
      <c r="N67" s="258"/>
      <c r="O67" s="258"/>
      <c r="P67" s="258"/>
      <c r="Q67" s="287"/>
      <c r="R67" s="258"/>
      <c r="S67" s="258"/>
    </row>
    <row r="68" spans="1:51" s="95" customFormat="1" ht="12" customHeight="1">
      <c r="C68" s="94" t="s">
        <v>221</v>
      </c>
      <c r="D68" s="312"/>
      <c r="E68" s="312"/>
      <c r="G68" s="332"/>
      <c r="H68" s="332"/>
      <c r="I68" s="332"/>
      <c r="J68" s="332"/>
      <c r="K68" s="332"/>
      <c r="L68" s="332"/>
      <c r="O68" s="313"/>
    </row>
    <row r="69" spans="1:51" s="95" customFormat="1" ht="8.1" customHeight="1">
      <c r="C69" s="94"/>
      <c r="D69" s="312"/>
      <c r="E69" s="312"/>
      <c r="G69" s="332"/>
      <c r="H69" s="332"/>
      <c r="I69" s="332"/>
      <c r="J69" s="332"/>
      <c r="K69" s="332"/>
      <c r="L69" s="332"/>
      <c r="O69" s="313"/>
    </row>
    <row r="70" spans="1:51" s="95" customFormat="1" ht="15" customHeight="1">
      <c r="A70" s="104"/>
      <c r="B70" s="104"/>
      <c r="C70" s="211"/>
      <c r="D70" s="31"/>
      <c r="E70" s="31"/>
      <c r="F70" s="211"/>
      <c r="G70" s="35" t="str">
        <f xml:space="preserve"> G18</f>
        <v>My_Fe(OH)₃_Additive</v>
      </c>
      <c r="H70" s="35"/>
      <c r="I70" s="104"/>
      <c r="J70" s="38" t="str">
        <f xml:space="preserve"> U13</f>
        <v>SBGx by SwissBiogas.com</v>
      </c>
      <c r="K70" s="38"/>
      <c r="L70" s="210"/>
      <c r="M70" s="104"/>
      <c r="N70" s="258"/>
      <c r="O70" s="255"/>
      <c r="P70" s="255"/>
      <c r="Q70" s="256"/>
      <c r="R70" s="256"/>
      <c r="S70" s="257"/>
    </row>
    <row r="71" spans="1:51" s="95" customFormat="1" ht="15" customHeight="1">
      <c r="A71" s="104"/>
      <c r="B71" s="104"/>
      <c r="C71" s="72" t="s">
        <v>63</v>
      </c>
      <c r="D71" s="72" t="s">
        <v>200</v>
      </c>
      <c r="E71" s="72"/>
      <c r="F71" s="178"/>
      <c r="G71" s="325">
        <f xml:space="preserve"> IF(V28 &gt; 0, H114 / V28 * 100 / 1000, 0)</f>
        <v>456.11388809815952</v>
      </c>
      <c r="H71" s="310"/>
      <c r="I71" s="104"/>
      <c r="J71" s="326">
        <f xml:space="preserve"> H114 / X28 * 100 / 1000</f>
        <v>244.47033167290579</v>
      </c>
      <c r="K71" s="77"/>
      <c r="L71" s="210"/>
      <c r="M71" s="104"/>
      <c r="N71" s="104"/>
      <c r="O71" s="104"/>
      <c r="P71" s="104"/>
      <c r="Q71" s="104"/>
      <c r="R71" s="104"/>
      <c r="S71" s="104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</row>
    <row r="72" spans="1:51" s="95" customFormat="1" ht="8.1" customHeight="1">
      <c r="C72" s="104"/>
      <c r="D72" s="20"/>
      <c r="E72" s="20"/>
      <c r="F72" s="123"/>
      <c r="G72" s="36"/>
      <c r="H72" s="43"/>
      <c r="I72" s="104"/>
      <c r="J72" s="91"/>
      <c r="K72" s="68"/>
      <c r="L72" s="226"/>
      <c r="M72" s="104"/>
      <c r="O72" s="255"/>
      <c r="P72" s="255"/>
      <c r="Q72" s="255"/>
      <c r="R72" s="255"/>
      <c r="S72" s="255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</row>
    <row r="73" spans="1:51" ht="15" customHeight="1">
      <c r="A73" s="411"/>
      <c r="B73" s="243"/>
      <c r="C73" s="387"/>
      <c r="D73" s="244"/>
      <c r="E73" s="244"/>
      <c r="F73" s="243"/>
      <c r="G73" s="243"/>
      <c r="H73" s="240"/>
      <c r="I73" s="243"/>
      <c r="J73" s="243"/>
      <c r="K73" s="243"/>
      <c r="L73" s="243"/>
      <c r="M73" s="243"/>
      <c r="N73" s="241"/>
      <c r="O73" s="243"/>
      <c r="P73" s="241"/>
      <c r="Q73" s="241"/>
      <c r="R73" s="241"/>
      <c r="S73" s="241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</row>
    <row r="74" spans="1:51" ht="15" customHeight="1">
      <c r="A74" s="411"/>
      <c r="B74" s="243"/>
      <c r="C74" s="433" t="s">
        <v>253</v>
      </c>
      <c r="D74" s="433"/>
      <c r="E74" s="433"/>
      <c r="F74" s="433"/>
      <c r="G74" s="433"/>
      <c r="H74" s="240"/>
      <c r="I74" s="243"/>
      <c r="J74" s="243"/>
      <c r="K74" s="243"/>
      <c r="L74" s="247" t="s">
        <v>48</v>
      </c>
      <c r="M74" s="243"/>
      <c r="O74" s="243"/>
      <c r="P74" s="241"/>
      <c r="Q74" s="241"/>
      <c r="R74" s="241"/>
      <c r="S74" s="241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</row>
    <row r="75" spans="1:51" ht="15" customHeight="1">
      <c r="A75" s="411"/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9"/>
      <c r="M75" s="248"/>
      <c r="N75" s="249"/>
      <c r="O75" s="248"/>
      <c r="P75" s="249"/>
      <c r="Q75" s="249"/>
      <c r="R75" s="249"/>
      <c r="S75" s="249"/>
    </row>
    <row r="76" spans="1:51" s="95" customFormat="1" ht="15" customHeight="1">
      <c r="A76" s="241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</row>
    <row r="77" spans="1:51" s="241" customFormat="1" ht="15" customHeight="1"/>
    <row r="78" spans="1:51" s="241" customFormat="1" ht="15" customHeight="1"/>
    <row r="79" spans="1:51" s="241" customFormat="1" ht="15" customHeight="1"/>
    <row r="80" spans="1:51" s="241" customFormat="1" ht="15" customHeight="1"/>
    <row r="81" spans="1:19" s="241" customFormat="1" ht="15" customHeight="1"/>
    <row r="82" spans="1:19" s="241" customFormat="1" ht="15" customHeight="1"/>
    <row r="83" spans="1:19" s="241" customFormat="1" ht="15" customHeight="1">
      <c r="A83" s="411"/>
      <c r="B83" s="243"/>
      <c r="H83" s="239"/>
      <c r="M83" s="243"/>
      <c r="N83" s="243"/>
      <c r="O83" s="243"/>
    </row>
    <row r="84" spans="1:19" s="241" customFormat="1" ht="15" customHeight="1">
      <c r="A84" s="411"/>
    </row>
    <row r="85" spans="1:19" s="241" customFormat="1" ht="15" customHeight="1">
      <c r="A85" s="411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6"/>
      <c r="Q85" s="246"/>
      <c r="R85" s="246"/>
      <c r="S85" s="246"/>
    </row>
    <row r="86" spans="1:19" s="241" customFormat="1" ht="15" customHeight="1">
      <c r="A86" s="412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5"/>
      <c r="Q86" s="235"/>
      <c r="R86" s="235"/>
      <c r="S86" s="235"/>
    </row>
    <row r="87" spans="1:19" s="241" customFormat="1" ht="15" customHeight="1">
      <c r="A87" s="412"/>
      <c r="B87" s="232"/>
      <c r="C87" s="413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5"/>
      <c r="Q87" s="235"/>
      <c r="R87" s="235"/>
      <c r="S87" s="235"/>
    </row>
    <row r="88" spans="1:19" s="241" customFormat="1" ht="15" hidden="1" customHeight="1">
      <c r="A88" s="412"/>
      <c r="B88" s="232"/>
      <c r="C88" s="405" t="s">
        <v>299</v>
      </c>
      <c r="D88" s="232"/>
      <c r="E88" s="232"/>
      <c r="F88" s="232"/>
      <c r="G88" s="232"/>
      <c r="H88" s="414" t="s">
        <v>300</v>
      </c>
      <c r="I88" s="232"/>
      <c r="J88" s="232"/>
      <c r="K88" s="232"/>
      <c r="L88" s="232"/>
      <c r="M88" s="232"/>
      <c r="N88" s="232"/>
      <c r="O88" s="232"/>
      <c r="P88" s="235"/>
      <c r="Q88" s="235"/>
      <c r="R88" s="235"/>
      <c r="S88" s="235"/>
    </row>
    <row r="89" spans="1:19" s="241" customFormat="1" ht="15" hidden="1" customHeight="1">
      <c r="A89" s="412"/>
      <c r="B89" s="232"/>
      <c r="C89" s="413"/>
      <c r="D89" s="232"/>
      <c r="E89" s="232"/>
      <c r="F89" s="232"/>
      <c r="G89" s="232"/>
      <c r="H89" s="408" t="s">
        <v>301</v>
      </c>
      <c r="I89" s="232"/>
      <c r="J89" s="232"/>
      <c r="K89" s="232"/>
      <c r="L89" s="235"/>
      <c r="M89" s="232"/>
      <c r="N89" s="232"/>
      <c r="O89" s="232"/>
      <c r="P89" s="235"/>
      <c r="Q89" s="235"/>
      <c r="R89" s="235"/>
      <c r="S89" s="235"/>
    </row>
    <row r="90" spans="1:19" s="241" customFormat="1" ht="15" hidden="1" customHeight="1">
      <c r="A90" s="412"/>
      <c r="B90" s="413"/>
      <c r="C90" s="237"/>
      <c r="D90" s="237"/>
      <c r="E90" s="237"/>
      <c r="F90" s="237"/>
      <c r="G90" s="237"/>
      <c r="H90" s="408" t="s">
        <v>302</v>
      </c>
      <c r="I90" s="237"/>
      <c r="J90" s="237"/>
      <c r="K90" s="237"/>
      <c r="L90" s="238"/>
      <c r="M90" s="237"/>
      <c r="N90" s="237"/>
      <c r="O90" s="237"/>
      <c r="P90" s="238"/>
      <c r="Q90" s="238"/>
      <c r="R90" s="238"/>
      <c r="S90" s="238"/>
    </row>
    <row r="91" spans="1:19" s="241" customFormat="1" ht="15" hidden="1" customHeight="1">
      <c r="A91" s="41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5"/>
      <c r="Q91" s="235"/>
      <c r="R91" s="235"/>
      <c r="S91" s="235"/>
    </row>
    <row r="92" spans="1:19" s="241" customFormat="1" ht="15" hidden="1" customHeight="1">
      <c r="A92" s="412"/>
      <c r="B92" s="232"/>
      <c r="C92" s="289" t="s">
        <v>196</v>
      </c>
      <c r="D92" s="232"/>
      <c r="E92" s="232"/>
      <c r="F92" s="232"/>
      <c r="G92" s="232"/>
      <c r="H92" s="290" t="s">
        <v>198</v>
      </c>
      <c r="I92" s="232"/>
      <c r="J92" s="232"/>
      <c r="K92" s="232"/>
      <c r="L92" s="232"/>
      <c r="M92" s="232"/>
      <c r="N92" s="232"/>
      <c r="O92" s="232"/>
      <c r="P92" s="235"/>
      <c r="Q92" s="235"/>
      <c r="R92" s="235"/>
      <c r="S92" s="235"/>
    </row>
    <row r="93" spans="1:19" s="241" customFormat="1" ht="15" hidden="1" customHeight="1">
      <c r="A93" s="412"/>
      <c r="B93" s="232"/>
      <c r="C93" s="235"/>
      <c r="D93" s="235"/>
      <c r="E93" s="235"/>
      <c r="F93" s="232"/>
      <c r="G93" s="232"/>
      <c r="H93" s="290" t="s">
        <v>197</v>
      </c>
      <c r="I93" s="232"/>
      <c r="J93" s="232"/>
      <c r="K93" s="232"/>
      <c r="L93" s="235"/>
      <c r="M93" s="232"/>
      <c r="N93" s="232"/>
      <c r="O93" s="232"/>
      <c r="P93" s="235"/>
      <c r="Q93" s="235"/>
      <c r="R93" s="235"/>
      <c r="S93" s="235"/>
    </row>
    <row r="94" spans="1:19" s="241" customFormat="1" ht="15" hidden="1" customHeight="1">
      <c r="A94" s="412"/>
      <c r="B94" s="232"/>
      <c r="C94" s="238"/>
      <c r="D94" s="238"/>
      <c r="E94" s="238"/>
      <c r="F94" s="237"/>
      <c r="G94" s="237"/>
      <c r="H94" s="232"/>
      <c r="I94" s="232"/>
      <c r="J94" s="232"/>
      <c r="K94" s="232"/>
      <c r="L94" s="232"/>
      <c r="M94" s="232"/>
      <c r="N94" s="232"/>
      <c r="O94" s="232"/>
      <c r="P94" s="235"/>
      <c r="Q94" s="235"/>
      <c r="R94" s="235"/>
      <c r="S94" s="235"/>
    </row>
    <row r="95" spans="1:19" s="241" customFormat="1" ht="15" hidden="1" customHeight="1">
      <c r="A95" s="159"/>
      <c r="B95" s="199"/>
      <c r="C95" s="198" t="s">
        <v>32</v>
      </c>
      <c r="D95" s="115"/>
      <c r="E95" s="115"/>
      <c r="F95" s="115"/>
      <c r="G95" s="115"/>
      <c r="H95" s="397">
        <v>55.844999999999999</v>
      </c>
      <c r="I95" s="104"/>
      <c r="J95" s="208"/>
      <c r="K95" s="208"/>
      <c r="L95" s="199"/>
      <c r="M95" s="199"/>
      <c r="N95" s="199"/>
      <c r="O95" s="199"/>
      <c r="P95" s="104"/>
      <c r="Q95" s="104"/>
      <c r="R95" s="104"/>
      <c r="S95" s="104"/>
    </row>
    <row r="96" spans="1:19" s="235" customFormat="1" ht="15" hidden="1" customHeight="1">
      <c r="A96" s="159"/>
      <c r="B96" s="199"/>
      <c r="C96" s="271" t="s">
        <v>181</v>
      </c>
      <c r="D96" s="115"/>
      <c r="E96" s="115"/>
      <c r="F96" s="115"/>
      <c r="G96" s="115"/>
      <c r="H96" s="397">
        <v>34.08</v>
      </c>
      <c r="I96" s="104"/>
      <c r="J96" s="229" t="s">
        <v>182</v>
      </c>
      <c r="K96" s="208"/>
      <c r="L96" s="199"/>
      <c r="M96" s="199"/>
      <c r="N96" s="199"/>
      <c r="O96" s="199"/>
      <c r="P96" s="104"/>
      <c r="Q96" s="104"/>
      <c r="R96" s="104"/>
      <c r="S96" s="104"/>
    </row>
    <row r="97" spans="1:19" s="235" customFormat="1" ht="15" hidden="1" customHeight="1">
      <c r="A97" s="159"/>
      <c r="B97" s="199"/>
      <c r="C97" s="272" t="s">
        <v>184</v>
      </c>
      <c r="D97" s="115"/>
      <c r="E97" s="115"/>
      <c r="F97" s="115"/>
      <c r="G97" s="115"/>
      <c r="H97" s="397">
        <v>24.45</v>
      </c>
      <c r="I97" s="104"/>
      <c r="J97" s="316" t="s">
        <v>183</v>
      </c>
      <c r="K97" s="208"/>
      <c r="L97" s="199"/>
      <c r="M97" s="199"/>
      <c r="N97" s="199"/>
      <c r="O97" s="199"/>
      <c r="P97" s="104"/>
      <c r="Q97" s="104"/>
      <c r="R97" s="104"/>
      <c r="S97" s="104"/>
    </row>
    <row r="98" spans="1:19" s="235" customFormat="1" ht="15" hidden="1" customHeight="1">
      <c r="A98" s="159"/>
      <c r="B98" s="104"/>
      <c r="C98" s="260" t="s">
        <v>193</v>
      </c>
      <c r="D98" s="104"/>
      <c r="E98" s="104"/>
      <c r="F98" s="104"/>
      <c r="G98" s="104"/>
      <c r="H98" s="278">
        <f xml:space="preserve"> IF(H60 = H93, H97 * J60 / H96, J60) / 1000 / H97 * H96 * IF(H59 = H89, J59 * X48 / 1000, IF(H59 = H90, J59 * X49 / 1000, J59))</f>
        <v>55615.21472392638</v>
      </c>
      <c r="I98" s="104"/>
      <c r="J98" s="104"/>
      <c r="K98" s="104"/>
      <c r="L98" s="288" t="s">
        <v>195</v>
      </c>
      <c r="M98" s="104"/>
      <c r="N98" s="104"/>
      <c r="O98" s="104"/>
      <c r="P98" s="104"/>
      <c r="Q98" s="104"/>
      <c r="R98" s="104"/>
      <c r="S98" s="104"/>
    </row>
    <row r="99" spans="1:19" s="235" customFormat="1" ht="15" hidden="1" customHeight="1">
      <c r="A99" s="159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</row>
    <row r="100" spans="1:19" s="235" customFormat="1" ht="15" hidden="1" customHeight="1">
      <c r="A100" s="159"/>
      <c r="B100" s="199"/>
      <c r="C100" s="198" t="s">
        <v>33</v>
      </c>
      <c r="D100" s="115"/>
      <c r="E100" s="115"/>
      <c r="F100" s="115"/>
      <c r="G100" s="115"/>
      <c r="H100" s="213">
        <f xml:space="preserve"> IF(J64 &gt; 0, 10 ^ -J64, 0)</f>
        <v>0</v>
      </c>
      <c r="I100" s="104"/>
      <c r="J100" s="214"/>
      <c r="K100" s="199"/>
      <c r="L100" s="199"/>
      <c r="M100" s="199"/>
      <c r="N100" s="199"/>
      <c r="O100" s="199"/>
      <c r="P100" s="104"/>
      <c r="Q100" s="104"/>
      <c r="R100" s="104"/>
      <c r="S100" s="104"/>
    </row>
    <row r="101" spans="1:19" s="235" customFormat="1" ht="15" hidden="1" customHeight="1">
      <c r="A101" s="159"/>
      <c r="B101" s="199"/>
      <c r="C101" s="198" t="s">
        <v>34</v>
      </c>
      <c r="D101" s="115"/>
      <c r="E101" s="115"/>
      <c r="F101" s="115"/>
      <c r="G101" s="115"/>
      <c r="H101" s="213">
        <f xml:space="preserve"> IF(J63 &gt; 0, 10 ^ -(1351.9 / (J63 + 273.15) + 0.0992 + 0.00792 * (J63 + 273.15)), 0)</f>
        <v>0</v>
      </c>
      <c r="I101" s="104"/>
      <c r="J101" s="199"/>
      <c r="K101" s="199"/>
      <c r="L101" s="199"/>
      <c r="M101" s="199"/>
      <c r="N101" s="199"/>
      <c r="O101" s="199"/>
      <c r="P101" s="104"/>
      <c r="Q101" s="104"/>
      <c r="R101" s="104"/>
      <c r="S101" s="104"/>
    </row>
    <row r="102" spans="1:19" s="235" customFormat="1" ht="15" hidden="1" customHeight="1">
      <c r="A102" s="159"/>
      <c r="B102" s="199"/>
      <c r="C102" s="198" t="s">
        <v>35</v>
      </c>
      <c r="D102" s="115"/>
      <c r="E102" s="115"/>
      <c r="F102" s="115"/>
      <c r="G102" s="115"/>
      <c r="H102" s="215">
        <f xml:space="preserve"> 10 ^ -11.96</f>
        <v>1.0964781961431817E-12</v>
      </c>
      <c r="I102" s="104"/>
      <c r="J102" s="154"/>
      <c r="K102" s="154"/>
      <c r="L102" s="199"/>
      <c r="M102" s="199"/>
      <c r="N102" s="199"/>
      <c r="O102" s="199"/>
      <c r="P102" s="104"/>
      <c r="Q102" s="104"/>
      <c r="R102" s="104"/>
      <c r="S102" s="104"/>
    </row>
    <row r="103" spans="1:19" s="235" customFormat="1" ht="15" hidden="1" customHeight="1">
      <c r="A103" s="159"/>
      <c r="B103" s="199"/>
      <c r="C103" s="198" t="s">
        <v>180</v>
      </c>
      <c r="D103" s="115"/>
      <c r="E103" s="115"/>
      <c r="F103" s="115"/>
      <c r="G103" s="115"/>
      <c r="H103" s="213">
        <f xml:space="preserve"> IF(H101 * H100 &gt; 0, (1 + H101 / H100 + H101 * H102 / H100 ^ 2) ^ -1, 0)</f>
        <v>0</v>
      </c>
      <c r="I103" s="104"/>
      <c r="J103" s="154"/>
      <c r="K103" s="154"/>
      <c r="L103" s="199"/>
      <c r="M103" s="199"/>
      <c r="N103" s="199"/>
      <c r="O103" s="199"/>
      <c r="P103" s="104"/>
      <c r="Q103" s="104"/>
      <c r="R103" s="104"/>
      <c r="S103" s="104"/>
    </row>
    <row r="104" spans="1:19" s="235" customFormat="1" ht="15" hidden="1" customHeight="1">
      <c r="A104" s="159"/>
      <c r="B104" s="199"/>
      <c r="C104" s="273" t="s">
        <v>191</v>
      </c>
      <c r="D104" s="115"/>
      <c r="E104" s="115"/>
      <c r="F104" s="115"/>
      <c r="G104" s="115"/>
      <c r="H104" s="213">
        <f xml:space="preserve"> IF(H103 &gt; 0, H101 / H100 * H103, 0)</f>
        <v>0</v>
      </c>
      <c r="I104" s="104"/>
      <c r="J104" s="250" t="s">
        <v>185</v>
      </c>
      <c r="K104" s="216"/>
      <c r="L104" s="217"/>
      <c r="M104" s="217"/>
      <c r="N104" s="217"/>
      <c r="O104" s="217"/>
      <c r="P104" s="105"/>
      <c r="Q104" s="105"/>
      <c r="R104" s="105"/>
      <c r="S104" s="104"/>
    </row>
    <row r="105" spans="1:19" ht="15" hidden="1" customHeight="1">
      <c r="B105" s="199"/>
      <c r="C105" s="273" t="s">
        <v>192</v>
      </c>
      <c r="D105" s="115"/>
      <c r="E105" s="115"/>
      <c r="F105" s="115"/>
      <c r="G105" s="276"/>
      <c r="H105" s="213" t="e">
        <f xml:space="preserve"> H101 * H102 / H100 ^ 2 * H103</f>
        <v>#DIV/0!</v>
      </c>
      <c r="J105" s="415" t="s">
        <v>178</v>
      </c>
      <c r="K105" s="216"/>
      <c r="L105" s="217"/>
      <c r="M105" s="217"/>
      <c r="N105" s="217"/>
      <c r="O105" s="217"/>
      <c r="P105" s="105"/>
      <c r="Q105" s="105"/>
      <c r="R105" s="105"/>
    </row>
    <row r="106" spans="1:19" ht="15" hidden="1" customHeight="1">
      <c r="B106" s="199"/>
      <c r="C106" s="274" t="s">
        <v>170</v>
      </c>
      <c r="D106" s="275"/>
      <c r="E106" s="275"/>
      <c r="F106" s="275"/>
      <c r="G106" s="275"/>
      <c r="H106" s="266"/>
      <c r="J106" s="154"/>
      <c r="K106" s="154"/>
      <c r="L106" s="199"/>
      <c r="M106" s="199"/>
      <c r="N106" s="199"/>
      <c r="O106" s="199"/>
    </row>
    <row r="107" spans="1:19" ht="15" hidden="1" customHeight="1">
      <c r="B107" s="199"/>
      <c r="C107" s="198" t="s">
        <v>36</v>
      </c>
      <c r="G107" s="199"/>
      <c r="H107" s="198"/>
      <c r="I107" s="199"/>
    </row>
    <row r="108" spans="1:19" ht="15" hidden="1" customHeight="1">
      <c r="B108" s="199"/>
      <c r="C108" s="218" t="s">
        <v>37</v>
      </c>
      <c r="G108" s="199"/>
      <c r="H108" s="199"/>
      <c r="I108" s="199"/>
    </row>
    <row r="109" spans="1:19" ht="15" hidden="1" customHeight="1">
      <c r="B109" s="199"/>
      <c r="C109" s="218" t="s">
        <v>171</v>
      </c>
      <c r="H109" s="213">
        <f xml:space="preserve"> IF(J60 * H103 &gt; 0, EXP((LN(J60) - 6.42) / 0.78) / H103, 0)</f>
        <v>0</v>
      </c>
      <c r="J109" s="219"/>
      <c r="K109" s="219"/>
      <c r="O109" s="199"/>
    </row>
    <row r="110" spans="1:19" ht="15" hidden="1" customHeight="1">
      <c r="B110" s="199"/>
      <c r="C110" s="280" t="s">
        <v>194</v>
      </c>
      <c r="D110" s="220"/>
      <c r="E110" s="220"/>
      <c r="F110" s="220"/>
      <c r="G110" s="220"/>
      <c r="H110" s="278">
        <f xml:space="preserve"> IF(ISNUMBER(J65), J65, H109) * J62</f>
        <v>0</v>
      </c>
      <c r="M110" s="219"/>
      <c r="N110" s="231"/>
      <c r="O110" s="199"/>
    </row>
    <row r="111" spans="1:19" ht="15" hidden="1" customHeight="1">
      <c r="B111" s="199"/>
      <c r="C111" s="199"/>
    </row>
    <row r="112" spans="1:19" ht="15" hidden="1" customHeight="1">
      <c r="B112" s="199"/>
      <c r="C112" s="199"/>
    </row>
    <row r="113" spans="2:15" ht="15" hidden="1" customHeight="1">
      <c r="B113" s="199"/>
      <c r="C113" s="329" t="s">
        <v>220</v>
      </c>
      <c r="H113" s="221">
        <f xml:space="preserve"> IF( H98 &gt; 0, H95 / H96 * (H98 + H110), 0)</f>
        <v>91133.5582822086</v>
      </c>
      <c r="L113" s="265" t="s">
        <v>189</v>
      </c>
    </row>
    <row r="114" spans="2:15" ht="15" hidden="1" customHeight="1">
      <c r="B114" s="199"/>
      <c r="C114" s="267" t="s">
        <v>219</v>
      </c>
      <c r="D114" s="268"/>
      <c r="E114" s="268"/>
      <c r="F114" s="268"/>
      <c r="G114" s="268"/>
      <c r="H114" s="221">
        <f xml:space="preserve"> IF(AND(J67 &gt; 0, H98 &gt; 0), J67 * H95 / H96 * (H98 + H110), 0)</f>
        <v>154927.04907975459</v>
      </c>
      <c r="J114" s="230"/>
      <c r="K114" s="199"/>
      <c r="L114" s="263">
        <f xml:space="preserve"> J60 / 1000 / H97 * H96 * J59</f>
        <v>55615.21472392638</v>
      </c>
      <c r="M114" s="199"/>
      <c r="N114" s="261" t="s">
        <v>187</v>
      </c>
      <c r="O114" s="199"/>
    </row>
    <row r="115" spans="2:15" ht="15" hidden="1" customHeight="1">
      <c r="B115" s="199"/>
      <c r="C115" s="269" t="s">
        <v>188</v>
      </c>
      <c r="D115" s="211"/>
      <c r="E115" s="211"/>
      <c r="F115" s="211"/>
      <c r="G115" s="211"/>
      <c r="H115" s="212"/>
      <c r="J115" s="199"/>
      <c r="K115" s="199"/>
      <c r="L115" s="264">
        <f xml:space="preserve"> J67 * H95 / H96 * L114</f>
        <v>154927.04907975459</v>
      </c>
      <c r="M115" s="199"/>
      <c r="N115" s="261" t="s">
        <v>190</v>
      </c>
      <c r="O115" s="199"/>
    </row>
    <row r="116" spans="2:15" ht="15" hidden="1" customHeight="1">
      <c r="B116" s="199"/>
      <c r="C116" s="219"/>
      <c r="D116" s="211"/>
      <c r="E116" s="211"/>
      <c r="F116" s="211"/>
      <c r="G116" s="270" t="s">
        <v>186</v>
      </c>
      <c r="H116" s="259">
        <f xml:space="preserve"> (IF(AND(ISNUMBER(J65), J65 &gt; 0), J65, H109) * J62 + J60 / 1000 / H97 * H96 * J59)</f>
        <v>55615.21472392638</v>
      </c>
      <c r="J116" s="199"/>
      <c r="K116" s="199"/>
      <c r="O116" s="199"/>
    </row>
    <row r="117" spans="2:15" ht="15" hidden="1" customHeight="1">
      <c r="B117" s="199"/>
      <c r="C117" s="219"/>
      <c r="D117" s="211"/>
      <c r="E117" s="211"/>
      <c r="F117" s="211"/>
      <c r="G117" s="211"/>
      <c r="H117" s="199"/>
      <c r="J117" s="199"/>
      <c r="K117" s="199"/>
      <c r="O117" s="199"/>
    </row>
    <row r="118" spans="2:15" ht="15" hidden="1" customHeight="1">
      <c r="B118" s="199"/>
      <c r="C118" s="199"/>
      <c r="H118" s="199"/>
      <c r="J118" s="199"/>
      <c r="K118" s="199"/>
      <c r="L118" s="199"/>
      <c r="M118" s="199"/>
      <c r="N118" s="199"/>
      <c r="O118" s="199"/>
    </row>
    <row r="119" spans="2:15" ht="18" hidden="1" customHeight="1">
      <c r="B119" s="199"/>
      <c r="C119" s="199" t="s">
        <v>38</v>
      </c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</row>
    <row r="120" spans="2:15" ht="18" hidden="1" customHeight="1">
      <c r="B120" s="199"/>
      <c r="C120" s="199" t="s">
        <v>39</v>
      </c>
      <c r="D120" s="222"/>
      <c r="E120" s="222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</row>
    <row r="121" spans="2:15" ht="15" hidden="1" customHeight="1">
      <c r="B121" s="199"/>
      <c r="C121" s="199" t="s">
        <v>40</v>
      </c>
      <c r="D121" s="223"/>
      <c r="E121" s="223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</row>
    <row r="122" spans="2:15" ht="15" hidden="1" customHeight="1">
      <c r="B122" s="199"/>
      <c r="C122" s="199"/>
      <c r="D122" s="212"/>
      <c r="E122" s="212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</row>
    <row r="123" spans="2:15" ht="15" hidden="1" customHeight="1">
      <c r="B123" s="159"/>
      <c r="C123" s="212" t="s">
        <v>41</v>
      </c>
      <c r="D123" s="212"/>
      <c r="E123" s="212"/>
      <c r="F123" s="199"/>
      <c r="G123" s="199"/>
      <c r="H123" s="199"/>
      <c r="I123" s="199"/>
      <c r="J123" s="199"/>
      <c r="K123" s="199"/>
      <c r="L123" s="159"/>
      <c r="M123" s="159"/>
      <c r="N123" s="159"/>
      <c r="O123" s="159"/>
    </row>
    <row r="124" spans="2:15" ht="15" hidden="1" customHeight="1">
      <c r="B124" s="159"/>
      <c r="C124" s="224" t="s">
        <v>42</v>
      </c>
      <c r="D124" s="199"/>
      <c r="E124" s="199"/>
      <c r="F124" s="199"/>
      <c r="G124" s="199"/>
      <c r="H124" s="199"/>
      <c r="I124" s="199"/>
      <c r="J124" s="159"/>
      <c r="K124" s="159"/>
      <c r="L124" s="159"/>
      <c r="M124" s="159"/>
      <c r="N124" s="159"/>
      <c r="O124" s="159"/>
    </row>
    <row r="125" spans="2:15" ht="18" hidden="1" customHeight="1">
      <c r="B125" s="159"/>
      <c r="C125" s="199" t="s">
        <v>43</v>
      </c>
      <c r="D125" s="212"/>
      <c r="E125" s="212"/>
      <c r="F125" s="199"/>
      <c r="G125" s="159"/>
      <c r="H125" s="199"/>
      <c r="I125" s="199"/>
      <c r="J125" s="159"/>
      <c r="K125" s="159"/>
      <c r="L125" s="159"/>
      <c r="M125" s="159"/>
      <c r="N125" s="159"/>
      <c r="O125" s="159"/>
    </row>
    <row r="126" spans="2:15" ht="15" hidden="1" customHeight="1">
      <c r="B126" s="159"/>
      <c r="C126" s="224" t="s">
        <v>44</v>
      </c>
      <c r="D126" s="180"/>
      <c r="E126" s="180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</row>
    <row r="127" spans="2:15" ht="15" hidden="1" customHeight="1">
      <c r="B127" s="159"/>
      <c r="C127" s="199" t="s">
        <v>45</v>
      </c>
      <c r="D127" s="180"/>
      <c r="E127" s="180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</row>
    <row r="128" spans="2:15" ht="15" hidden="1" customHeight="1">
      <c r="B128" s="159"/>
      <c r="C128" s="16" t="s">
        <v>46</v>
      </c>
      <c r="D128" s="180"/>
      <c r="E128" s="180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</row>
    <row r="129" spans="2:15" ht="15" hidden="1" customHeight="1">
      <c r="B129" s="159"/>
      <c r="C129" s="199" t="s">
        <v>47</v>
      </c>
      <c r="D129" s="180"/>
      <c r="E129" s="180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17" priority="5">
      <formula xml:space="preserve"> NOT(N20 = "")</formula>
    </cfRule>
  </conditionalFormatting>
  <conditionalFormatting sqref="J59:J60 J62:J65 J67">
    <cfRule type="expression" dxfId="16" priority="4">
      <formula xml:space="preserve"> AND(MOD(J59 * 1000000, 100) &gt; 0.99, MOD(J59 * 1000000, 100) &lt; 1.01)</formula>
    </cfRule>
  </conditionalFormatting>
  <conditionalFormatting sqref="J52">
    <cfRule type="expression" dxfId="15" priority="3">
      <formula xml:space="preserve"> NOT($L$52 = "")</formula>
    </cfRule>
  </conditionalFormatting>
  <conditionalFormatting sqref="G49">
    <cfRule type="expression" dxfId="14" priority="6">
      <formula xml:space="preserve"> OR(NOT($AB$51), ISBLANK($F$48))</formula>
    </cfRule>
  </conditionalFormatting>
  <conditionalFormatting sqref="C65">
    <cfRule type="expression" dxfId="13" priority="2">
      <formula xml:space="preserve"> AND(ISBLANK($J$65), K65 = "")</formula>
    </cfRule>
  </conditionalFormatting>
  <conditionalFormatting sqref="L67">
    <cfRule type="expression" dxfId="12" priority="1">
      <formula>$L$59 &lt;&gt; ""</formula>
    </cfRule>
  </conditionalFormatting>
  <dataValidations count="8">
    <dataValidation type="list" allowBlank="1" showInputMessage="1" showErrorMessage="1" sqref="H59:I59">
      <formula1>$H$88:$H$90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list" allowBlank="1" showInputMessage="1" showErrorMessage="1" sqref="H60">
      <formula1>$H$92:$H$93</formula1>
    </dataValidation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InputMessage="1" showErrorMessage="1" sqref="F46">
      <formula1>$T$57:$T$59</formula1>
    </dataValidation>
    <dataValidation type="list" allowBlank="1" showInputMessage="1" showErrorMessage="1" errorTitle="Invalit timeframe" error="Please select one of the timeframes offered in the list box." sqref="L55:L56">
      <formula1>$AU$41:$AU$44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horizontalDpi="0" verticalDpi="0" r:id="rId6"/>
  <drawing r:id="rId7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workbookViewId="0">
      <selection activeCell="A16" sqref="A16"/>
    </sheetView>
  </sheetViews>
  <sheetFormatPr defaultRowHeight="15"/>
  <cols>
    <col min="1" max="1" width="1.625" style="159" customWidth="1"/>
    <col min="2" max="2" width="2.125" style="104" customWidth="1"/>
    <col min="3" max="3" width="10.125" style="104" customWidth="1"/>
    <col min="4" max="4" width="16.25" style="104" customWidth="1"/>
    <col min="5" max="5" width="0.125" style="104" customWidth="1"/>
    <col min="6" max="6" width="26.75" style="104" customWidth="1"/>
    <col min="7" max="7" width="12.625" style="104" customWidth="1"/>
    <col min="8" max="8" width="10.625" style="104" customWidth="1"/>
    <col min="9" max="9" width="0.875" style="104" customWidth="1"/>
    <col min="10" max="10" width="12.625" style="104" customWidth="1"/>
    <col min="11" max="11" width="0.125" style="104" customWidth="1"/>
    <col min="12" max="12" width="10.625" style="104" customWidth="1"/>
    <col min="13" max="13" width="0.875" style="104" customWidth="1"/>
    <col min="14" max="14" width="33" style="104" customWidth="1"/>
    <col min="15" max="16" width="7.5" style="104" customWidth="1"/>
    <col min="17" max="17" width="15.75" style="104" customWidth="1"/>
    <col min="18" max="19" width="12.125" style="104" customWidth="1"/>
    <col min="20" max="24" width="12.625" style="104" hidden="1" customWidth="1"/>
    <col min="25" max="25" width="9" style="104" hidden="1" customWidth="1"/>
    <col min="26" max="26" width="24.875" style="104" hidden="1" customWidth="1"/>
    <col min="27" max="28" width="10.875" style="104" hidden="1" customWidth="1"/>
    <col min="29" max="30" width="3.25" style="104" hidden="1" customWidth="1"/>
    <col min="31" max="31" width="10.75" style="104" hidden="1" customWidth="1"/>
    <col min="32" max="32" width="3.25" style="104" hidden="1" customWidth="1"/>
    <col min="33" max="33" width="9" style="104" hidden="1" customWidth="1"/>
    <col min="34" max="34" width="26.125" style="104" hidden="1" customWidth="1"/>
    <col min="35" max="36" width="10.875" style="104" hidden="1" customWidth="1"/>
    <col min="37" max="37" width="9" style="104" hidden="1" customWidth="1"/>
    <col min="38" max="38" width="21.25" style="104" hidden="1" customWidth="1"/>
    <col min="39" max="40" width="10.875" style="104" hidden="1" customWidth="1"/>
    <col min="41" max="41" width="3.25" style="104" hidden="1" customWidth="1"/>
    <col min="42" max="42" width="9" style="104" hidden="1" customWidth="1"/>
    <col min="43" max="43" width="19" style="104" hidden="1" customWidth="1"/>
    <col min="44" max="46" width="9" style="104" hidden="1" customWidth="1"/>
    <col min="47" max="47" width="14.625" style="104" hidden="1" customWidth="1"/>
    <col min="48" max="50" width="9" style="104" hidden="1" customWidth="1"/>
    <col min="51" max="16384" width="9" style="104"/>
  </cols>
  <sheetData>
    <row r="1" spans="2:50" ht="9.9499999999999993" hidden="1" customHeight="1"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</row>
    <row r="2" spans="2:50" ht="18.75" hidden="1">
      <c r="B2" s="28" t="s">
        <v>68</v>
      </c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</row>
    <row r="3" spans="2:50" ht="15" hidden="1" customHeight="1">
      <c r="B3" s="21" t="str">
        <f xml:space="preserve"> IF(EXACT(L74, "powered by SwissBiogas.com"), "", "*** This version is not authorised by SwissBiogas.com ***")</f>
        <v/>
      </c>
    </row>
    <row r="4" spans="2:50" ht="15" hidden="1" customHeight="1">
      <c r="B4" s="333" t="s">
        <v>225</v>
      </c>
    </row>
    <row r="5" spans="2:50" ht="15" hidden="1" customHeight="1">
      <c r="B5" s="239" t="s">
        <v>226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50" ht="15" hidden="1" customHeight="1">
      <c r="B6" s="104" t="s">
        <v>73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2:50" ht="15" hidden="1" customHeight="1">
      <c r="B7" s="104" t="s">
        <v>69</v>
      </c>
      <c r="C7" s="104" t="s">
        <v>94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2:50" ht="15" hidden="1" customHeight="1">
      <c r="C8" s="104" t="s">
        <v>72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2:50" ht="15" hidden="1" customHeight="1">
      <c r="B9" s="104" t="s">
        <v>69</v>
      </c>
      <c r="C9" s="104" t="s">
        <v>134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2:50" ht="15" hidden="1" customHeight="1">
      <c r="C10" s="104" t="s">
        <v>135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2:50" ht="15" hidden="1" customHeight="1">
      <c r="C11" s="104" t="s">
        <v>71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2:50" ht="15" hidden="1" customHeight="1">
      <c r="B12" s="104" t="s">
        <v>69</v>
      </c>
      <c r="C12" s="104" t="s">
        <v>95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T12" s="107" t="s">
        <v>130</v>
      </c>
      <c r="U12" s="108" t="s">
        <v>19</v>
      </c>
      <c r="V12" s="109"/>
    </row>
    <row r="13" spans="2:50" ht="15" hidden="1" customHeight="1">
      <c r="C13" s="104" t="s">
        <v>136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T13" s="110" t="s">
        <v>131</v>
      </c>
      <c r="U13" s="111" t="s">
        <v>50</v>
      </c>
      <c r="V13" s="112"/>
    </row>
    <row r="14" spans="2:50" ht="15" hidden="1" customHeight="1">
      <c r="C14" s="104" t="s">
        <v>137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390"/>
    </row>
    <row r="15" spans="2:50" ht="15" hidden="1" customHeight="1">
      <c r="B15" s="113"/>
      <c r="C15" s="38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3"/>
      <c r="P15" s="113"/>
      <c r="Q15" s="113"/>
      <c r="R15" s="113"/>
      <c r="S15" s="113"/>
      <c r="T15" s="20" t="s">
        <v>118</v>
      </c>
    </row>
    <row r="16" spans="2:50" ht="15" customHeight="1"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6" t="s">
        <v>61</v>
      </c>
      <c r="U16" s="117" t="s">
        <v>87</v>
      </c>
      <c r="V16" s="118">
        <f xml:space="preserve"> IF(NOT(ISERR(G30)), IF(AND(ISNUMBER(G30), G30 &gt; 0), G30, 0), 0)</f>
        <v>0</v>
      </c>
      <c r="W16" s="117" t="s">
        <v>88</v>
      </c>
      <c r="X16" s="119">
        <f xml:space="preserve"> IF(NOT(ISERR(G30)), IF(ISNUMBER(G30), basis!D22, 0), 0)</f>
        <v>2</v>
      </c>
    </row>
    <row r="17" spans="1:24" ht="15" customHeight="1">
      <c r="B17" s="89" t="s">
        <v>66</v>
      </c>
      <c r="C17" s="89" t="s">
        <v>67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07" t="s">
        <v>79</v>
      </c>
      <c r="U17" s="120" t="s">
        <v>74</v>
      </c>
      <c r="V17" s="121" t="s">
        <v>75</v>
      </c>
      <c r="W17" s="120" t="s">
        <v>76</v>
      </c>
      <c r="X17" s="122" t="s">
        <v>77</v>
      </c>
    </row>
    <row r="18" spans="1:24" s="123" customFormat="1" ht="15" customHeight="1">
      <c r="A18" s="159"/>
      <c r="C18" s="20" t="s">
        <v>177</v>
      </c>
      <c r="D18" s="20"/>
      <c r="E18" s="20"/>
      <c r="F18" s="410" t="s">
        <v>269</v>
      </c>
      <c r="G18" s="35" t="str">
        <f xml:space="preserve"> IF(OR(F18 = "", F18 = " ", F18 = "  "), "Your Additive", F18)</f>
        <v>My_FeCl₃_Additive</v>
      </c>
      <c r="H18" s="36"/>
      <c r="J18" s="37" t="str">
        <f xml:space="preserve"> U13</f>
        <v>SBGx by SwissBiogas.com</v>
      </c>
      <c r="K18" s="37"/>
      <c r="L18" s="124"/>
      <c r="N18" s="389"/>
      <c r="T18" s="125" t="s">
        <v>80</v>
      </c>
      <c r="U18" s="126">
        <f xml:space="preserve"> IF(ISERR(G20), 0, IF(AND(ISNUMBER(G20), G20 &gt; 0), G20 * basis!E8 / 100 * (100 - $V$16) / 100, 0))</f>
        <v>0</v>
      </c>
      <c r="V18" s="127">
        <v>0</v>
      </c>
      <c r="W18" s="126">
        <f xml:space="preserve"> IF(J20 &gt; 0, J20 * basis!E8 / 100 * (100 - X16) / 100, 0)</f>
        <v>31.856750727962098</v>
      </c>
      <c r="X18" s="128">
        <v>0</v>
      </c>
    </row>
    <row r="19" spans="1:24" ht="15" customHeight="1">
      <c r="A19" s="104"/>
      <c r="C19" s="45" t="s">
        <v>62</v>
      </c>
      <c r="D19" s="46" t="s">
        <v>92</v>
      </c>
      <c r="E19" s="46"/>
      <c r="F19" s="45" t="s">
        <v>93</v>
      </c>
      <c r="G19" s="47" t="s">
        <v>133</v>
      </c>
      <c r="H19" s="48" t="s">
        <v>26</v>
      </c>
      <c r="I19" s="49"/>
      <c r="J19" s="50" t="s">
        <v>169</v>
      </c>
      <c r="K19" s="78"/>
      <c r="L19" s="79" t="s">
        <v>26</v>
      </c>
      <c r="M19" s="44"/>
      <c r="T19" s="125" t="s">
        <v>81</v>
      </c>
      <c r="U19" s="126">
        <v>0</v>
      </c>
      <c r="V19" s="127">
        <f xml:space="preserve"> IF(ISERR(G21), 0, IF(AND(ISNUMBER(G21), G21 &gt; 0), G21 * basis!E9 / 100 * (100 - $V$16) / 100, 0))</f>
        <v>0</v>
      </c>
      <c r="W19" s="126">
        <v>0</v>
      </c>
      <c r="X19" s="128">
        <f xml:space="preserve"> IF(J21 &gt; 0, J21 * basis!E9 / 100 * (100 - X16) / 100, 0)</f>
        <v>30.24833460456064</v>
      </c>
    </row>
    <row r="20" spans="1:24" ht="15" customHeight="1">
      <c r="C20" s="130" t="s">
        <v>5</v>
      </c>
      <c r="D20" s="42" t="str">
        <f xml:space="preserve"> IF(OR(H20 &gt; 0, J20 &gt; 0), "Fe²⁺, ""ferrous""", "")</f>
        <v>Fe²⁺, "ferrous"</v>
      </c>
      <c r="E20" s="42"/>
      <c r="F20" s="131" t="str">
        <f xml:space="preserve"> IF(OR(H20 &gt; 0, J20 &gt; 0), "Iron(II) oxide", "")</f>
        <v>Iron(II) oxide</v>
      </c>
      <c r="G20" s="374"/>
      <c r="H20" s="41">
        <f t="shared" ref="H20:H28" si="0" xml:space="preserve"> SUM(U18:V18)</f>
        <v>0</v>
      </c>
      <c r="J20" s="133">
        <f xml:space="preserve"> basis!B22</f>
        <v>41.82</v>
      </c>
      <c r="K20" s="134"/>
      <c r="L20" s="80">
        <f t="shared" ref="L20:L28" si="1" xml:space="preserve"> SUM(W18:X18)</f>
        <v>31.856750727962098</v>
      </c>
      <c r="M20" s="27"/>
      <c r="N20" s="96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25" t="s">
        <v>78</v>
      </c>
      <c r="U20" s="126">
        <f xml:space="preserve"> IF(ISERR(G22), 0, IF(AND(ISNUMBER(G22), G22 &gt; 0), G22 / 3 * basis!E10 / 100 * (100 - $V$16) / 100, 0))</f>
        <v>0</v>
      </c>
      <c r="V20" s="127">
        <f xml:space="preserve"> IF(ISERR(G22), 0, IF(AND(ISNUMBER(G22), G22 &gt; 0), G22 * 2 / 3 * basis!E10 / 100 * (100 - $V$16) / 100, 0))</f>
        <v>0</v>
      </c>
      <c r="W20" s="126">
        <f xml:space="preserve"> IF(J22 &gt; 0, J22 / 3 * basis!E10 / 100 * (100 - X16) / 100, 0)</f>
        <v>0</v>
      </c>
      <c r="X20" s="128">
        <f xml:space="preserve"> IF(J22 &gt; 0, J22 * 2 / 3 * basis!E10 / 100 * (100 - X16) / 100, 0)</f>
        <v>0</v>
      </c>
    </row>
    <row r="21" spans="1:24" ht="15" customHeight="1">
      <c r="C21" s="130" t="s">
        <v>27</v>
      </c>
      <c r="D21" s="42" t="str">
        <f xml:space="preserve"> IF(OR(H21 &gt; 0, J21 &gt; 0), "Fe³⁺, ""ferric""", "")</f>
        <v>Fe³⁺, "ferric"</v>
      </c>
      <c r="E21" s="42"/>
      <c r="F21" s="131" t="str">
        <f xml:space="preserve"> IF(OR(H21 &gt; 0, J21 &gt; 0), "Iron(III) oxide", "")</f>
        <v>Iron(III) oxide</v>
      </c>
      <c r="G21" s="374"/>
      <c r="H21" s="41">
        <f t="shared" si="0"/>
        <v>0</v>
      </c>
      <c r="J21" s="135">
        <f xml:space="preserve"> basis!C22</f>
        <v>44.13</v>
      </c>
      <c r="K21" s="136"/>
      <c r="L21" s="80">
        <f t="shared" si="1"/>
        <v>30.24833460456064</v>
      </c>
      <c r="M21" s="27"/>
      <c r="N21" s="96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25" t="s">
        <v>80</v>
      </c>
      <c r="U21" s="126">
        <f xml:space="preserve"> IF(ISERR(G23), 0, IF(AND(ISNUMBER(G23), G23 &gt; 0), G23 * basis!E11 / 100 * (100 - $V$16) / 100, 0))</f>
        <v>0</v>
      </c>
      <c r="V21" s="127">
        <v>0</v>
      </c>
      <c r="W21" s="126">
        <f xml:space="preserve"> IF(J23 &gt; 0, J23 * basis!E11 / 100 * (100 - X16) / 100, 0)</f>
        <v>0</v>
      </c>
      <c r="X21" s="128">
        <v>0</v>
      </c>
    </row>
    <row r="22" spans="1:24" ht="15" customHeight="1">
      <c r="C22" s="131" t="s">
        <v>28</v>
      </c>
      <c r="D22" s="42" t="str">
        <f xml:space="preserve"> IF(OR(H22 &gt; 0, J22 &gt; 0), "⅓ Fe²⁺ + ⅔ Fe³⁺", "")</f>
        <v/>
      </c>
      <c r="E22" s="42"/>
      <c r="F22" s="131" t="str">
        <f xml:space="preserve"> IF(OR(H22 &gt; 0, J22 &gt; 0), "Iron(II,III) oxide", "")</f>
        <v/>
      </c>
      <c r="G22" s="374"/>
      <c r="H22" s="41">
        <f t="shared" si="0"/>
        <v>0</v>
      </c>
      <c r="J22" s="137"/>
      <c r="K22" s="138"/>
      <c r="L22" s="80">
        <f t="shared" si="1"/>
        <v>0</v>
      </c>
      <c r="M22" s="27"/>
      <c r="N22" s="96" t="str">
        <f t="shared" si="2"/>
        <v/>
      </c>
      <c r="T22" s="125" t="s">
        <v>81</v>
      </c>
      <c r="U22" s="126">
        <v>0</v>
      </c>
      <c r="V22" s="127">
        <f xml:space="preserve"> IF(ISERR(G24), 0, IF(AND(ISNUMBER(G24), G24 &gt; 0), G24 * basis!E12 / 100 * (100 - $V$16) / 100, 0))</f>
        <v>14.460124287933711</v>
      </c>
      <c r="W22" s="126">
        <v>0</v>
      </c>
      <c r="X22" s="128">
        <f xml:space="preserve"> IF(J24 &gt; 0, J24 * basis!E12 / 100 * (100 - X16) / 100, 0)</f>
        <v>0</v>
      </c>
    </row>
    <row r="23" spans="1:24" ht="15" customHeight="1">
      <c r="C23" s="131" t="s">
        <v>29</v>
      </c>
      <c r="D23" s="42" t="str">
        <f xml:space="preserve"> IF(OR(H23 &gt; 0, J23 &gt; 0), "Fe²⁺, ""ferrous""", "")</f>
        <v/>
      </c>
      <c r="E23" s="42"/>
      <c r="F23" s="131" t="str">
        <f xml:space="preserve"> IF(OR(H23 &gt; 0, J23 &gt; 0), "Iron(II) chloride", "")</f>
        <v/>
      </c>
      <c r="G23" s="374"/>
      <c r="H23" s="41">
        <f t="shared" si="0"/>
        <v>0</v>
      </c>
      <c r="J23" s="137"/>
      <c r="K23" s="138"/>
      <c r="L23" s="80">
        <f t="shared" si="1"/>
        <v>0</v>
      </c>
      <c r="M23" s="27"/>
      <c r="N23" s="96" t="str">
        <f t="shared" si="2"/>
        <v/>
      </c>
      <c r="T23" s="125" t="s">
        <v>81</v>
      </c>
      <c r="U23" s="126">
        <v>0</v>
      </c>
      <c r="V23" s="127">
        <f xml:space="preserve"> IF(ISERR(G25), 0, IF(AND(ISNUMBER(G25), G25 &gt; 0), G25 * basis!E13 / 100 * (100 - $V$16) / 100, 0))</f>
        <v>0</v>
      </c>
      <c r="W23" s="126">
        <v>0</v>
      </c>
      <c r="X23" s="128">
        <f xml:space="preserve"> IF(J25 &gt; 0, J25 * basis!E13 / 100 * (100 - X16) / 100, 0)</f>
        <v>0</v>
      </c>
    </row>
    <row r="24" spans="1:24" ht="15" customHeight="1">
      <c r="C24" s="131" t="s">
        <v>30</v>
      </c>
      <c r="D24" s="42" t="str">
        <f xml:space="preserve"> IF(OR(H24 &gt; 0, J24 &gt; 0), "Fe³⁺, ""ferric""", "")</f>
        <v>Fe³⁺, "ferric"</v>
      </c>
      <c r="E24" s="42"/>
      <c r="F24" s="131" t="str">
        <f xml:space="preserve"> IF(OR(H24 &gt; 0, J24 &gt; 0), "Iron(III) chloride", "")</f>
        <v>Iron(III) chloride</v>
      </c>
      <c r="G24" s="374">
        <v>42</v>
      </c>
      <c r="H24" s="41">
        <f t="shared" si="0"/>
        <v>14.460124287933711</v>
      </c>
      <c r="J24" s="137"/>
      <c r="K24" s="138"/>
      <c r="L24" s="80">
        <f t="shared" si="1"/>
        <v>0</v>
      </c>
      <c r="M24" s="27"/>
      <c r="N24" s="96" t="str">
        <f t="shared" si="2"/>
        <v/>
      </c>
      <c r="T24" s="125" t="s">
        <v>80</v>
      </c>
      <c r="U24" s="126">
        <f xml:space="preserve"> IF(ISERR(G26), 0, IF(AND(ISNUMBER(G26), G26 &gt; 0), G26 * basis!E14 / 100 * (100 - $V$16) / 100, 0))</f>
        <v>0</v>
      </c>
      <c r="V24" s="127">
        <v>0</v>
      </c>
      <c r="W24" s="126">
        <f xml:space="preserve"> IF(J26 &gt; 0, J26 * basis!E14 / 100 * (100 - X16) / 100, 0)</f>
        <v>0</v>
      </c>
      <c r="X24" s="128">
        <v>0</v>
      </c>
    </row>
    <row r="25" spans="1:24" ht="15" customHeight="1">
      <c r="C25" s="131" t="s">
        <v>15</v>
      </c>
      <c r="D25" s="42" t="str">
        <f xml:space="preserve"> IF(OR(H25 &gt; 0, J25 &gt; 0), "Fe³⁺, ""ferric""", "")</f>
        <v/>
      </c>
      <c r="E25" s="42"/>
      <c r="F25" s="131" t="str">
        <f xml:space="preserve"> IF(OR(H25 &gt; 0, J25 &gt; 0), "Iron(III) oxide-hydroxide", "")</f>
        <v/>
      </c>
      <c r="G25" s="375"/>
      <c r="H25" s="41">
        <f t="shared" si="0"/>
        <v>0</v>
      </c>
      <c r="J25" s="137"/>
      <c r="K25" s="138"/>
      <c r="L25" s="80">
        <f t="shared" si="1"/>
        <v>0</v>
      </c>
      <c r="M25" s="27"/>
      <c r="N25" s="96" t="str">
        <f t="shared" si="2"/>
        <v/>
      </c>
      <c r="T25" s="125" t="s">
        <v>81</v>
      </c>
      <c r="U25" s="126">
        <v>0</v>
      </c>
      <c r="V25" s="127">
        <f xml:space="preserve"> IF(ISERR(G27), 0, IF(AND(ISNUMBER(G27), G27 &gt; 0), G27 * basis!E15 / 100 * (100 - $V$16) / 100, 0))</f>
        <v>0</v>
      </c>
      <c r="W25" s="126">
        <v>0</v>
      </c>
      <c r="X25" s="128">
        <f xml:space="preserve"> IF(J27 &gt; 0, J27 * basis!E15 / 100 * (100 - X16) / 100, 0)</f>
        <v>0</v>
      </c>
    </row>
    <row r="26" spans="1:24" ht="15" customHeight="1">
      <c r="C26" s="131" t="s">
        <v>55</v>
      </c>
      <c r="D26" s="42" t="str">
        <f xml:space="preserve"> IF(OR(H26 &gt; 0, J26 &gt; 0), "Fe²⁺, ""ferrous""", "")</f>
        <v/>
      </c>
      <c r="E26" s="42"/>
      <c r="F26" s="131" t="str">
        <f xml:space="preserve"> IF(OR(H26 &gt; 0, J26 &gt; 0), "Iron(II) hydroxide", "")</f>
        <v/>
      </c>
      <c r="G26" s="374"/>
      <c r="H26" s="41">
        <f t="shared" si="0"/>
        <v>0</v>
      </c>
      <c r="J26" s="137"/>
      <c r="K26" s="138"/>
      <c r="L26" s="80">
        <f t="shared" si="1"/>
        <v>0</v>
      </c>
      <c r="M26" s="27"/>
      <c r="N26" s="96" t="str">
        <f t="shared" si="2"/>
        <v/>
      </c>
      <c r="T26" s="125" t="s">
        <v>81</v>
      </c>
      <c r="U26" s="126">
        <v>0</v>
      </c>
      <c r="V26" s="127">
        <f xml:space="preserve"> IF(ISERR(G28), 0, IF(AND(ISNUMBER(G28), G28 &gt; 0), G28 * basis!E16 / 100 * (100 - $V$16) / 100, 0))</f>
        <v>0</v>
      </c>
      <c r="W26" s="126">
        <v>0</v>
      </c>
      <c r="X26" s="128">
        <f xml:space="preserve"> IF(J28 &gt; 0, J28 * basis!E16 / 100 * (100 - X16) / 100, 0)</f>
        <v>0</v>
      </c>
    </row>
    <row r="27" spans="1:24" s="123" customFormat="1" ht="15" customHeight="1">
      <c r="A27" s="159"/>
      <c r="C27" s="131" t="s">
        <v>31</v>
      </c>
      <c r="D27" s="42" t="str">
        <f xml:space="preserve"> IF(OR(H27 &gt; 0, J27 &gt; 0), "Fe³⁺, ""ferric""", "")</f>
        <v/>
      </c>
      <c r="E27" s="42"/>
      <c r="F27" s="131" t="str">
        <f xml:space="preserve"> IF(OR(H27 &gt; 0, J27 &gt; 0), "Iron(III) hydroxide", "")</f>
        <v/>
      </c>
      <c r="G27" s="374"/>
      <c r="H27" s="41">
        <f t="shared" si="0"/>
        <v>0</v>
      </c>
      <c r="I27" s="104"/>
      <c r="J27" s="137"/>
      <c r="K27" s="138"/>
      <c r="L27" s="80">
        <f t="shared" si="1"/>
        <v>0</v>
      </c>
      <c r="M27" s="27"/>
      <c r="N27" s="96" t="str">
        <f t="shared" si="2"/>
        <v/>
      </c>
      <c r="T27" s="110" t="s">
        <v>89</v>
      </c>
      <c r="U27" s="140">
        <f xml:space="preserve"> SUM(U18:U26)</f>
        <v>0</v>
      </c>
      <c r="V27" s="110">
        <f xml:space="preserve"> SUM(V18:V26)</f>
        <v>14.460124287933711</v>
      </c>
      <c r="W27" s="140">
        <f xml:space="preserve"> SUM(W18:W26)</f>
        <v>31.856750727962098</v>
      </c>
      <c r="X27" s="141">
        <f xml:space="preserve"> SUM(X18:X26)</f>
        <v>30.24833460456064</v>
      </c>
    </row>
    <row r="28" spans="1:24" s="123" customFormat="1" ht="15" customHeight="1">
      <c r="A28" s="159"/>
      <c r="C28" s="131" t="s">
        <v>98</v>
      </c>
      <c r="D28" s="53" t="str">
        <f xml:space="preserve"> IF(OR(H28 &gt; 0, J28 &gt; 0), "Fe³⁺, ""ferric""", "")</f>
        <v/>
      </c>
      <c r="E28" s="42"/>
      <c r="F28" s="131" t="str">
        <f xml:space="preserve"> IF(OR(H28 &gt; 0, J28 &gt; 0), "Iron(III) oxide trihydrate", "")</f>
        <v/>
      </c>
      <c r="G28" s="374"/>
      <c r="H28" s="41">
        <f t="shared" si="0"/>
        <v>0</v>
      </c>
      <c r="I28" s="104"/>
      <c r="J28" s="137"/>
      <c r="K28" s="138"/>
      <c r="L28" s="80">
        <f t="shared" si="1"/>
        <v>0</v>
      </c>
      <c r="M28" s="27"/>
      <c r="N28" s="96" t="str">
        <f t="shared" si="2"/>
        <v/>
      </c>
      <c r="T28" s="142" t="s">
        <v>86</v>
      </c>
      <c r="U28" s="143"/>
      <c r="V28" s="144">
        <f xml:space="preserve"> SUM(U18:V26)</f>
        <v>14.460124287933711</v>
      </c>
      <c r="W28" s="143"/>
      <c r="X28" s="145">
        <f xml:space="preserve"> SUM(W18:X26)</f>
        <v>62.105085332522734</v>
      </c>
    </row>
    <row r="29" spans="1:24" s="123" customFormat="1" ht="15" hidden="1" customHeight="1">
      <c r="A29" s="159"/>
      <c r="C29" s="146" t="s">
        <v>132</v>
      </c>
      <c r="D29" s="102"/>
      <c r="E29" s="102"/>
      <c r="F29" s="146"/>
      <c r="G29" s="147"/>
      <c r="H29" s="100" t="str">
        <f xml:space="preserve"> V30</f>
        <v>0 : 100</v>
      </c>
      <c r="I29" s="104"/>
      <c r="J29" s="137"/>
      <c r="K29" s="138"/>
      <c r="L29" s="101" t="str">
        <f xml:space="preserve"> X30</f>
        <v>51 : 49</v>
      </c>
      <c r="N29" s="96" t="str">
        <f t="shared" si="2"/>
        <v/>
      </c>
      <c r="T29" s="110" t="s">
        <v>179</v>
      </c>
      <c r="U29" s="140">
        <f xml:space="preserve"> U27 / (U27 + V27) * 100</f>
        <v>0</v>
      </c>
      <c r="V29" s="140">
        <f xml:space="preserve"> V27 / (U27 + V27) * 100</f>
        <v>100</v>
      </c>
      <c r="W29" s="140">
        <f xml:space="preserve"> W27 / (W27 + X27) * 100</f>
        <v>51.294914993506325</v>
      </c>
      <c r="X29" s="140">
        <f xml:space="preserve"> X27 / (W27 + X27) * 100</f>
        <v>48.70508500649369</v>
      </c>
    </row>
    <row r="30" spans="1:24" s="123" customFormat="1" ht="15" customHeight="1">
      <c r="A30" s="104"/>
      <c r="C30" s="148" t="s">
        <v>91</v>
      </c>
      <c r="D30" s="149"/>
      <c r="E30" s="149"/>
      <c r="F30" s="131"/>
      <c r="G30" s="376">
        <v>0</v>
      </c>
      <c r="H30" s="41"/>
      <c r="I30" s="104"/>
      <c r="J30" s="137">
        <f xml:space="preserve"> IF(X16 = 0, "", X16)</f>
        <v>2</v>
      </c>
      <c r="K30" s="138"/>
      <c r="L30" s="80"/>
      <c r="M30" s="32"/>
      <c r="N30" s="96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51" t="s">
        <v>90</v>
      </c>
      <c r="U30" s="152"/>
      <c r="V30" s="151" t="str">
        <f xml:space="preserve">
IF(U27 = 0,
    IF(V27 = 0, "0 : 0", "0 : 100"),
    IF(V27 = 0,
        "100 : 0",
        ROUND(U29, 0) &amp; " : " &amp; ROUND(V29, 0)
    )
)</f>
        <v>0 : 100</v>
      </c>
      <c r="W30" s="152"/>
      <c r="X30" s="151" t="str">
        <f xml:space="preserve">
IF(W27 = 0,
    IF(X27 = 0, "0 : 0", "0 : 100"),
    IF(X27 = 0,
        "100 : 0",
        ROUND(W29, 0) &amp; " : " &amp; ROUND(X29, 0)
    )
)</f>
        <v>51 : 49</v>
      </c>
    </row>
    <row r="31" spans="1:24" s="154" customFormat="1" ht="15" customHeight="1">
      <c r="A31" s="199"/>
      <c r="C31" s="29" t="s">
        <v>63</v>
      </c>
      <c r="D31" s="29" t="s">
        <v>26</v>
      </c>
      <c r="E31" s="29"/>
      <c r="F31" s="29"/>
      <c r="G31" s="65"/>
      <c r="H31" s="66">
        <f xml:space="preserve"> V28</f>
        <v>14.460124287933711</v>
      </c>
      <c r="I31" s="20"/>
      <c r="J31" s="67"/>
      <c r="K31" s="81"/>
      <c r="L31" s="82">
        <f xml:space="preserve"> X28</f>
        <v>62.105085332522734</v>
      </c>
      <c r="M31" s="33"/>
      <c r="N31" s="26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123"/>
    </row>
    <row r="32" spans="1:24" s="123" customFormat="1" ht="12" customHeight="1">
      <c r="A32" s="159"/>
      <c r="C32" s="63" t="s">
        <v>207</v>
      </c>
      <c r="G32" s="155"/>
      <c r="H32" s="156"/>
      <c r="J32" s="124"/>
      <c r="K32" s="124"/>
      <c r="L32" s="124"/>
      <c r="N32" s="40"/>
    </row>
    <row r="33" spans="1:50" s="123" customFormat="1" ht="12" customHeight="1">
      <c r="A33" s="159"/>
      <c r="C33" s="63" t="s">
        <v>208</v>
      </c>
      <c r="H33" s="157"/>
      <c r="N33" s="40"/>
    </row>
    <row r="34" spans="1:50" s="123" customFormat="1" ht="15" customHeight="1"/>
    <row r="35" spans="1:50" s="123" customFormat="1" ht="15" customHeight="1">
      <c r="C35" s="69" t="s">
        <v>224</v>
      </c>
      <c r="D35" s="70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329.5% higher than the RIIC of My_FeCl₃_Additive.</v>
      </c>
      <c r="E35" s="70"/>
      <c r="F35" s="71"/>
      <c r="G35" s="71"/>
      <c r="H35" s="71"/>
      <c r="I35" s="71"/>
      <c r="J35" s="71"/>
      <c r="K35" s="71"/>
      <c r="L35" s="73" t="str">
        <f xml:space="preserve"> IF(L31 / H31 &gt; 1.09, "Factor = " &amp; TEXT(L31 / H31, "0.0") &amp; " x", "")</f>
        <v>Factor = 4.3 x</v>
      </c>
      <c r="P35" s="26"/>
    </row>
    <row r="36" spans="1:50" s="123" customFormat="1" ht="15" hidden="1" customHeight="1"/>
    <row r="37" spans="1:50" s="123" customFormat="1" ht="15" hidden="1" customHeight="1">
      <c r="C37" s="104" t="s">
        <v>49</v>
      </c>
      <c r="D37" s="21"/>
      <c r="E37" s="21"/>
      <c r="F37" s="21"/>
      <c r="G37" s="104"/>
      <c r="H37" s="104"/>
      <c r="I37" s="104"/>
      <c r="J37" s="104"/>
      <c r="K37" s="104"/>
      <c r="L37" s="104"/>
      <c r="M37" s="104"/>
      <c r="N37" s="104"/>
    </row>
    <row r="38" spans="1:50" s="123" customFormat="1" ht="15" hidden="1" customHeight="1">
      <c r="C38" s="104" t="s">
        <v>56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1:50" s="123" customFormat="1" ht="15" hidden="1" customHeight="1">
      <c r="C39" s="104" t="s">
        <v>57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</row>
    <row r="40" spans="1:50" s="123" customFormat="1" ht="15" hidden="1" customHeight="1">
      <c r="C40" s="104" t="s">
        <v>51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T40" s="20" t="s">
        <v>118</v>
      </c>
      <c r="W40" s="54" t="s">
        <v>108</v>
      </c>
      <c r="X40" s="299" t="s">
        <v>199</v>
      </c>
      <c r="Y40" s="159"/>
      <c r="Z40" s="57" t="s">
        <v>115</v>
      </c>
      <c r="AA40" s="61">
        <f xml:space="preserve"> G48</f>
        <v>750</v>
      </c>
      <c r="AB40" s="62" t="s">
        <v>99</v>
      </c>
      <c r="AC40" s="160" t="s">
        <v>126</v>
      </c>
      <c r="AD40" s="160" t="s">
        <v>152</v>
      </c>
      <c r="AE40" s="301" t="s">
        <v>203</v>
      </c>
      <c r="AF40" s="160"/>
      <c r="AH40" s="57" t="s">
        <v>116</v>
      </c>
      <c r="AI40" s="61">
        <f xml:space="preserve"> G49</f>
        <v>0</v>
      </c>
      <c r="AJ40" s="62" t="s">
        <v>112</v>
      </c>
      <c r="AL40" s="57" t="s">
        <v>117</v>
      </c>
      <c r="AM40" s="61">
        <f xml:space="preserve"> G51</f>
        <v>235</v>
      </c>
      <c r="AN40" s="62" t="s">
        <v>111</v>
      </c>
      <c r="AO40" s="160" t="s">
        <v>126</v>
      </c>
      <c r="AQ40" s="58" t="s">
        <v>120</v>
      </c>
      <c r="AR40" s="59">
        <f xml:space="preserve"> AM51</f>
        <v>231.28853599179328</v>
      </c>
      <c r="AS40" s="59">
        <f xml:space="preserve"> J52</f>
        <v>750</v>
      </c>
      <c r="AU40" s="58" t="s">
        <v>127</v>
      </c>
      <c r="AV40" s="61">
        <f xml:space="preserve"> G53 - J53</f>
        <v>19.276650730780545</v>
      </c>
      <c r="AW40" s="161"/>
      <c r="AX40" s="161" t="s">
        <v>128</v>
      </c>
    </row>
    <row r="41" spans="1:50" s="123" customFormat="1" ht="15" hidden="1" customHeight="1">
      <c r="C41" s="330" t="s">
        <v>223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W41" s="162" t="s">
        <v>109</v>
      </c>
      <c r="X41" s="163" t="s">
        <v>110</v>
      </c>
      <c r="Y41" s="159"/>
      <c r="Z41" s="131"/>
      <c r="AA41" s="164">
        <f xml:space="preserve"> IF(IFERROR(SEARCH(Z41, $F$48), 0) = 0, 0, AB41)</f>
        <v>0</v>
      </c>
      <c r="AB41" s="165">
        <v>0</v>
      </c>
      <c r="AC41" s="165">
        <v>1</v>
      </c>
      <c r="AD41" s="165"/>
      <c r="AE41" s="165"/>
      <c r="AF41" s="165"/>
      <c r="AH41" s="131"/>
      <c r="AI41" s="164">
        <f xml:space="preserve"> IF(IFERROR(SEARCH(AH41, $AE$51), 0) = 0, 0, AJ41)</f>
        <v>0</v>
      </c>
      <c r="AJ41" s="165">
        <v>0</v>
      </c>
      <c r="AL41" s="131"/>
      <c r="AM41" s="164">
        <f xml:space="preserve"> IF(IFERROR(SEARCH(AL41,$F$51), 0) = 0, 0, AN41)</f>
        <v>0</v>
      </c>
      <c r="AN41" s="165">
        <v>0</v>
      </c>
      <c r="AO41" s="165">
        <v>1</v>
      </c>
      <c r="AQ41" s="131"/>
      <c r="AR41" s="165">
        <f xml:space="preserve"> IF(IFERROR( SEARCH(AQ41,#REF!), 0) = 0, 0, AS41)</f>
        <v>0</v>
      </c>
      <c r="AS41" s="165">
        <v>0</v>
      </c>
      <c r="AU41" s="131" t="s">
        <v>142</v>
      </c>
      <c r="AV41" s="166">
        <f xml:space="preserve"> IF(IFERROR(SEARCH(AU41, $L$55), 0) = 0, 0, AW41)</f>
        <v>0</v>
      </c>
      <c r="AW41" s="165">
        <f xml:space="preserve"> AV40</f>
        <v>19.276650730780545</v>
      </c>
      <c r="AX41" s="165" t="s">
        <v>121</v>
      </c>
    </row>
    <row r="42" spans="1:50" s="123" customFormat="1" ht="15" customHeight="1"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W42" s="55" t="s">
        <v>100</v>
      </c>
      <c r="X42" s="56" t="s">
        <v>101</v>
      </c>
      <c r="Y42" s="159"/>
      <c r="Z42" s="168" t="s">
        <v>138</v>
      </c>
      <c r="AA42" s="164">
        <f xml:space="preserve"> IF(IFERROR(SEARCH(Z42, $F$48), 0) = 0, 0, AB42)</f>
        <v>0</v>
      </c>
      <c r="AB42" s="164">
        <f xml:space="preserve"> G48</f>
        <v>750</v>
      </c>
      <c r="AC42" s="164"/>
      <c r="AD42" s="164" t="s">
        <v>153</v>
      </c>
      <c r="AE42" s="164"/>
      <c r="AF42" s="164"/>
      <c r="AH42" s="168" t="s">
        <v>146</v>
      </c>
      <c r="AI42" s="164">
        <f xml:space="preserve"> IF(IFERROR(SEARCH(AH42, $AE$51), 0) = 0, 0, AJ42)</f>
        <v>0</v>
      </c>
      <c r="AJ42" s="164">
        <f xml:space="preserve"> G49</f>
        <v>0</v>
      </c>
      <c r="AL42" s="131" t="s">
        <v>148</v>
      </c>
      <c r="AM42" s="164">
        <f xml:space="preserve"> IF(IFERROR(SEARCH(AL42,$F$51), 0) = 0, 0, AN42)</f>
        <v>0</v>
      </c>
      <c r="AN42" s="165">
        <f xml:space="preserve"> G51 * 1000</f>
        <v>235000</v>
      </c>
      <c r="AO42" s="165"/>
      <c r="AQ42" s="168" t="s">
        <v>148</v>
      </c>
      <c r="AR42" s="165">
        <f xml:space="preserve"> IF(IFERROR( SEARCH(AQ42,#REF!), 0) = 0, 0, AS42)</f>
        <v>0</v>
      </c>
      <c r="AS42" s="165">
        <f xml:space="preserve"> AR40 / 1000</f>
        <v>0.23128853599179328</v>
      </c>
      <c r="AU42" s="131" t="s">
        <v>143</v>
      </c>
      <c r="AV42" s="166">
        <f xml:space="preserve"> IF(IFERROR(SEARCH(AU42, $L$55), 0) = 0, 0, AW42)</f>
        <v>0</v>
      </c>
      <c r="AW42" s="165">
        <f xml:space="preserve"> AV40 * 7</f>
        <v>134.93655511546382</v>
      </c>
      <c r="AX42" s="165" t="s">
        <v>122</v>
      </c>
    </row>
    <row r="43" spans="1:50" s="123" customFormat="1" ht="15" customHeight="1">
      <c r="T43" s="169" t="s">
        <v>82</v>
      </c>
      <c r="U43" s="169">
        <f xml:space="preserve"> IF(ISERR(G50), 0, IF(AND(ISNUMBER(G50), G50 &gt; 0), G50, 0))</f>
        <v>340.1942775</v>
      </c>
      <c r="W43" s="162" t="s">
        <v>102</v>
      </c>
      <c r="X43" s="163">
        <v>0.45359237000000002</v>
      </c>
      <c r="Y43" s="159"/>
      <c r="Z43" s="168" t="s">
        <v>139</v>
      </c>
      <c r="AA43" s="164">
        <f xml:space="preserve"> IF(IFERROR(SEARCH(Z43, $F$48), 0) = 0, 0, AB43)</f>
        <v>0</v>
      </c>
      <c r="AB43" s="165">
        <f xml:space="preserve"> G48 * 1000</f>
        <v>750000</v>
      </c>
      <c r="AC43" s="165"/>
      <c r="AD43" s="165"/>
      <c r="AE43" s="165"/>
      <c r="AF43" s="165"/>
      <c r="AH43" s="168" t="s">
        <v>164</v>
      </c>
      <c r="AI43" s="164">
        <f xml:space="preserve"> IF(IFERROR(SEARCH(AH43, $AE$51), 0) = 0, 0, AJ43)</f>
        <v>0</v>
      </c>
      <c r="AJ43" s="164">
        <f xml:space="preserve"> G49 * X43 / X48</f>
        <v>0</v>
      </c>
      <c r="AL43" s="168" t="s">
        <v>149</v>
      </c>
      <c r="AM43" s="164">
        <f xml:space="preserve"> IF(IFERROR(SEARCH(AL43,$F$51), 0) = 0, 0, AN43)</f>
        <v>0</v>
      </c>
      <c r="AN43" s="164">
        <f xml:space="preserve"> G51</f>
        <v>235</v>
      </c>
      <c r="AO43" s="164"/>
      <c r="AQ43" s="168" t="s">
        <v>151</v>
      </c>
      <c r="AR43" s="165">
        <f xml:space="preserve"> IF(IFERROR( SEARCH(AQ43,#REF!), 0) = 0, 0, AS43)</f>
        <v>0</v>
      </c>
      <c r="AS43" s="165">
        <f xml:space="preserve"> AR40 / 1000 * X43</f>
        <v>0.10491071519434782</v>
      </c>
      <c r="AU43" s="131" t="s">
        <v>144</v>
      </c>
      <c r="AV43" s="166">
        <f xml:space="preserve"> IF(IFERROR(SEARCH(AU43, $L$55), 0) = 0, 0, AW43)</f>
        <v>0</v>
      </c>
      <c r="AW43" s="165">
        <f xml:space="preserve"> AV40 * 30</f>
        <v>578.29952192341636</v>
      </c>
      <c r="AX43" s="165" t="s">
        <v>123</v>
      </c>
    </row>
    <row r="44" spans="1:50" s="123" customFormat="1" ht="15" customHeight="1">
      <c r="A44" s="159"/>
      <c r="B44" s="20" t="s">
        <v>65</v>
      </c>
      <c r="C44" s="20" t="str">
        <f xml:space="preserve"> "Comparing daily dosage and costs between " &amp; G18 &amp; " and " &amp; U12 &amp; " for your biogas reactor, based on their respective RIICs"</f>
        <v>Comparing daily dosage and costs between My_FeCl₃_Additive and SBGx for your biogas reactor, based on their respective RIICs</v>
      </c>
      <c r="H44" s="157"/>
      <c r="L44" s="157"/>
      <c r="Q44" s="300"/>
      <c r="R44" s="300"/>
      <c r="T44" s="169" t="s">
        <v>83</v>
      </c>
      <c r="U44" s="169">
        <f xml:space="preserve"> IF(ISERR(G52), 0, IF(AND(ISNUMBER(G52), G52 &gt; 0), G52, 0))</f>
        <v>231.28853599179328</v>
      </c>
      <c r="W44" s="162" t="s">
        <v>103</v>
      </c>
      <c r="X44" s="163">
        <v>1016.0469000000001</v>
      </c>
      <c r="Y44" s="159"/>
      <c r="Z44" s="168" t="s">
        <v>140</v>
      </c>
      <c r="AA44" s="164">
        <f t="shared" ref="AA44:AA47" si="3" xml:space="preserve"> IF(IFERROR(SEARCH(Z44, $F$48), 0) = 0, 0, AB44)</f>
        <v>0</v>
      </c>
      <c r="AB44" s="164">
        <f xml:space="preserve"> G48 * 1 * AI46</f>
        <v>0</v>
      </c>
      <c r="AC44" s="164">
        <v>1</v>
      </c>
      <c r="AD44" s="164"/>
      <c r="AE44" s="164" t="str">
        <f xml:space="preserve"> AH42</f>
        <v>Kilogram per litre [kg/l]</v>
      </c>
      <c r="AF44" s="302" t="s">
        <v>201</v>
      </c>
      <c r="AH44" s="168" t="s">
        <v>147</v>
      </c>
      <c r="AI44" s="164">
        <f xml:space="preserve"> IF(IFERROR(SEARCH(AH44, $AE$51), 0) = 0, 0, AJ44)</f>
        <v>0</v>
      </c>
      <c r="AJ44" s="164">
        <f xml:space="preserve"> G49 * X43 / X49</f>
        <v>0</v>
      </c>
      <c r="AL44" s="168" t="s">
        <v>150</v>
      </c>
      <c r="AM44" s="164">
        <f t="shared" ref="AM44:AM49" si="4" xml:space="preserve"> IF(IFERROR(SEARCH(AL44,$F$51), 0) = 0, 0, AN44)</f>
        <v>0</v>
      </c>
      <c r="AN44" s="164">
        <f xml:space="preserve"> IF(AI46 = 0, 0, G51 / (1 * AI46) * 1000)</f>
        <v>0</v>
      </c>
      <c r="AO44" s="164">
        <v>1</v>
      </c>
      <c r="AQ44" s="168" t="s">
        <v>162</v>
      </c>
      <c r="AR44" s="165">
        <f xml:space="preserve"> IF(IFERROR( SEARCH(AQ44,#REF!), 0) = 0, 0, AS44)</f>
        <v>0</v>
      </c>
      <c r="AS44" s="165">
        <f xml:space="preserve"> AR40 / 1000 * X44</f>
        <v>235</v>
      </c>
      <c r="AU44" s="131" t="s">
        <v>145</v>
      </c>
      <c r="AV44" s="166">
        <f xml:space="preserve"> IF(IFERROR(SEARCH(AU44, $L$55), 0) = 0, 0, AW44)</f>
        <v>7035.9775167348989</v>
      </c>
      <c r="AW44" s="165">
        <f xml:space="preserve"> AV40 * 365</f>
        <v>7035.9775167348989</v>
      </c>
      <c r="AX44" s="165" t="s">
        <v>125</v>
      </c>
    </row>
    <row r="45" spans="1:50" s="123" customFormat="1" ht="15" customHeight="1">
      <c r="A45" s="159"/>
      <c r="B45" s="20"/>
      <c r="C45" s="369" t="s">
        <v>267</v>
      </c>
      <c r="H45" s="157"/>
      <c r="L45" s="157"/>
      <c r="Q45" s="300"/>
      <c r="R45" s="300"/>
      <c r="T45" s="169" t="s">
        <v>84</v>
      </c>
      <c r="U45" s="169">
        <f xml:space="preserve"> IF(ISERR(J52), 0, IF(AND(ISNUMBER(J52), J52 &gt; 0), J52, 0))</f>
        <v>750</v>
      </c>
      <c r="W45" s="162" t="s">
        <v>104</v>
      </c>
      <c r="X45" s="163">
        <v>907.18474000000003</v>
      </c>
      <c r="Y45" s="159"/>
      <c r="Z45" s="168" t="s">
        <v>141</v>
      </c>
      <c r="AA45" s="164">
        <f t="shared" si="3"/>
        <v>340.1942775</v>
      </c>
      <c r="AB45" s="164">
        <f xml:space="preserve"> G48 * X43</f>
        <v>340.1942775</v>
      </c>
      <c r="AC45" s="164"/>
      <c r="AD45" s="164" t="s">
        <v>154</v>
      </c>
      <c r="AE45" s="164"/>
      <c r="AF45" s="164"/>
      <c r="AL45" s="168" t="s">
        <v>151</v>
      </c>
      <c r="AM45" s="164">
        <f t="shared" si="4"/>
        <v>0</v>
      </c>
      <c r="AN45" s="164">
        <f xml:space="preserve"> G51 / X43 * 1000</f>
        <v>518086.31613446231</v>
      </c>
      <c r="AO45" s="164"/>
      <c r="AQ45" s="168" t="s">
        <v>161</v>
      </c>
      <c r="AR45" s="165">
        <f xml:space="preserve"> IF(IFERROR( SEARCH(AQ45,#REF!), 0) = 0, 0, AS45)</f>
        <v>0</v>
      </c>
      <c r="AS45" s="165">
        <f xml:space="preserve"> AR40 / 1000 * X45</f>
        <v>209.82143038869563</v>
      </c>
    </row>
    <row r="46" spans="1:50" s="123" customFormat="1" ht="15" customHeight="1">
      <c r="A46" s="159"/>
      <c r="B46" s="20"/>
      <c r="C46" s="20" t="s">
        <v>228</v>
      </c>
      <c r="D46" s="33"/>
      <c r="E46" s="309" t="s">
        <v>217</v>
      </c>
      <c r="F46" s="409" t="s">
        <v>168</v>
      </c>
      <c r="G46" s="335" t="str">
        <f xml:space="preserve"> IF(ISBLANK(F46), " ← Tip: For more information hoover the cursor/arrow over the cell without clicking on or having selected it.", "")</f>
        <v/>
      </c>
      <c r="L46" s="157"/>
      <c r="P46" s="334"/>
      <c r="Q46" s="300"/>
      <c r="R46" s="300"/>
      <c r="T46" s="169" t="s">
        <v>85</v>
      </c>
      <c r="U46" s="169">
        <f xml:space="preserve"> IF(ISERR(#REF!), 0, IF(AND(ISNUMBER(#REF!),#REF! &gt; 0),#REF!, 0))</f>
        <v>0</v>
      </c>
      <c r="W46" s="297" t="s">
        <v>199</v>
      </c>
      <c r="X46" s="298" t="s">
        <v>199</v>
      </c>
      <c r="Y46" s="159"/>
      <c r="Z46" s="168" t="s">
        <v>165</v>
      </c>
      <c r="AA46" s="164">
        <f t="shared" si="3"/>
        <v>0</v>
      </c>
      <c r="AB46" s="164">
        <f xml:space="preserve"> G48 * X44</f>
        <v>762035.17500000005</v>
      </c>
      <c r="AC46" s="164"/>
      <c r="AD46" s="164"/>
      <c r="AE46" s="164"/>
      <c r="AF46" s="164"/>
      <c r="AH46" s="107" t="s">
        <v>113</v>
      </c>
      <c r="AI46" s="161">
        <f xml:space="preserve"> SUM(AI41:AI44)</f>
        <v>0</v>
      </c>
      <c r="AL46" s="168" t="s">
        <v>162</v>
      </c>
      <c r="AM46" s="164">
        <f t="shared" si="4"/>
        <v>231.28853599179328</v>
      </c>
      <c r="AN46" s="164">
        <f xml:space="preserve"> G51 / X44 * 1000</f>
        <v>231.28853599179328</v>
      </c>
      <c r="AO46" s="164"/>
      <c r="AU46" s="107" t="s">
        <v>124</v>
      </c>
      <c r="AV46" s="161">
        <f xml:space="preserve"> SUM(AV41:AV44)</f>
        <v>7035.9775167348989</v>
      </c>
      <c r="AW46" s="161" t="str">
        <f xml:space="preserve"> VLOOKUP(AV46, AV41:AX44, 3, FALSE)</f>
        <v>yearly</v>
      </c>
      <c r="AX46" s="172"/>
    </row>
    <row r="47" spans="1:50" s="123" customFormat="1" ht="15" customHeight="1">
      <c r="A47" s="159"/>
      <c r="G47" s="35" t="str">
        <f xml:space="preserve"> G18</f>
        <v>My_FeCl₃_Additive</v>
      </c>
      <c r="H47" s="35"/>
      <c r="J47" s="37" t="str">
        <f xml:space="preserve"> U13</f>
        <v>SBGx by SwissBiogas.com</v>
      </c>
      <c r="K47" s="37"/>
      <c r="L47" s="124"/>
      <c r="Q47" s="300"/>
      <c r="R47" s="300"/>
      <c r="W47" s="55" t="s">
        <v>105</v>
      </c>
      <c r="X47" s="56" t="s">
        <v>106</v>
      </c>
      <c r="Y47" s="159"/>
      <c r="Z47" s="168" t="s">
        <v>160</v>
      </c>
      <c r="AA47" s="164">
        <f t="shared" si="3"/>
        <v>0</v>
      </c>
      <c r="AB47" s="164">
        <f xml:space="preserve"> G48 * X45</f>
        <v>680388.55500000005</v>
      </c>
      <c r="AC47" s="164"/>
      <c r="AD47" s="164"/>
      <c r="AE47" s="164"/>
      <c r="AF47" s="164"/>
      <c r="AL47" s="168" t="s">
        <v>161</v>
      </c>
      <c r="AM47" s="164">
        <f t="shared" si="4"/>
        <v>0</v>
      </c>
      <c r="AN47" s="164">
        <f xml:space="preserve"> G51 / X45 * 1000</f>
        <v>259.04315806723116</v>
      </c>
      <c r="AO47" s="164"/>
      <c r="AQ47" s="107" t="e">
        <f xml:space="preserve"> "Price per " &amp;#REF!</f>
        <v>#REF!</v>
      </c>
      <c r="AR47" s="161">
        <f xml:space="preserve"> SUM(AR41:AR45)</f>
        <v>0</v>
      </c>
      <c r="AS47" s="161">
        <f xml:space="preserve"> IF(AR40 &gt; 0, AR47 / AR40 * AS40, 0)</f>
        <v>0</v>
      </c>
    </row>
    <row r="48" spans="1:50" s="123" customFormat="1" ht="15" customHeight="1">
      <c r="A48" s="159"/>
      <c r="C48" s="305" t="s">
        <v>204</v>
      </c>
      <c r="D48" s="173"/>
      <c r="E48" s="75" t="s">
        <v>218</v>
      </c>
      <c r="F48" s="377" t="s">
        <v>141</v>
      </c>
      <c r="G48" s="378">
        <v>750</v>
      </c>
      <c r="H48" s="39"/>
      <c r="J48" s="37"/>
      <c r="K48" s="37"/>
      <c r="L48" s="124"/>
      <c r="Q48" s="300"/>
      <c r="R48" s="300"/>
      <c r="W48" s="162" t="s">
        <v>107</v>
      </c>
      <c r="X48" s="163">
        <v>4.5460900000000004</v>
      </c>
      <c r="Y48" s="159"/>
      <c r="Z48" s="168" t="s">
        <v>166</v>
      </c>
      <c r="AA48" s="164">
        <f xml:space="preserve"> IF(IFERROR(SEARCH(Z48, $F$48), 0) = 0, 0, AB48)</f>
        <v>0</v>
      </c>
      <c r="AB48" s="164">
        <f xml:space="preserve"> G48 * X48 * AI46</f>
        <v>0</v>
      </c>
      <c r="AC48" s="164">
        <v>1</v>
      </c>
      <c r="AD48" s="164"/>
      <c r="AE48" s="164" t="str">
        <f xml:space="preserve"> AH43</f>
        <v>Pound per Imperial gallon [lb/gal]</v>
      </c>
      <c r="AF48" s="302" t="s">
        <v>202</v>
      </c>
      <c r="AG48" s="159"/>
      <c r="AH48" s="159"/>
      <c r="AL48" s="168" t="s">
        <v>163</v>
      </c>
      <c r="AM48" s="164">
        <f t="shared" si="4"/>
        <v>0</v>
      </c>
      <c r="AN48" s="164">
        <f xml:space="preserve"> IF(AI46 = 0, 0, G51 / (X48 * AI46) * 1000)</f>
        <v>0</v>
      </c>
      <c r="AO48" s="164">
        <v>1</v>
      </c>
    </row>
    <row r="49" spans="1:50" s="123" customFormat="1" ht="15" customHeight="1">
      <c r="A49" s="159"/>
      <c r="C49" s="173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82"/>
      <c r="E49" s="304"/>
      <c r="F49" s="131"/>
      <c r="G49" s="378"/>
      <c r="H49" s="39"/>
      <c r="J49" s="37"/>
      <c r="K49" s="37"/>
      <c r="L49" s="124"/>
      <c r="Q49" s="300"/>
      <c r="R49" s="300"/>
      <c r="W49" s="174" t="s">
        <v>173</v>
      </c>
      <c r="X49" s="175">
        <v>3.7854117839999999</v>
      </c>
      <c r="Y49" s="176"/>
      <c r="Z49" s="168" t="s">
        <v>174</v>
      </c>
      <c r="AA49" s="164">
        <f xml:space="preserve"> IF(IFERROR(SEARCH(Z49, $F$48), 0) = 0, 0, AB49)</f>
        <v>0</v>
      </c>
      <c r="AB49" s="177">
        <f xml:space="preserve"> G48 * X49 * AI46</f>
        <v>0</v>
      </c>
      <c r="AC49" s="177">
        <v>1</v>
      </c>
      <c r="AD49" s="177"/>
      <c r="AE49" s="177" t="str">
        <f xml:space="preserve"> AH44</f>
        <v>Pound per US gallon [lb/gal]</v>
      </c>
      <c r="AF49" s="303" t="s">
        <v>202</v>
      </c>
      <c r="AL49" s="168" t="s">
        <v>175</v>
      </c>
      <c r="AM49" s="164">
        <f t="shared" si="4"/>
        <v>0</v>
      </c>
      <c r="AN49" s="177">
        <f xml:space="preserve"> IF(AI46 = 0, 0, G51 / (X49 * AI46) * 1000)</f>
        <v>0</v>
      </c>
      <c r="AO49" s="177">
        <v>1</v>
      </c>
    </row>
    <row r="50" spans="1:50" s="123" customFormat="1" ht="15" customHeight="1">
      <c r="A50" s="159"/>
      <c r="C50" s="72" t="s">
        <v>263</v>
      </c>
      <c r="D50" s="72" t="s">
        <v>213</v>
      </c>
      <c r="E50" s="178"/>
      <c r="F50" s="179"/>
      <c r="G50" s="338">
        <f xml:space="preserve"> AA51</f>
        <v>340.1942775</v>
      </c>
      <c r="H50" s="39"/>
      <c r="J50" s="326">
        <f xml:space="preserve"> IF(ISERR(U43), 0, U43 / L31 * H31)</f>
        <v>79.208514219973765</v>
      </c>
      <c r="K50" s="84"/>
      <c r="L50" s="83" t="str">
        <f xml:space="preserve"> IF(AND(U43 &gt; 0, J50 &gt; 0, U43 &gt; J50), "Factor " &amp; TEXT(U43 / J50, "0.0") &amp; " x", "")</f>
        <v>Factor 4.3 x</v>
      </c>
      <c r="M50" s="20"/>
      <c r="N50" s="26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76.7% additive dosage reduction; Dosage factor = 4.3</v>
      </c>
      <c r="Q50" s="300"/>
      <c r="R50" s="300"/>
      <c r="W50" s="159"/>
      <c r="X50" s="180"/>
      <c r="Y50" s="159"/>
      <c r="Z50" s="159"/>
      <c r="AA50" s="159"/>
      <c r="AB50" s="181" t="s">
        <v>126</v>
      </c>
      <c r="AC50" s="159" t="s">
        <v>152</v>
      </c>
      <c r="AD50" s="159"/>
      <c r="AE50" s="159"/>
      <c r="AF50" s="159"/>
      <c r="AN50" s="171" t="s">
        <v>126</v>
      </c>
    </row>
    <row r="51" spans="1:50" s="123" customFormat="1" ht="15" customHeight="1">
      <c r="A51" s="159"/>
      <c r="C51" s="306" t="s">
        <v>205</v>
      </c>
      <c r="D51" s="182"/>
      <c r="E51" s="75" t="s">
        <v>218</v>
      </c>
      <c r="F51" s="409" t="s">
        <v>162</v>
      </c>
      <c r="G51" s="379">
        <v>235</v>
      </c>
      <c r="H51" s="39"/>
      <c r="J51" s="184"/>
      <c r="K51" s="185"/>
      <c r="L51" s="124"/>
      <c r="P51" s="171"/>
      <c r="Q51" s="300"/>
      <c r="R51" s="300"/>
      <c r="Z51" s="186" t="s">
        <v>114</v>
      </c>
      <c r="AA51" s="187">
        <f xml:space="preserve"> SUM(AA41:AA49)</f>
        <v>340.1942775</v>
      </c>
      <c r="AB51" s="161">
        <f xml:space="preserve"> IF(ISBLANK(F48), 1, VLOOKUP(F48,Z42:AC49,4,FALSE))</f>
        <v>0</v>
      </c>
      <c r="AC51" s="161" t="str">
        <f xml:space="preserve"> IF(ISBLANK(F48), 1, VLOOKUP(F48, Z42:AD49, 5, FALSE))</f>
        <v>uk/us</v>
      </c>
      <c r="AE51" s="161">
        <f xml:space="preserve"> IF(ISERROR(VLOOKUP(F48, Z42:AE49, 6, FALSE)), FALSE, VLOOKUP(F48, Z42:AE49, 6, FALSE))</f>
        <v>0</v>
      </c>
      <c r="AF51" s="161">
        <f xml:space="preserve"> VLOOKUP(F48, Z42:AF49, 7, FALSE)</f>
        <v>0</v>
      </c>
      <c r="AL51" s="107" t="s">
        <v>119</v>
      </c>
      <c r="AM51" s="161">
        <f xml:space="preserve"> SUM(AM41:AM49)</f>
        <v>231.28853599179328</v>
      </c>
      <c r="AN51" s="161">
        <f xml:space="preserve"> IF(ISBLANK(F51), 1, VLOOKUP(F51, AL42:AO49,4,FALSE))</f>
        <v>0</v>
      </c>
    </row>
    <row r="52" spans="1:50" s="123" customFormat="1" ht="15" customHeight="1">
      <c r="A52" s="159"/>
      <c r="C52" s="29" t="str">
        <f xml:space="preserve"> "Price comparison btw. your additive and " &amp; U12 &amp; " per metric ton [/t]"</f>
        <v>Price comparison btw. your additive and SBGx per metric ton [/t]</v>
      </c>
      <c r="D52" s="179"/>
      <c r="E52" s="179"/>
      <c r="F52" s="179"/>
      <c r="G52" s="92">
        <f xml:space="preserve"> AM51</f>
        <v>231.28853599179328</v>
      </c>
      <c r="H52" s="39"/>
      <c r="J52" s="380">
        <v>750</v>
      </c>
      <c r="K52" s="86"/>
      <c r="L52" s="97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209"/>
      <c r="Q52" s="300"/>
      <c r="R52" s="300"/>
      <c r="Y52" s="159"/>
      <c r="Z52" s="188"/>
      <c r="AA52" s="188"/>
    </row>
    <row r="53" spans="1:50" s="123" customFormat="1" ht="15" customHeight="1">
      <c r="A53" s="159"/>
      <c r="C53" s="29" t="s">
        <v>264</v>
      </c>
      <c r="D53" s="29" t="s">
        <v>206</v>
      </c>
      <c r="E53" s="29"/>
      <c r="F53" s="29"/>
      <c r="G53" s="93">
        <f xml:space="preserve"> IF(ISERR(U43), 0, IF(ISERR(U44), 0, IF(AND(U43 &gt; 0, U44 &gt; 0), U43 * U44 / 1000, 0)))</f>
        <v>78.683036395760865</v>
      </c>
      <c r="H53" s="155"/>
      <c r="J53" s="74">
        <f xml:space="preserve"> IF(ISERR(J50), 0, IF(ISERR(U45), 0, IF(AND(J50 &gt; 0, U45 &gt; 0), J50 * U45 / 1000, 0)))</f>
        <v>59.40638566498032</v>
      </c>
      <c r="K53" s="85"/>
      <c r="L53" s="83" t="str">
        <f xml:space="preserve"> IF(AND(G53 &gt; 0, J53 &gt; 0, G53 &gt; J53), "Factor " &amp; TEXT(G53 / J53, "0.0") &amp; " x", "")</f>
        <v>Factor 1.3 x</v>
      </c>
      <c r="M53" s="20"/>
      <c r="N53" s="26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24.5% additive cost reduction; Cost factor = 1.3</v>
      </c>
      <c r="O53" s="20"/>
      <c r="Y53" s="159"/>
      <c r="Z53" s="159"/>
      <c r="AA53" s="159"/>
    </row>
    <row r="54" spans="1:50" s="123" customFormat="1" ht="15" customHeight="1">
      <c r="C54" s="64"/>
      <c r="G54" s="155"/>
      <c r="H54" s="155"/>
      <c r="J54" s="331"/>
      <c r="K54" s="331"/>
      <c r="L54" s="331" t="s">
        <v>129</v>
      </c>
      <c r="O54" s="336"/>
      <c r="V54" s="180"/>
      <c r="Y54" s="159"/>
      <c r="Z54" s="159" t="s">
        <v>157</v>
      </c>
      <c r="AA54" s="159"/>
      <c r="AH54" s="123" t="s">
        <v>157</v>
      </c>
      <c r="AL54" s="123" t="s">
        <v>157</v>
      </c>
      <c r="AQ54" s="123" t="s">
        <v>157</v>
      </c>
    </row>
    <row r="55" spans="1:50" s="123" customFormat="1" ht="15" customHeight="1">
      <c r="A55" s="159"/>
      <c r="B55" s="20"/>
      <c r="C55" s="72" t="s">
        <v>224</v>
      </c>
      <c r="D55" s="72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7,036.--. (Minus 24.5%)</v>
      </c>
      <c r="E55" s="72"/>
      <c r="F55" s="72"/>
      <c r="G55" s="72"/>
      <c r="H55" s="72"/>
      <c r="I55" s="72"/>
      <c r="J55" s="72"/>
      <c r="K55" s="72"/>
      <c r="L55" s="381" t="s">
        <v>145</v>
      </c>
      <c r="N55" s="104"/>
      <c r="O55" s="337"/>
      <c r="Q55" s="104"/>
      <c r="R55" s="104"/>
      <c r="T55" s="123" t="s">
        <v>167</v>
      </c>
      <c r="V55" s="180"/>
      <c r="W55" s="104"/>
      <c r="X55" s="104"/>
      <c r="Y55" s="159"/>
      <c r="Z55" s="189" t="str">
        <f xml:space="preserve"> Z42</f>
        <v>Kilogram [kg/day]</v>
      </c>
      <c r="AA55" s="159"/>
      <c r="AB55" s="159"/>
      <c r="AC55" s="159"/>
      <c r="AD55" s="159"/>
      <c r="AE55" s="159"/>
      <c r="AF55" s="159"/>
      <c r="AG55" s="159"/>
      <c r="AH55" s="189" t="str">
        <f xml:space="preserve"> AH42</f>
        <v>Kilogram per litre [kg/l]</v>
      </c>
      <c r="AI55" s="104"/>
      <c r="AJ55" s="104"/>
      <c r="AK55" s="104"/>
      <c r="AL55" s="189" t="str">
        <f xml:space="preserve"> AL42</f>
        <v>Kilogram [/kg]</v>
      </c>
      <c r="AM55" s="104"/>
      <c r="AN55" s="104"/>
      <c r="AO55" s="104"/>
      <c r="AP55" s="104"/>
      <c r="AQ55" s="189" t="str">
        <f xml:space="preserve"> AQ42</f>
        <v>Kilogram [/kg]</v>
      </c>
      <c r="AR55" s="104"/>
      <c r="AT55" s="104"/>
      <c r="AU55" s="104"/>
      <c r="AV55" s="104"/>
      <c r="AW55" s="104"/>
      <c r="AX55" s="104"/>
    </row>
    <row r="56" spans="1:50" s="123" customFormat="1" ht="15" customHeight="1">
      <c r="A56" s="15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194"/>
      <c r="M56" s="167"/>
      <c r="N56" s="167"/>
      <c r="O56" s="113"/>
      <c r="P56" s="167"/>
      <c r="Q56" s="167"/>
      <c r="R56" s="167"/>
      <c r="S56" s="167"/>
      <c r="T56" s="159" t="s">
        <v>156</v>
      </c>
      <c r="V56" s="180"/>
      <c r="W56" s="104"/>
      <c r="X56" s="104"/>
      <c r="Y56" s="159"/>
      <c r="Z56" s="189" t="str">
        <f xml:space="preserve"> Z43</f>
        <v>Metric ton (Tonne) [t/day]</v>
      </c>
      <c r="AA56" s="159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89" t="str">
        <f xml:space="preserve"> AL43</f>
        <v>Metric ton (Tonne) [/t]</v>
      </c>
      <c r="AM56" s="104"/>
      <c r="AN56" s="104"/>
      <c r="AO56" s="104"/>
      <c r="AP56" s="104"/>
      <c r="AQ56" s="104"/>
      <c r="AR56" s="104"/>
      <c r="AT56" s="104"/>
      <c r="AU56" s="104"/>
      <c r="AV56" s="104"/>
      <c r="AW56" s="104"/>
      <c r="AX56" s="104"/>
    </row>
    <row r="57" spans="1:50" s="123" customFormat="1" ht="15" customHeight="1">
      <c r="A57" s="159"/>
      <c r="B57" s="197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97"/>
      <c r="T57" s="391" t="s">
        <v>271</v>
      </c>
      <c r="U57" s="190">
        <v>1</v>
      </c>
      <c r="V57" s="190">
        <f xml:space="preserve"> IF(IFERROR(SEARCH(T57, $F$46), 0) = 0, 0, U57)</f>
        <v>0</v>
      </c>
      <c r="W57" s="104"/>
      <c r="X57" s="104"/>
      <c r="Y57" s="159"/>
      <c r="Z57" s="189" t="str">
        <f xml:space="preserve"> Z44</f>
        <v>Litre [l/day]</v>
      </c>
      <c r="AA57" s="159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89" t="str">
        <f xml:space="preserve"> AL44</f>
        <v>Litre [/l]</v>
      </c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</row>
    <row r="58" spans="1:50" ht="15" customHeight="1">
      <c r="A58" s="104"/>
      <c r="B58" s="89" t="s">
        <v>64</v>
      </c>
      <c r="C58" s="89" t="s">
        <v>265</v>
      </c>
      <c r="D58" s="115"/>
      <c r="E58" s="115"/>
      <c r="F58" s="115"/>
      <c r="G58" s="115"/>
      <c r="H58" s="115"/>
      <c r="I58" s="115"/>
      <c r="J58" s="368" t="s">
        <v>266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92" t="s">
        <v>168</v>
      </c>
      <c r="U58" s="193">
        <v>2</v>
      </c>
      <c r="V58" s="190">
        <f xml:space="preserve"> IF(IFERROR(SEARCH(T58, $F$46), 0) = 0, 0, U58)</f>
        <v>2</v>
      </c>
      <c r="Y58" s="159"/>
      <c r="Z58" s="159" t="s">
        <v>158</v>
      </c>
      <c r="AA58" s="159"/>
      <c r="AH58" s="104" t="s">
        <v>158</v>
      </c>
      <c r="AL58" s="104" t="s">
        <v>158</v>
      </c>
      <c r="AQ58" s="104" t="s">
        <v>158</v>
      </c>
    </row>
    <row r="59" spans="1:50" ht="15" customHeight="1">
      <c r="A59" s="104"/>
      <c r="C59" s="407" t="str">
        <f xml:space="preserve"> "Volume of daily produced biogas in " &amp; IF(ISBLANK(H59), "[m³/day]", "")</f>
        <v xml:space="preserve">Volume of daily produced biogas in </v>
      </c>
      <c r="D59" s="173"/>
      <c r="E59" s="173"/>
      <c r="F59" s="173"/>
      <c r="G59" s="173"/>
      <c r="H59" s="434" t="s">
        <v>300</v>
      </c>
      <c r="I59" s="432"/>
      <c r="J59" s="382">
        <v>3650</v>
      </c>
      <c r="K59" s="203"/>
      <c r="L59" s="281" t="str">
        <f xml:space="preserve"> IF(MOD(ROUND(SUM(J59,J60,J67) * 1000000, 0), 10) = 3, " ← Complete example data set", "")</f>
        <v/>
      </c>
      <c r="N59" s="123"/>
      <c r="O59" s="291"/>
      <c r="P59" s="291"/>
      <c r="T59" s="195" t="s">
        <v>155</v>
      </c>
      <c r="U59" s="193">
        <v>3</v>
      </c>
      <c r="V59" s="190">
        <f xml:space="preserve"> IF(IFERROR(SEARCH(T59, $F$46), 0) = 0, 0, U59)</f>
        <v>0</v>
      </c>
      <c r="Y59" s="159"/>
      <c r="Z59" s="189" t="str">
        <f xml:space="preserve"> Z45</f>
        <v>Pound [lb/day]</v>
      </c>
      <c r="AA59" s="159"/>
      <c r="AH59" s="196" t="str">
        <f xml:space="preserve"> AH43</f>
        <v>Pound per Imperial gallon [lb/gal]</v>
      </c>
      <c r="AL59" s="196" t="str">
        <f xml:space="preserve"> AL45</f>
        <v>Pound [/lb]</v>
      </c>
      <c r="AQ59" s="196" t="str">
        <f xml:space="preserve"> AQ43</f>
        <v>Pound [/lb]</v>
      </c>
    </row>
    <row r="60" spans="1:50" ht="15" customHeight="1">
      <c r="A60" s="104"/>
      <c r="C60" s="227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82"/>
      <c r="E60" s="182"/>
      <c r="F60" s="182"/>
      <c r="G60" s="182"/>
      <c r="H60" s="434" t="s">
        <v>198</v>
      </c>
      <c r="I60" s="432"/>
      <c r="J60" s="383">
        <v>3500</v>
      </c>
      <c r="K60" s="203"/>
      <c r="L60" s="99" t="str">
        <f xml:space="preserve"> IF(L59 &lt;&gt; "", " ←", "")</f>
        <v/>
      </c>
      <c r="N60" s="123"/>
      <c r="O60" s="295"/>
      <c r="P60" s="292"/>
      <c r="T60" s="188"/>
      <c r="V60" s="180"/>
      <c r="Y60" s="159"/>
      <c r="Z60" s="189" t="str">
        <f xml:space="preserve"> Z46</f>
        <v>Imperial ton [t/day]</v>
      </c>
      <c r="AA60" s="159"/>
      <c r="AL60" s="196" t="str">
        <f xml:space="preserve"> AL46</f>
        <v>Imperial ton [/t]</v>
      </c>
      <c r="AQ60" s="196" t="str">
        <f xml:space="preserve"> AQ44</f>
        <v>Imperial ton [/t]</v>
      </c>
    </row>
    <row r="61" spans="1:50" ht="15" hidden="1" customHeight="1">
      <c r="A61" s="104"/>
      <c r="C61" s="29" t="s">
        <v>214</v>
      </c>
      <c r="D61" s="29"/>
      <c r="E61" s="29"/>
      <c r="F61" s="29"/>
      <c r="G61" s="29"/>
      <c r="H61" s="29"/>
      <c r="I61" s="277"/>
      <c r="J61" s="283">
        <f xml:space="preserve"> H98</f>
        <v>17806.625766871162</v>
      </c>
      <c r="K61" s="284"/>
      <c r="L61" s="328"/>
      <c r="N61" s="293"/>
      <c r="O61" s="292"/>
      <c r="P61" s="296"/>
      <c r="Q61" s="228"/>
      <c r="T61" s="123"/>
      <c r="V61" s="107">
        <f xml:space="preserve"> SUM(V57:V59)</f>
        <v>2</v>
      </c>
      <c r="Z61" s="196" t="str">
        <f xml:space="preserve"> Z48</f>
        <v>Imperial gallon [gal/day]</v>
      </c>
      <c r="AL61" s="196" t="str">
        <f xml:space="preserve"> AL48</f>
        <v>Imperial gallon [/gal]</v>
      </c>
    </row>
    <row r="62" spans="1:50" ht="15" customHeight="1">
      <c r="A62" s="104"/>
      <c r="C62" s="402" t="s">
        <v>296</v>
      </c>
      <c r="D62" s="173"/>
      <c r="E62" s="173"/>
      <c r="F62" s="173"/>
      <c r="G62" s="173"/>
      <c r="H62" s="421" t="s">
        <v>222</v>
      </c>
      <c r="I62" s="422"/>
      <c r="J62" s="383"/>
      <c r="K62" s="201"/>
      <c r="L62" s="98"/>
      <c r="N62" s="311"/>
      <c r="O62" s="294"/>
      <c r="P62" s="123"/>
      <c r="Q62" s="228"/>
      <c r="X62" s="180"/>
      <c r="Z62" s="104" t="s">
        <v>159</v>
      </c>
      <c r="AH62" s="104" t="s">
        <v>159</v>
      </c>
      <c r="AL62" s="104" t="s">
        <v>159</v>
      </c>
      <c r="AQ62" s="104" t="s">
        <v>159</v>
      </c>
    </row>
    <row r="63" spans="1:50" ht="15" customHeight="1">
      <c r="A63" s="104"/>
      <c r="C63" s="327" t="s">
        <v>215</v>
      </c>
      <c r="D63" s="182"/>
      <c r="E63" s="182"/>
      <c r="F63" s="182"/>
      <c r="G63" s="182"/>
      <c r="H63" s="423"/>
      <c r="I63" s="424"/>
      <c r="J63" s="384"/>
      <c r="K63" s="205"/>
      <c r="L63" s="30"/>
      <c r="R63" s="282"/>
      <c r="X63" s="180"/>
      <c r="Z63" s="196" t="str">
        <f xml:space="preserve"> Z45</f>
        <v>Pound [lb/day]</v>
      </c>
      <c r="AH63" s="196" t="str">
        <f xml:space="preserve"> AH44</f>
        <v>Pound per US gallon [lb/gal]</v>
      </c>
      <c r="AL63" s="196" t="str">
        <f xml:space="preserve"> AL45</f>
        <v>Pound [/lb]</v>
      </c>
      <c r="AQ63" s="196" t="str">
        <f xml:space="preserve"> AQ43</f>
        <v>Pound [/lb]</v>
      </c>
    </row>
    <row r="64" spans="1:50" ht="15" customHeight="1">
      <c r="A64" s="104"/>
      <c r="C64" s="327" t="s">
        <v>216</v>
      </c>
      <c r="D64" s="182"/>
      <c r="E64" s="182"/>
      <c r="F64" s="182"/>
      <c r="G64" s="182"/>
      <c r="H64" s="423"/>
      <c r="I64" s="424"/>
      <c r="J64" s="385"/>
      <c r="K64" s="207"/>
      <c r="L64" s="30"/>
      <c r="N64" s="252"/>
      <c r="O64" s="211"/>
      <c r="P64" s="233"/>
      <c r="Z64" s="196" t="str">
        <f xml:space="preserve"> Z47</f>
        <v>US short ton [t/day]</v>
      </c>
      <c r="AL64" s="196" t="str">
        <f xml:space="preserve"> AL47</f>
        <v>US short ton [/t]</v>
      </c>
      <c r="AQ64" s="196" t="str">
        <f xml:space="preserve"> AQ45</f>
        <v>US short ton [/t]</v>
      </c>
    </row>
    <row r="65" spans="1:51" ht="15" customHeight="1">
      <c r="A65" s="104"/>
      <c r="C65" s="395" t="s">
        <v>272</v>
      </c>
      <c r="D65" s="182"/>
      <c r="E65" s="182"/>
      <c r="F65" s="182"/>
      <c r="G65" s="182"/>
      <c r="H65" s="425"/>
      <c r="I65" s="426"/>
      <c r="J65" s="386"/>
      <c r="K65" s="88" t="str">
        <f xml:space="preserve"> IF(H109 &gt; 0, "Approx. " &amp; TEXT(H109, "0.000") &amp; " ", "")</f>
        <v/>
      </c>
      <c r="L65" s="253" t="str">
        <f xml:space="preserve"> IF(K65 = "", "", " ← Overwrite this calculated value only, if you have the measured value for the total content of sulfide in the liquid available.")</f>
        <v/>
      </c>
      <c r="O65" s="234"/>
      <c r="P65" s="233"/>
      <c r="Z65" s="196" t="str">
        <f xml:space="preserve"> Z49</f>
        <v>US gallon [gal/day]</v>
      </c>
      <c r="AL65" s="196" t="str">
        <f xml:space="preserve"> AL49</f>
        <v>US gallon [/gal]</v>
      </c>
    </row>
    <row r="66" spans="1:51" ht="15" hidden="1" customHeight="1">
      <c r="A66" s="104"/>
      <c r="C66" s="29" t="s">
        <v>212</v>
      </c>
      <c r="D66" s="29"/>
      <c r="E66" s="29"/>
      <c r="F66" s="29"/>
      <c r="G66" s="29"/>
      <c r="H66" s="279"/>
      <c r="I66" s="286"/>
      <c r="J66" s="283">
        <f xml:space="preserve"> H110</f>
        <v>0</v>
      </c>
      <c r="K66" s="285"/>
      <c r="L66" s="328"/>
      <c r="N66" s="95"/>
      <c r="O66" s="95"/>
      <c r="P66" s="95"/>
      <c r="Q66" s="228"/>
    </row>
    <row r="67" spans="1:51" ht="15" customHeight="1">
      <c r="A67" s="104"/>
      <c r="C67" s="396" t="s">
        <v>227</v>
      </c>
      <c r="D67" s="182"/>
      <c r="E67" s="182"/>
      <c r="F67" s="182"/>
      <c r="G67" s="182"/>
      <c r="H67" s="182"/>
      <c r="I67" s="131"/>
      <c r="J67" s="383">
        <v>1.7</v>
      </c>
      <c r="K67" s="87"/>
      <c r="L67" s="104" t="str">
        <f xml:space="preserve"> IF(L59 &lt;&gt; "", " ←", IF(AND(ISNUMBER(J67), J67 &lt;= 1), " Recommendation: Use a value greater than 1 for β; See footnote A.", ""))</f>
        <v/>
      </c>
      <c r="N67" s="258"/>
      <c r="O67" s="258"/>
      <c r="P67" s="258"/>
      <c r="Q67" s="287"/>
      <c r="R67" s="258"/>
      <c r="S67" s="258"/>
    </row>
    <row r="68" spans="1:51" s="95" customFormat="1" ht="12" customHeight="1">
      <c r="C68" s="94" t="s">
        <v>221</v>
      </c>
      <c r="D68" s="312"/>
      <c r="E68" s="312"/>
      <c r="G68" s="332"/>
      <c r="H68" s="332"/>
      <c r="I68" s="332"/>
      <c r="J68" s="332"/>
      <c r="K68" s="332"/>
      <c r="L68" s="332"/>
      <c r="O68" s="313"/>
    </row>
    <row r="69" spans="1:51" s="95" customFormat="1" ht="8.1" customHeight="1">
      <c r="C69" s="94"/>
      <c r="D69" s="312"/>
      <c r="E69" s="312"/>
      <c r="G69" s="332"/>
      <c r="H69" s="332"/>
      <c r="I69" s="332"/>
      <c r="J69" s="332"/>
      <c r="K69" s="332"/>
      <c r="L69" s="332"/>
      <c r="O69" s="313"/>
    </row>
    <row r="70" spans="1:51" s="95" customFormat="1" ht="15" customHeight="1">
      <c r="A70" s="104"/>
      <c r="B70" s="104"/>
      <c r="C70" s="211"/>
      <c r="D70" s="31"/>
      <c r="E70" s="31"/>
      <c r="F70" s="211"/>
      <c r="G70" s="35" t="str">
        <f xml:space="preserve"> G18</f>
        <v>My_FeCl₃_Additive</v>
      </c>
      <c r="H70" s="35"/>
      <c r="I70" s="104"/>
      <c r="J70" s="38" t="str">
        <f xml:space="preserve"> U13</f>
        <v>SBGx by SwissBiogas.com</v>
      </c>
      <c r="K70" s="38"/>
      <c r="L70" s="210"/>
      <c r="M70" s="104"/>
      <c r="N70" s="258"/>
      <c r="O70" s="255"/>
      <c r="P70" s="255"/>
      <c r="Q70" s="256"/>
      <c r="R70" s="256"/>
      <c r="S70" s="257"/>
    </row>
    <row r="71" spans="1:51" s="95" customFormat="1" ht="15" customHeight="1">
      <c r="A71" s="104"/>
      <c r="B71" s="104"/>
      <c r="C71" s="72" t="s">
        <v>63</v>
      </c>
      <c r="D71" s="72" t="s">
        <v>200</v>
      </c>
      <c r="E71" s="72"/>
      <c r="F71" s="178"/>
      <c r="G71" s="325">
        <f xml:space="preserve"> IF(V28 &gt; 0, H114 / V28 * 100 / 1000, 0)</f>
        <v>343.03879345603275</v>
      </c>
      <c r="H71" s="310"/>
      <c r="I71" s="104"/>
      <c r="J71" s="326">
        <f xml:space="preserve"> H114 / X28 * 100 / 1000</f>
        <v>79.870811905308472</v>
      </c>
      <c r="K71" s="77"/>
      <c r="L71" s="210"/>
      <c r="M71" s="104"/>
      <c r="N71" s="104"/>
      <c r="O71" s="104"/>
      <c r="P71" s="104"/>
      <c r="Q71" s="104"/>
      <c r="R71" s="104"/>
      <c r="S71" s="104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</row>
    <row r="72" spans="1:51" s="95" customFormat="1" ht="8.1" customHeight="1">
      <c r="C72" s="104"/>
      <c r="D72" s="20"/>
      <c r="E72" s="20"/>
      <c r="F72" s="123"/>
      <c r="G72" s="36"/>
      <c r="H72" s="43"/>
      <c r="I72" s="104"/>
      <c r="J72" s="91"/>
      <c r="K72" s="68"/>
      <c r="L72" s="226"/>
      <c r="M72" s="104"/>
      <c r="O72" s="255"/>
      <c r="P72" s="255"/>
      <c r="Q72" s="255"/>
      <c r="R72" s="255"/>
      <c r="S72" s="255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</row>
    <row r="73" spans="1:51" ht="15" customHeight="1">
      <c r="A73" s="411"/>
      <c r="B73" s="243"/>
      <c r="C73" s="387"/>
      <c r="D73" s="244"/>
      <c r="E73" s="244"/>
      <c r="F73" s="243"/>
      <c r="G73" s="243"/>
      <c r="H73" s="240"/>
      <c r="I73" s="243"/>
      <c r="J73" s="243"/>
      <c r="K73" s="243"/>
      <c r="L73" s="243"/>
      <c r="M73" s="243"/>
      <c r="N73" s="241"/>
      <c r="O73" s="243"/>
      <c r="P73" s="241"/>
      <c r="Q73" s="241"/>
      <c r="R73" s="241"/>
      <c r="S73" s="241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</row>
    <row r="74" spans="1:51" ht="15" customHeight="1">
      <c r="A74" s="411"/>
      <c r="B74" s="243"/>
      <c r="C74" s="433" t="s">
        <v>253</v>
      </c>
      <c r="D74" s="433"/>
      <c r="E74" s="433"/>
      <c r="F74" s="433"/>
      <c r="G74" s="433"/>
      <c r="H74" s="240"/>
      <c r="I74" s="243"/>
      <c r="J74" s="243"/>
      <c r="K74" s="243"/>
      <c r="L74" s="247" t="s">
        <v>48</v>
      </c>
      <c r="M74" s="243"/>
      <c r="O74" s="243"/>
      <c r="P74" s="241"/>
      <c r="Q74" s="241"/>
      <c r="R74" s="241"/>
      <c r="S74" s="241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</row>
    <row r="75" spans="1:51" ht="15" customHeight="1">
      <c r="A75" s="411"/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9"/>
      <c r="M75" s="248"/>
      <c r="N75" s="249"/>
      <c r="O75" s="248"/>
      <c r="P75" s="249"/>
      <c r="Q75" s="249"/>
      <c r="R75" s="249"/>
      <c r="S75" s="249"/>
    </row>
    <row r="76" spans="1:51" s="95" customFormat="1" ht="15" customHeight="1">
      <c r="A76" s="241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</row>
    <row r="77" spans="1:51" s="241" customFormat="1" ht="15" customHeight="1"/>
    <row r="78" spans="1:51" s="241" customFormat="1" ht="15" customHeight="1"/>
    <row r="79" spans="1:51" s="241" customFormat="1" ht="15" customHeight="1"/>
    <row r="80" spans="1:51" s="241" customFormat="1" ht="15" customHeight="1"/>
    <row r="81" spans="1:19" s="241" customFormat="1" ht="15" customHeight="1"/>
    <row r="82" spans="1:19" s="241" customFormat="1" ht="15" customHeight="1"/>
    <row r="83" spans="1:19" s="241" customFormat="1" ht="15" customHeight="1">
      <c r="A83" s="411"/>
      <c r="B83" s="243"/>
      <c r="H83" s="239"/>
      <c r="M83" s="243"/>
      <c r="N83" s="243"/>
      <c r="O83" s="243"/>
    </row>
    <row r="84" spans="1:19" s="241" customFormat="1" ht="15" customHeight="1">
      <c r="A84" s="411"/>
    </row>
    <row r="85" spans="1:19" s="241" customFormat="1" ht="15" customHeight="1">
      <c r="A85" s="411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6"/>
      <c r="Q85" s="246"/>
      <c r="R85" s="246"/>
      <c r="S85" s="246"/>
    </row>
    <row r="86" spans="1:19" s="241" customFormat="1" ht="15" customHeight="1">
      <c r="A86" s="412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5"/>
      <c r="Q86" s="235"/>
      <c r="R86" s="235"/>
      <c r="S86" s="235"/>
    </row>
    <row r="87" spans="1:19" s="241" customFormat="1" ht="15" customHeight="1">
      <c r="A87" s="412"/>
      <c r="B87" s="232"/>
      <c r="C87" s="413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5"/>
      <c r="Q87" s="235"/>
      <c r="R87" s="235"/>
      <c r="S87" s="235"/>
    </row>
    <row r="88" spans="1:19" s="241" customFormat="1" ht="15" hidden="1" customHeight="1">
      <c r="A88" s="412"/>
      <c r="B88" s="232"/>
      <c r="C88" s="405" t="s">
        <v>299</v>
      </c>
      <c r="D88" s="232"/>
      <c r="E88" s="232"/>
      <c r="F88" s="232"/>
      <c r="G88" s="232"/>
      <c r="H88" s="414" t="s">
        <v>300</v>
      </c>
      <c r="I88" s="232"/>
      <c r="J88" s="232"/>
      <c r="K88" s="232"/>
      <c r="L88" s="232"/>
      <c r="M88" s="232"/>
      <c r="N88" s="232"/>
      <c r="O88" s="232"/>
      <c r="P88" s="235"/>
      <c r="Q88" s="235"/>
      <c r="R88" s="235"/>
      <c r="S88" s="235"/>
    </row>
    <row r="89" spans="1:19" s="241" customFormat="1" ht="15" hidden="1" customHeight="1">
      <c r="A89" s="412"/>
      <c r="B89" s="232"/>
      <c r="C89" s="413"/>
      <c r="D89" s="232"/>
      <c r="E89" s="232"/>
      <c r="F89" s="232"/>
      <c r="G89" s="232"/>
      <c r="H89" s="408" t="s">
        <v>301</v>
      </c>
      <c r="I89" s="232"/>
      <c r="J89" s="232"/>
      <c r="K89" s="232"/>
      <c r="L89" s="235"/>
      <c r="M89" s="232"/>
      <c r="N89" s="232"/>
      <c r="O89" s="232"/>
      <c r="P89" s="235"/>
      <c r="Q89" s="235"/>
      <c r="R89" s="235"/>
      <c r="S89" s="235"/>
    </row>
    <row r="90" spans="1:19" s="241" customFormat="1" ht="15" hidden="1" customHeight="1">
      <c r="A90" s="412"/>
      <c r="B90" s="413"/>
      <c r="C90" s="237"/>
      <c r="D90" s="237"/>
      <c r="E90" s="237"/>
      <c r="F90" s="237"/>
      <c r="G90" s="237"/>
      <c r="H90" s="408" t="s">
        <v>302</v>
      </c>
      <c r="I90" s="237"/>
      <c r="J90" s="237"/>
      <c r="K90" s="237"/>
      <c r="L90" s="238"/>
      <c r="M90" s="237"/>
      <c r="N90" s="237"/>
      <c r="O90" s="237"/>
      <c r="P90" s="238"/>
      <c r="Q90" s="238"/>
      <c r="R90" s="238"/>
      <c r="S90" s="238"/>
    </row>
    <row r="91" spans="1:19" s="241" customFormat="1" ht="15" hidden="1" customHeight="1">
      <c r="A91" s="41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5"/>
      <c r="Q91" s="235"/>
      <c r="R91" s="235"/>
      <c r="S91" s="235"/>
    </row>
    <row r="92" spans="1:19" s="241" customFormat="1" ht="15" hidden="1" customHeight="1">
      <c r="A92" s="412"/>
      <c r="B92" s="232"/>
      <c r="C92" s="289" t="s">
        <v>196</v>
      </c>
      <c r="D92" s="232"/>
      <c r="E92" s="232"/>
      <c r="F92" s="232"/>
      <c r="G92" s="232"/>
      <c r="H92" s="290" t="s">
        <v>198</v>
      </c>
      <c r="I92" s="232"/>
      <c r="J92" s="232"/>
      <c r="K92" s="232"/>
      <c r="L92" s="232"/>
      <c r="M92" s="232"/>
      <c r="N92" s="232"/>
      <c r="O92" s="232"/>
      <c r="P92" s="235"/>
      <c r="Q92" s="235"/>
      <c r="R92" s="235"/>
      <c r="S92" s="235"/>
    </row>
    <row r="93" spans="1:19" s="241" customFormat="1" ht="15" hidden="1" customHeight="1">
      <c r="A93" s="412"/>
      <c r="B93" s="232"/>
      <c r="C93" s="235"/>
      <c r="D93" s="235"/>
      <c r="E93" s="235"/>
      <c r="F93" s="232"/>
      <c r="G93" s="232"/>
      <c r="H93" s="290" t="s">
        <v>197</v>
      </c>
      <c r="I93" s="232"/>
      <c r="J93" s="232"/>
      <c r="K93" s="232"/>
      <c r="L93" s="235"/>
      <c r="M93" s="232"/>
      <c r="N93" s="232"/>
      <c r="O93" s="232"/>
      <c r="P93" s="235"/>
      <c r="Q93" s="235"/>
      <c r="R93" s="235"/>
      <c r="S93" s="235"/>
    </row>
    <row r="94" spans="1:19" s="241" customFormat="1" ht="15" hidden="1" customHeight="1">
      <c r="A94" s="412"/>
      <c r="B94" s="232"/>
      <c r="C94" s="238"/>
      <c r="D94" s="238"/>
      <c r="E94" s="238"/>
      <c r="F94" s="237"/>
      <c r="G94" s="237"/>
      <c r="H94" s="232"/>
      <c r="I94" s="232"/>
      <c r="J94" s="232"/>
      <c r="K94" s="232"/>
      <c r="L94" s="232"/>
      <c r="M94" s="232"/>
      <c r="N94" s="232"/>
      <c r="O94" s="232"/>
      <c r="P94" s="235"/>
      <c r="Q94" s="235"/>
      <c r="R94" s="235"/>
      <c r="S94" s="235"/>
    </row>
    <row r="95" spans="1:19" s="241" customFormat="1" ht="15" hidden="1" customHeight="1">
      <c r="A95" s="159"/>
      <c r="B95" s="199"/>
      <c r="C95" s="198" t="s">
        <v>32</v>
      </c>
      <c r="D95" s="115"/>
      <c r="E95" s="115"/>
      <c r="F95" s="115"/>
      <c r="G95" s="115"/>
      <c r="H95" s="397">
        <v>55.844999999999999</v>
      </c>
      <c r="I95" s="104"/>
      <c r="J95" s="208"/>
      <c r="K95" s="208"/>
      <c r="L95" s="199"/>
      <c r="M95" s="199"/>
      <c r="N95" s="199"/>
      <c r="O95" s="199"/>
      <c r="P95" s="104"/>
      <c r="Q95" s="104"/>
      <c r="R95" s="104"/>
      <c r="S95" s="104"/>
    </row>
    <row r="96" spans="1:19" s="235" customFormat="1" ht="15" hidden="1" customHeight="1">
      <c r="A96" s="159"/>
      <c r="B96" s="199"/>
      <c r="C96" s="271" t="s">
        <v>181</v>
      </c>
      <c r="D96" s="115"/>
      <c r="E96" s="115"/>
      <c r="F96" s="115"/>
      <c r="G96" s="115"/>
      <c r="H96" s="397">
        <v>34.08</v>
      </c>
      <c r="I96" s="104"/>
      <c r="J96" s="229" t="s">
        <v>182</v>
      </c>
      <c r="K96" s="208"/>
      <c r="L96" s="199"/>
      <c r="M96" s="199"/>
      <c r="N96" s="199"/>
      <c r="O96" s="199"/>
      <c r="P96" s="104"/>
      <c r="Q96" s="104"/>
      <c r="R96" s="104"/>
      <c r="S96" s="104"/>
    </row>
    <row r="97" spans="1:19" s="235" customFormat="1" ht="15" hidden="1" customHeight="1">
      <c r="A97" s="159"/>
      <c r="B97" s="199"/>
      <c r="C97" s="272" t="s">
        <v>184</v>
      </c>
      <c r="D97" s="115"/>
      <c r="E97" s="115"/>
      <c r="F97" s="115"/>
      <c r="G97" s="115"/>
      <c r="H97" s="397">
        <v>24.45</v>
      </c>
      <c r="I97" s="104"/>
      <c r="J97" s="316" t="s">
        <v>183</v>
      </c>
      <c r="K97" s="208"/>
      <c r="L97" s="199"/>
      <c r="M97" s="199"/>
      <c r="N97" s="199"/>
      <c r="O97" s="199"/>
      <c r="P97" s="104"/>
      <c r="Q97" s="104"/>
      <c r="R97" s="104"/>
      <c r="S97" s="104"/>
    </row>
    <row r="98" spans="1:19" s="235" customFormat="1" ht="15" hidden="1" customHeight="1">
      <c r="A98" s="159"/>
      <c r="B98" s="104"/>
      <c r="C98" s="260" t="s">
        <v>193</v>
      </c>
      <c r="D98" s="104"/>
      <c r="E98" s="104"/>
      <c r="F98" s="104"/>
      <c r="G98" s="104"/>
      <c r="H98" s="278">
        <f xml:space="preserve"> IF(H60 = H93, H97 * J60 / H96, J60) / 1000 / H97 * H96 * IF(H59 = H89, J59 * X48 / 1000, IF(H59 = H90, J59 * X49 / 1000, J59))</f>
        <v>17806.625766871162</v>
      </c>
      <c r="I98" s="104"/>
      <c r="J98" s="104"/>
      <c r="K98" s="104"/>
      <c r="L98" s="288" t="s">
        <v>195</v>
      </c>
      <c r="M98" s="104"/>
      <c r="N98" s="104"/>
      <c r="O98" s="104"/>
      <c r="P98" s="104"/>
      <c r="Q98" s="104"/>
      <c r="R98" s="104"/>
      <c r="S98" s="104"/>
    </row>
    <row r="99" spans="1:19" s="235" customFormat="1" ht="15" hidden="1" customHeight="1">
      <c r="A99" s="159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</row>
    <row r="100" spans="1:19" s="235" customFormat="1" ht="15" hidden="1" customHeight="1">
      <c r="A100" s="159"/>
      <c r="B100" s="199"/>
      <c r="C100" s="198" t="s">
        <v>33</v>
      </c>
      <c r="D100" s="115"/>
      <c r="E100" s="115"/>
      <c r="F100" s="115"/>
      <c r="G100" s="115"/>
      <c r="H100" s="213">
        <f xml:space="preserve"> IF(J64 &gt; 0, 10 ^ -J64, 0)</f>
        <v>0</v>
      </c>
      <c r="I100" s="104"/>
      <c r="J100" s="214"/>
      <c r="K100" s="199"/>
      <c r="L100" s="199"/>
      <c r="M100" s="199"/>
      <c r="N100" s="199"/>
      <c r="O100" s="199"/>
      <c r="P100" s="104"/>
      <c r="Q100" s="104"/>
      <c r="R100" s="104"/>
      <c r="S100" s="104"/>
    </row>
    <row r="101" spans="1:19" s="235" customFormat="1" ht="15" hidden="1" customHeight="1">
      <c r="A101" s="159"/>
      <c r="B101" s="199"/>
      <c r="C101" s="198" t="s">
        <v>34</v>
      </c>
      <c r="D101" s="115"/>
      <c r="E101" s="115"/>
      <c r="F101" s="115"/>
      <c r="G101" s="115"/>
      <c r="H101" s="213">
        <f xml:space="preserve"> IF(J63 &gt; 0, 10 ^ -(1351.9 / (J63 + 273.15) + 0.0992 + 0.00792 * (J63 + 273.15)), 0)</f>
        <v>0</v>
      </c>
      <c r="I101" s="104"/>
      <c r="J101" s="199"/>
      <c r="K101" s="199"/>
      <c r="L101" s="199"/>
      <c r="M101" s="199"/>
      <c r="N101" s="199"/>
      <c r="O101" s="199"/>
      <c r="P101" s="104"/>
      <c r="Q101" s="104"/>
      <c r="R101" s="104"/>
      <c r="S101" s="104"/>
    </row>
    <row r="102" spans="1:19" s="235" customFormat="1" ht="15" hidden="1" customHeight="1">
      <c r="A102" s="159"/>
      <c r="B102" s="199"/>
      <c r="C102" s="198" t="s">
        <v>35</v>
      </c>
      <c r="D102" s="115"/>
      <c r="E102" s="115"/>
      <c r="F102" s="115"/>
      <c r="G102" s="115"/>
      <c r="H102" s="215">
        <f xml:space="preserve"> 10 ^ -11.96</f>
        <v>1.0964781961431817E-12</v>
      </c>
      <c r="I102" s="104"/>
      <c r="J102" s="154"/>
      <c r="K102" s="154"/>
      <c r="L102" s="199"/>
      <c r="M102" s="199"/>
      <c r="N102" s="199"/>
      <c r="O102" s="199"/>
      <c r="P102" s="104"/>
      <c r="Q102" s="104"/>
      <c r="R102" s="104"/>
      <c r="S102" s="104"/>
    </row>
    <row r="103" spans="1:19" s="235" customFormat="1" ht="15" hidden="1" customHeight="1">
      <c r="A103" s="159"/>
      <c r="B103" s="199"/>
      <c r="C103" s="198" t="s">
        <v>180</v>
      </c>
      <c r="D103" s="115"/>
      <c r="E103" s="115"/>
      <c r="F103" s="115"/>
      <c r="G103" s="115"/>
      <c r="H103" s="213">
        <f xml:space="preserve"> IF(H101 * H100 &gt; 0, (1 + H101 / H100 + H101 * H102 / H100 ^ 2) ^ -1, 0)</f>
        <v>0</v>
      </c>
      <c r="I103" s="104"/>
      <c r="J103" s="154"/>
      <c r="K103" s="154"/>
      <c r="L103" s="199"/>
      <c r="M103" s="199"/>
      <c r="N103" s="199"/>
      <c r="O103" s="199"/>
      <c r="P103" s="104"/>
      <c r="Q103" s="104"/>
      <c r="R103" s="104"/>
      <c r="S103" s="104"/>
    </row>
    <row r="104" spans="1:19" s="235" customFormat="1" ht="15" hidden="1" customHeight="1">
      <c r="A104" s="159"/>
      <c r="B104" s="199"/>
      <c r="C104" s="273" t="s">
        <v>191</v>
      </c>
      <c r="D104" s="115"/>
      <c r="E104" s="115"/>
      <c r="F104" s="115"/>
      <c r="G104" s="115"/>
      <c r="H104" s="213">
        <f xml:space="preserve"> IF(H103 &gt; 0, H101 / H100 * H103, 0)</f>
        <v>0</v>
      </c>
      <c r="I104" s="104"/>
      <c r="J104" s="250" t="s">
        <v>185</v>
      </c>
      <c r="K104" s="216"/>
      <c r="L104" s="217"/>
      <c r="M104" s="217"/>
      <c r="N104" s="217"/>
      <c r="O104" s="217"/>
      <c r="P104" s="105"/>
      <c r="Q104" s="105"/>
      <c r="R104" s="105"/>
      <c r="S104" s="104"/>
    </row>
    <row r="105" spans="1:19" ht="15" hidden="1" customHeight="1">
      <c r="B105" s="199"/>
      <c r="C105" s="273" t="s">
        <v>192</v>
      </c>
      <c r="D105" s="115"/>
      <c r="E105" s="115"/>
      <c r="F105" s="115"/>
      <c r="G105" s="276"/>
      <c r="H105" s="213" t="e">
        <f xml:space="preserve"> H101 * H102 / H100 ^ 2 * H103</f>
        <v>#DIV/0!</v>
      </c>
      <c r="J105" s="415" t="s">
        <v>178</v>
      </c>
      <c r="K105" s="216"/>
      <c r="L105" s="217"/>
      <c r="M105" s="217"/>
      <c r="N105" s="217"/>
      <c r="O105" s="217"/>
      <c r="P105" s="105"/>
      <c r="Q105" s="105"/>
      <c r="R105" s="105"/>
    </row>
    <row r="106" spans="1:19" ht="15" hidden="1" customHeight="1">
      <c r="B106" s="199"/>
      <c r="C106" s="274" t="s">
        <v>170</v>
      </c>
      <c r="D106" s="275"/>
      <c r="E106" s="275"/>
      <c r="F106" s="275"/>
      <c r="G106" s="275"/>
      <c r="H106" s="266"/>
      <c r="J106" s="154"/>
      <c r="K106" s="154"/>
      <c r="L106" s="199"/>
      <c r="M106" s="199"/>
      <c r="N106" s="199"/>
      <c r="O106" s="199"/>
    </row>
    <row r="107" spans="1:19" ht="15" hidden="1" customHeight="1">
      <c r="B107" s="199"/>
      <c r="C107" s="198" t="s">
        <v>36</v>
      </c>
      <c r="G107" s="199"/>
      <c r="H107" s="198"/>
      <c r="I107" s="199"/>
    </row>
    <row r="108" spans="1:19" ht="15" hidden="1" customHeight="1">
      <c r="B108" s="199"/>
      <c r="C108" s="218" t="s">
        <v>37</v>
      </c>
      <c r="G108" s="199"/>
      <c r="H108" s="199"/>
      <c r="I108" s="199"/>
    </row>
    <row r="109" spans="1:19" ht="15" hidden="1" customHeight="1">
      <c r="B109" s="199"/>
      <c r="C109" s="218" t="s">
        <v>171</v>
      </c>
      <c r="H109" s="213">
        <f xml:space="preserve"> IF(J60 * H103 &gt; 0, EXP((LN(J60) - 6.42) / 0.78) / H103, 0)</f>
        <v>0</v>
      </c>
      <c r="J109" s="219"/>
      <c r="K109" s="219"/>
      <c r="O109" s="199"/>
    </row>
    <row r="110" spans="1:19" ht="15" hidden="1" customHeight="1">
      <c r="B110" s="199"/>
      <c r="C110" s="280" t="s">
        <v>194</v>
      </c>
      <c r="D110" s="220"/>
      <c r="E110" s="220"/>
      <c r="F110" s="220"/>
      <c r="G110" s="220"/>
      <c r="H110" s="278">
        <f xml:space="preserve"> IF(ISNUMBER(J65), J65, H109) * J62</f>
        <v>0</v>
      </c>
      <c r="M110" s="219"/>
      <c r="N110" s="231"/>
      <c r="O110" s="199"/>
    </row>
    <row r="111" spans="1:19" ht="15" hidden="1" customHeight="1">
      <c r="B111" s="199"/>
      <c r="C111" s="199"/>
    </row>
    <row r="112" spans="1:19" ht="15" hidden="1" customHeight="1">
      <c r="B112" s="199"/>
      <c r="C112" s="199"/>
    </row>
    <row r="113" spans="2:15" ht="15" hidden="1" customHeight="1">
      <c r="B113" s="199"/>
      <c r="C113" s="329" t="s">
        <v>220</v>
      </c>
      <c r="H113" s="221">
        <f xml:space="preserve"> IF( H98 &gt; 0, H95 / H96 * (H98 + H110), 0)</f>
        <v>29178.726993865028</v>
      </c>
      <c r="L113" s="265" t="s">
        <v>189</v>
      </c>
    </row>
    <row r="114" spans="2:15" ht="15" hidden="1" customHeight="1">
      <c r="B114" s="199"/>
      <c r="C114" s="267" t="s">
        <v>219</v>
      </c>
      <c r="D114" s="268"/>
      <c r="E114" s="268"/>
      <c r="F114" s="268"/>
      <c r="G114" s="268"/>
      <c r="H114" s="221">
        <f xml:space="preserve"> IF(AND(J67 &gt; 0, H98 &gt; 0), J67 * H95 / H96 * (H98 + H110), 0)</f>
        <v>49603.835889570546</v>
      </c>
      <c r="J114" s="230"/>
      <c r="K114" s="199"/>
      <c r="L114" s="263">
        <f xml:space="preserve"> J60 / 1000 / H97 * H96 * J59</f>
        <v>17806.625766871162</v>
      </c>
      <c r="M114" s="199"/>
      <c r="N114" s="261" t="s">
        <v>187</v>
      </c>
      <c r="O114" s="199"/>
    </row>
    <row r="115" spans="2:15" ht="15" hidden="1" customHeight="1">
      <c r="B115" s="199"/>
      <c r="C115" s="269" t="s">
        <v>188</v>
      </c>
      <c r="D115" s="211"/>
      <c r="E115" s="211"/>
      <c r="F115" s="211"/>
      <c r="G115" s="211"/>
      <c r="H115" s="212"/>
      <c r="J115" s="199"/>
      <c r="K115" s="199"/>
      <c r="L115" s="264">
        <f xml:space="preserve"> J67 * H95 / H96 * L114</f>
        <v>49603.835889570546</v>
      </c>
      <c r="M115" s="199"/>
      <c r="N115" s="261" t="s">
        <v>190</v>
      </c>
      <c r="O115" s="199"/>
    </row>
    <row r="116" spans="2:15" ht="15" hidden="1" customHeight="1">
      <c r="B116" s="199"/>
      <c r="C116" s="219"/>
      <c r="D116" s="211"/>
      <c r="E116" s="211"/>
      <c r="F116" s="211"/>
      <c r="G116" s="270" t="s">
        <v>186</v>
      </c>
      <c r="H116" s="259">
        <f xml:space="preserve"> (IF(AND(ISNUMBER(J65), J65 &gt; 0), J65, H109) * J62 + J60 / 1000 / H97 * H96 * J59)</f>
        <v>17806.625766871162</v>
      </c>
      <c r="J116" s="199"/>
      <c r="K116" s="199"/>
      <c r="O116" s="199"/>
    </row>
    <row r="117" spans="2:15" ht="15" hidden="1" customHeight="1">
      <c r="B117" s="199"/>
      <c r="C117" s="219"/>
      <c r="D117" s="211"/>
      <c r="E117" s="211"/>
      <c r="F117" s="211"/>
      <c r="G117" s="211"/>
      <c r="H117" s="199"/>
      <c r="J117" s="199"/>
      <c r="K117" s="199"/>
      <c r="O117" s="199"/>
    </row>
    <row r="118" spans="2:15" ht="15" hidden="1" customHeight="1">
      <c r="B118" s="199"/>
      <c r="C118" s="199"/>
      <c r="H118" s="199"/>
      <c r="J118" s="199"/>
      <c r="K118" s="199"/>
      <c r="L118" s="199"/>
      <c r="M118" s="199"/>
      <c r="N118" s="199"/>
      <c r="O118" s="199"/>
    </row>
    <row r="119" spans="2:15" ht="18" hidden="1" customHeight="1">
      <c r="B119" s="199"/>
      <c r="C119" s="199" t="s">
        <v>38</v>
      </c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</row>
    <row r="120" spans="2:15" ht="18" hidden="1" customHeight="1">
      <c r="B120" s="199"/>
      <c r="C120" s="199" t="s">
        <v>39</v>
      </c>
      <c r="D120" s="222"/>
      <c r="E120" s="222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</row>
    <row r="121" spans="2:15" ht="15" hidden="1" customHeight="1">
      <c r="B121" s="199"/>
      <c r="C121" s="199" t="s">
        <v>40</v>
      </c>
      <c r="D121" s="223"/>
      <c r="E121" s="223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</row>
    <row r="122" spans="2:15" ht="15" hidden="1" customHeight="1">
      <c r="B122" s="199"/>
      <c r="C122" s="199"/>
      <c r="D122" s="212"/>
      <c r="E122" s="212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</row>
    <row r="123" spans="2:15" ht="15" hidden="1" customHeight="1">
      <c r="B123" s="159"/>
      <c r="C123" s="212" t="s">
        <v>41</v>
      </c>
      <c r="D123" s="212"/>
      <c r="E123" s="212"/>
      <c r="F123" s="199"/>
      <c r="G123" s="199"/>
      <c r="H123" s="199"/>
      <c r="I123" s="199"/>
      <c r="J123" s="199"/>
      <c r="K123" s="199"/>
      <c r="L123" s="159"/>
      <c r="M123" s="159"/>
      <c r="N123" s="159"/>
      <c r="O123" s="159"/>
    </row>
    <row r="124" spans="2:15" ht="15" hidden="1" customHeight="1">
      <c r="B124" s="159"/>
      <c r="C124" s="224" t="s">
        <v>42</v>
      </c>
      <c r="D124" s="199"/>
      <c r="E124" s="199"/>
      <c r="F124" s="199"/>
      <c r="G124" s="199"/>
      <c r="H124" s="199"/>
      <c r="I124" s="199"/>
      <c r="J124" s="159"/>
      <c r="K124" s="159"/>
      <c r="L124" s="159"/>
      <c r="M124" s="159"/>
      <c r="N124" s="159"/>
      <c r="O124" s="159"/>
    </row>
    <row r="125" spans="2:15" ht="18" hidden="1" customHeight="1">
      <c r="B125" s="159"/>
      <c r="C125" s="199" t="s">
        <v>43</v>
      </c>
      <c r="D125" s="212"/>
      <c r="E125" s="212"/>
      <c r="F125" s="199"/>
      <c r="G125" s="159"/>
      <c r="H125" s="199"/>
      <c r="I125" s="199"/>
      <c r="J125" s="159"/>
      <c r="K125" s="159"/>
      <c r="L125" s="159"/>
      <c r="M125" s="159"/>
      <c r="N125" s="159"/>
      <c r="O125" s="159"/>
    </row>
    <row r="126" spans="2:15" ht="15" hidden="1" customHeight="1">
      <c r="B126" s="159"/>
      <c r="C126" s="224" t="s">
        <v>44</v>
      </c>
      <c r="D126" s="180"/>
      <c r="E126" s="180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</row>
    <row r="127" spans="2:15" ht="15" hidden="1" customHeight="1">
      <c r="B127" s="159"/>
      <c r="C127" s="199" t="s">
        <v>45</v>
      </c>
      <c r="D127" s="180"/>
      <c r="E127" s="180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</row>
    <row r="128" spans="2:15" ht="15" hidden="1" customHeight="1">
      <c r="B128" s="159"/>
      <c r="C128" s="16" t="s">
        <v>46</v>
      </c>
      <c r="D128" s="180"/>
      <c r="E128" s="180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</row>
    <row r="129" spans="2:15" ht="15" hidden="1" customHeight="1">
      <c r="B129" s="159"/>
      <c r="C129" s="199" t="s">
        <v>47</v>
      </c>
      <c r="D129" s="180"/>
      <c r="E129" s="180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11" priority="5">
      <formula xml:space="preserve"> NOT(N20 = "")</formula>
    </cfRule>
  </conditionalFormatting>
  <conditionalFormatting sqref="J59:J60 J62:J65 J67">
    <cfRule type="expression" dxfId="10" priority="4">
      <formula xml:space="preserve"> AND(MOD(J59 * 1000000, 100) &gt; 0.99, MOD(J59 * 1000000, 100) &lt; 1.01)</formula>
    </cfRule>
  </conditionalFormatting>
  <conditionalFormatting sqref="J52">
    <cfRule type="expression" dxfId="9" priority="3">
      <formula xml:space="preserve"> NOT($L$52 = "")</formula>
    </cfRule>
  </conditionalFormatting>
  <conditionalFormatting sqref="G49">
    <cfRule type="expression" dxfId="8" priority="6">
      <formula xml:space="preserve"> OR(NOT($AB$51), ISBLANK($F$48))</formula>
    </cfRule>
  </conditionalFormatting>
  <conditionalFormatting sqref="C65">
    <cfRule type="expression" dxfId="7" priority="2">
      <formula xml:space="preserve"> AND(ISBLANK($J$65), K65 = "")</formula>
    </cfRule>
  </conditionalFormatting>
  <conditionalFormatting sqref="L67">
    <cfRule type="expression" dxfId="6" priority="1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horizontalDpi="0" verticalDpi="0" r:id="rId6"/>
  <drawing r:id="rId7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40"/>
  <sheetViews>
    <sheetView showGridLines="0" topLeftCell="A16" workbookViewId="0">
      <selection activeCell="A16" sqref="A16"/>
    </sheetView>
  </sheetViews>
  <sheetFormatPr defaultRowHeight="15"/>
  <cols>
    <col min="1" max="1" width="1.625" style="159" customWidth="1"/>
    <col min="2" max="2" width="2.125" style="104" customWidth="1"/>
    <col min="3" max="3" width="10.125" style="104" customWidth="1"/>
    <col min="4" max="4" width="16.25" style="104" customWidth="1"/>
    <col min="5" max="5" width="0.125" style="104" customWidth="1"/>
    <col min="6" max="6" width="26.75" style="104" customWidth="1"/>
    <col min="7" max="7" width="12.625" style="104" customWidth="1"/>
    <col min="8" max="8" width="10.625" style="104" customWidth="1"/>
    <col min="9" max="9" width="0.875" style="104" customWidth="1"/>
    <col min="10" max="10" width="12.625" style="104" customWidth="1"/>
    <col min="11" max="11" width="0.125" style="104" customWidth="1"/>
    <col min="12" max="12" width="10.625" style="104" customWidth="1"/>
    <col min="13" max="13" width="0.875" style="104" customWidth="1"/>
    <col min="14" max="14" width="33" style="104" customWidth="1"/>
    <col min="15" max="16" width="7.5" style="104" customWidth="1"/>
    <col min="17" max="17" width="15.75" style="104" customWidth="1"/>
    <col min="18" max="19" width="12.125" style="104" customWidth="1"/>
    <col min="20" max="24" width="12.625" style="104" hidden="1" customWidth="1"/>
    <col min="25" max="25" width="9" style="104" hidden="1" customWidth="1"/>
    <col min="26" max="26" width="24.875" style="104" hidden="1" customWidth="1"/>
    <col min="27" max="28" width="10.875" style="104" hidden="1" customWidth="1"/>
    <col min="29" max="30" width="3.25" style="104" hidden="1" customWidth="1"/>
    <col min="31" max="31" width="10.75" style="104" hidden="1" customWidth="1"/>
    <col min="32" max="32" width="3.25" style="104" hidden="1" customWidth="1"/>
    <col min="33" max="33" width="9" style="104" hidden="1" customWidth="1"/>
    <col min="34" max="34" width="26.125" style="104" hidden="1" customWidth="1"/>
    <col min="35" max="36" width="10.875" style="104" hidden="1" customWidth="1"/>
    <col min="37" max="37" width="9" style="104" hidden="1" customWidth="1"/>
    <col min="38" max="38" width="21.25" style="104" hidden="1" customWidth="1"/>
    <col min="39" max="40" width="10.875" style="104" hidden="1" customWidth="1"/>
    <col min="41" max="41" width="3.25" style="104" hidden="1" customWidth="1"/>
    <col min="42" max="42" width="9" style="104" hidden="1" customWidth="1"/>
    <col min="43" max="43" width="19" style="104" hidden="1" customWidth="1"/>
    <col min="44" max="46" width="9" style="104" hidden="1" customWidth="1"/>
    <col min="47" max="47" width="14.625" style="104" hidden="1" customWidth="1"/>
    <col min="48" max="50" width="9" style="104" hidden="1" customWidth="1"/>
    <col min="51" max="16384" width="9" style="104"/>
  </cols>
  <sheetData>
    <row r="1" spans="2:50" ht="9.9499999999999993" hidden="1" customHeight="1"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</row>
    <row r="2" spans="2:50" ht="18.75" hidden="1">
      <c r="B2" s="28" t="s">
        <v>68</v>
      </c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</row>
    <row r="3" spans="2:50" ht="15" hidden="1" customHeight="1">
      <c r="B3" s="21" t="str">
        <f xml:space="preserve"> IF(EXACT(L74, "powered by SwissBiogas.com"), "", "*** This version is not authorised by SwissBiogas.com ***")</f>
        <v/>
      </c>
    </row>
    <row r="4" spans="2:50" ht="15" hidden="1" customHeight="1">
      <c r="B4" s="333" t="s">
        <v>225</v>
      </c>
    </row>
    <row r="5" spans="2:50" ht="15" hidden="1" customHeight="1">
      <c r="B5" s="239" t="s">
        <v>226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2:50" ht="15" hidden="1" customHeight="1">
      <c r="B6" s="104" t="s">
        <v>73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2:50" ht="15" hidden="1" customHeight="1">
      <c r="B7" s="104" t="s">
        <v>69</v>
      </c>
      <c r="C7" s="104" t="s">
        <v>94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2:50" ht="15" hidden="1" customHeight="1">
      <c r="C8" s="104" t="s">
        <v>72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2:50" ht="15" hidden="1" customHeight="1">
      <c r="B9" s="104" t="s">
        <v>69</v>
      </c>
      <c r="C9" s="104" t="s">
        <v>134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2:50" ht="15" hidden="1" customHeight="1">
      <c r="C10" s="104" t="s">
        <v>135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2:50" ht="15" hidden="1" customHeight="1">
      <c r="C11" s="104" t="s">
        <v>71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2:50" ht="15" hidden="1" customHeight="1">
      <c r="B12" s="104" t="s">
        <v>69</v>
      </c>
      <c r="C12" s="104" t="s">
        <v>95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T12" s="107" t="s">
        <v>130</v>
      </c>
      <c r="U12" s="108" t="s">
        <v>19</v>
      </c>
      <c r="V12" s="109"/>
    </row>
    <row r="13" spans="2:50" ht="15" hidden="1" customHeight="1">
      <c r="C13" s="104" t="s">
        <v>136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T13" s="110" t="s">
        <v>131</v>
      </c>
      <c r="U13" s="111" t="s">
        <v>50</v>
      </c>
      <c r="V13" s="112"/>
    </row>
    <row r="14" spans="2:50" ht="15" hidden="1" customHeight="1">
      <c r="C14" s="104" t="s">
        <v>137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390"/>
    </row>
    <row r="15" spans="2:50" ht="15" hidden="1" customHeight="1">
      <c r="B15" s="113"/>
      <c r="C15" s="388" t="str">
        <f xml:space="preserve"> IF(MOD(ROUND(SUM(G20:G30,J52,J59:J60,J67) * 1000000, 0), 10) &gt;=  6, "Tip: Take a look at the complete examples which you can open by clicking on the tabs ""Example EU/GB/US"" directly below this document.", "")</f>
        <v/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3"/>
      <c r="P15" s="113"/>
      <c r="Q15" s="113"/>
      <c r="R15" s="113"/>
      <c r="S15" s="113"/>
      <c r="T15" s="20" t="s">
        <v>118</v>
      </c>
    </row>
    <row r="16" spans="2:50" ht="15" customHeight="1"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6" t="s">
        <v>61</v>
      </c>
      <c r="U16" s="117" t="s">
        <v>87</v>
      </c>
      <c r="V16" s="118">
        <f xml:space="preserve"> IF(NOT(ISERR(G30)), IF(AND(ISNUMBER(G30), G30 &gt; 0), G30, 0), 0)</f>
        <v>1.5</v>
      </c>
      <c r="W16" s="117" t="s">
        <v>88</v>
      </c>
      <c r="X16" s="119">
        <f xml:space="preserve"> IF(NOT(ISERR(G30)), IF(ISNUMBER(G30), basis!D22, 0), 0)</f>
        <v>2</v>
      </c>
    </row>
    <row r="17" spans="1:24" ht="15" customHeight="1">
      <c r="B17" s="89" t="s">
        <v>66</v>
      </c>
      <c r="C17" s="89" t="s">
        <v>67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07" t="s">
        <v>79</v>
      </c>
      <c r="U17" s="120" t="s">
        <v>74</v>
      </c>
      <c r="V17" s="121" t="s">
        <v>75</v>
      </c>
      <c r="W17" s="120" t="s">
        <v>76</v>
      </c>
      <c r="X17" s="122" t="s">
        <v>77</v>
      </c>
    </row>
    <row r="18" spans="1:24" s="123" customFormat="1" ht="15" customHeight="1">
      <c r="A18" s="159"/>
      <c r="C18" s="20" t="s">
        <v>177</v>
      </c>
      <c r="D18" s="20"/>
      <c r="E18" s="20"/>
      <c r="F18" s="410" t="s">
        <v>270</v>
      </c>
      <c r="G18" s="35" t="str">
        <f xml:space="preserve"> IF(OR(F18 = "", F18 = " ", F18 = "  "), "Your Additive", F18)</f>
        <v>My_FeO(OH)_Additive</v>
      </c>
      <c r="H18" s="36"/>
      <c r="J18" s="37" t="str">
        <f xml:space="preserve"> U13</f>
        <v>SBGx by SwissBiogas.com</v>
      </c>
      <c r="K18" s="37"/>
      <c r="L18" s="124"/>
      <c r="N18" s="389"/>
      <c r="T18" s="125" t="s">
        <v>80</v>
      </c>
      <c r="U18" s="126">
        <f xml:space="preserve"> IF(ISERR(G20), 0, IF(AND(ISNUMBER(G20), G20 &gt; 0), G20 * basis!E8 / 100 * (100 - $V$16) / 100, 0))</f>
        <v>0</v>
      </c>
      <c r="V18" s="127">
        <v>0</v>
      </c>
      <c r="W18" s="126">
        <f xml:space="preserve"> IF(J20 &gt; 0, J20 * basis!E8 / 100 * (100 - X16) / 100, 0)</f>
        <v>31.856750727962098</v>
      </c>
      <c r="X18" s="128">
        <v>0</v>
      </c>
    </row>
    <row r="19" spans="1:24" ht="15" customHeight="1">
      <c r="A19" s="104"/>
      <c r="C19" s="45" t="s">
        <v>62</v>
      </c>
      <c r="D19" s="46" t="s">
        <v>92</v>
      </c>
      <c r="E19" s="46"/>
      <c r="F19" s="45" t="s">
        <v>93</v>
      </c>
      <c r="G19" s="47" t="s">
        <v>133</v>
      </c>
      <c r="H19" s="48" t="s">
        <v>26</v>
      </c>
      <c r="I19" s="49"/>
      <c r="J19" s="50" t="s">
        <v>169</v>
      </c>
      <c r="K19" s="78"/>
      <c r="L19" s="79" t="s">
        <v>26</v>
      </c>
      <c r="M19" s="44"/>
      <c r="T19" s="125" t="s">
        <v>81</v>
      </c>
      <c r="U19" s="126">
        <v>0</v>
      </c>
      <c r="V19" s="127">
        <f xml:space="preserve"> IF(ISERR(G21), 0, IF(AND(ISNUMBER(G21), G21 &gt; 0), G21 * basis!E9 / 100 * (100 - $V$16) / 100, 0))</f>
        <v>0</v>
      </c>
      <c r="W19" s="126">
        <v>0</v>
      </c>
      <c r="X19" s="128">
        <f xml:space="preserve"> IF(J21 &gt; 0, J21 * basis!E9 / 100 * (100 - X16) / 100, 0)</f>
        <v>30.24833460456064</v>
      </c>
    </row>
    <row r="20" spans="1:24" ht="15" customHeight="1">
      <c r="C20" s="130" t="s">
        <v>5</v>
      </c>
      <c r="D20" s="42" t="str">
        <f xml:space="preserve"> IF(OR(H20 &gt; 0, J20 &gt; 0), "Fe²⁺, ""ferrous""", "")</f>
        <v>Fe²⁺, "ferrous"</v>
      </c>
      <c r="E20" s="42"/>
      <c r="F20" s="131" t="str">
        <f xml:space="preserve"> IF(OR(H20 &gt; 0, J20 &gt; 0), "Iron(II) oxide", "")</f>
        <v>Iron(II) oxide</v>
      </c>
      <c r="G20" s="374"/>
      <c r="H20" s="41">
        <f t="shared" ref="H20:H28" si="0" xml:space="preserve"> SUM(U18:V18)</f>
        <v>0</v>
      </c>
      <c r="J20" s="133">
        <f xml:space="preserve"> basis!B22</f>
        <v>41.82</v>
      </c>
      <c r="K20" s="134"/>
      <c r="L20" s="80">
        <f t="shared" ref="L20:L28" si="1" xml:space="preserve"> SUM(W18:X18)</f>
        <v>31.856750727962098</v>
      </c>
      <c r="M20" s="27"/>
      <c r="N20" s="96" t="str">
        <f xml:space="preserve"> IF(ISERR(MOD(ROUND(G20 * 1000000, 0), 10) = 1), "", IF(MOD(ROUND(G20 * 1000000, 0), 10) = 1, "← " &amp; TEXT(G20, "0.00") &amp; ": Example - Delete or replace with your own additive's value(s)", ""))</f>
        <v/>
      </c>
      <c r="T20" s="125" t="s">
        <v>78</v>
      </c>
      <c r="U20" s="126">
        <f xml:space="preserve"> IF(ISERR(G22), 0, IF(AND(ISNUMBER(G22), G22 &gt; 0), G22 / 3 * basis!E10 / 100 * (100 - $V$16) / 100, 0))</f>
        <v>0</v>
      </c>
      <c r="V20" s="127">
        <f xml:space="preserve"> IF(ISERR(G22), 0, IF(AND(ISNUMBER(G22), G22 &gt; 0), G22 * 2 / 3 * basis!E10 / 100 * (100 - $V$16) / 100, 0))</f>
        <v>0</v>
      </c>
      <c r="W20" s="126">
        <f xml:space="preserve"> IF(J22 &gt; 0, J22 / 3 * basis!E10 / 100 * (100 - X16) / 100, 0)</f>
        <v>0</v>
      </c>
      <c r="X20" s="128">
        <f xml:space="preserve"> IF(J22 &gt; 0, J22 * 2 / 3 * basis!E10 / 100 * (100 - X16) / 100, 0)</f>
        <v>0</v>
      </c>
    </row>
    <row r="21" spans="1:24" ht="15" customHeight="1">
      <c r="C21" s="130" t="s">
        <v>27</v>
      </c>
      <c r="D21" s="42" t="str">
        <f xml:space="preserve"> IF(OR(H21 &gt; 0, J21 &gt; 0), "Fe³⁺, ""ferric""", "")</f>
        <v>Fe³⁺, "ferric"</v>
      </c>
      <c r="E21" s="42"/>
      <c r="F21" s="131" t="str">
        <f xml:space="preserve"> IF(OR(H21 &gt; 0, J21 &gt; 0), "Iron(III) oxide", "")</f>
        <v>Iron(III) oxide</v>
      </c>
      <c r="G21" s="374"/>
      <c r="H21" s="41">
        <f t="shared" si="0"/>
        <v>0</v>
      </c>
      <c r="J21" s="135">
        <f xml:space="preserve"> basis!C22</f>
        <v>44.13</v>
      </c>
      <c r="K21" s="136"/>
      <c r="L21" s="80">
        <f t="shared" si="1"/>
        <v>30.24833460456064</v>
      </c>
      <c r="M21" s="27"/>
      <c r="N21" s="96" t="str">
        <f t="shared" ref="N21:N29" si="2" xml:space="preserve"> IF(ISERR(MOD(ROUND(G21 * 1000000, 0), 10) = 1), "", IF(MOD(ROUND(G21 * 1000000, 0), 10) = 1, "← " &amp; TEXT(G21, "0.00") &amp; ": Example - Delete or replace with your own additive's value(s)", ""))</f>
        <v/>
      </c>
      <c r="T21" s="125" t="s">
        <v>80</v>
      </c>
      <c r="U21" s="126">
        <f xml:space="preserve"> IF(ISERR(G23), 0, IF(AND(ISNUMBER(G23), G23 &gt; 0), G23 * basis!E11 / 100 * (100 - $V$16) / 100, 0))</f>
        <v>0</v>
      </c>
      <c r="V21" s="127">
        <v>0</v>
      </c>
      <c r="W21" s="126">
        <f xml:space="preserve"> IF(J23 &gt; 0, J23 * basis!E11 / 100 * (100 - X16) / 100, 0)</f>
        <v>0</v>
      </c>
      <c r="X21" s="128">
        <v>0</v>
      </c>
    </row>
    <row r="22" spans="1:24" ht="15" customHeight="1">
      <c r="C22" s="131" t="s">
        <v>28</v>
      </c>
      <c r="D22" s="42" t="str">
        <f xml:space="preserve"> IF(OR(H22 &gt; 0, J22 &gt; 0), "⅓ Fe²⁺ + ⅔ Fe³⁺", "")</f>
        <v/>
      </c>
      <c r="E22" s="42"/>
      <c r="F22" s="131" t="str">
        <f xml:space="preserve"> IF(OR(H22 &gt; 0, J22 &gt; 0), "Iron(II,III) oxide", "")</f>
        <v/>
      </c>
      <c r="G22" s="374"/>
      <c r="H22" s="41">
        <f t="shared" si="0"/>
        <v>0</v>
      </c>
      <c r="J22" s="137"/>
      <c r="K22" s="138"/>
      <c r="L22" s="80">
        <f t="shared" si="1"/>
        <v>0</v>
      </c>
      <c r="M22" s="27"/>
      <c r="N22" s="96" t="str">
        <f t="shared" si="2"/>
        <v/>
      </c>
      <c r="T22" s="125" t="s">
        <v>81</v>
      </c>
      <c r="U22" s="126">
        <v>0</v>
      </c>
      <c r="V22" s="127">
        <f xml:space="preserve"> IF(ISERR(G24), 0, IF(AND(ISNUMBER(G24), G24 &gt; 0), G24 * basis!E12 / 100 * (100 - $V$16) / 100, 0))</f>
        <v>0</v>
      </c>
      <c r="W22" s="126">
        <v>0</v>
      </c>
      <c r="X22" s="128">
        <f xml:space="preserve"> IF(J24 &gt; 0, J24 * basis!E12 / 100 * (100 - X16) / 100, 0)</f>
        <v>0</v>
      </c>
    </row>
    <row r="23" spans="1:24" ht="15" customHeight="1">
      <c r="C23" s="131" t="s">
        <v>29</v>
      </c>
      <c r="D23" s="42" t="str">
        <f xml:space="preserve"> IF(OR(H23 &gt; 0, J23 &gt; 0), "Fe²⁺, ""ferrous""", "")</f>
        <v/>
      </c>
      <c r="E23" s="42"/>
      <c r="F23" s="131" t="str">
        <f xml:space="preserve"> IF(OR(H23 &gt; 0, J23 &gt; 0), "Iron(II) chloride", "")</f>
        <v/>
      </c>
      <c r="G23" s="374"/>
      <c r="H23" s="41">
        <f t="shared" si="0"/>
        <v>0</v>
      </c>
      <c r="J23" s="137"/>
      <c r="K23" s="138"/>
      <c r="L23" s="80">
        <f t="shared" si="1"/>
        <v>0</v>
      </c>
      <c r="M23" s="27"/>
      <c r="N23" s="96" t="str">
        <f t="shared" si="2"/>
        <v/>
      </c>
      <c r="T23" s="125" t="s">
        <v>81</v>
      </c>
      <c r="U23" s="126">
        <v>0</v>
      </c>
      <c r="V23" s="127">
        <f xml:space="preserve"> IF(ISERR(G25), 0, IF(AND(ISNUMBER(G25), G25 &gt; 0), G25 * basis!E13 / 100 * (100 - $V$16) / 100, 0))</f>
        <v>44.574562073854707</v>
      </c>
      <c r="W23" s="126">
        <v>0</v>
      </c>
      <c r="X23" s="128">
        <f xml:space="preserve"> IF(J25 &gt; 0, J25 * basis!E13 / 100 * (100 - X16) / 100, 0)</f>
        <v>0</v>
      </c>
    </row>
    <row r="24" spans="1:24" ht="15" customHeight="1">
      <c r="C24" s="131" t="s">
        <v>30</v>
      </c>
      <c r="D24" s="42" t="str">
        <f xml:space="preserve"> IF(OR(H24 &gt; 0, J24 &gt; 0), "Fe³⁺, ""ferric""", "")</f>
        <v/>
      </c>
      <c r="E24" s="42"/>
      <c r="F24" s="131" t="str">
        <f xml:space="preserve"> IF(OR(H24 &gt; 0, J24 &gt; 0), "Iron(III) chloride", "")</f>
        <v/>
      </c>
      <c r="G24" s="374"/>
      <c r="H24" s="41">
        <f t="shared" si="0"/>
        <v>0</v>
      </c>
      <c r="J24" s="137"/>
      <c r="K24" s="138"/>
      <c r="L24" s="80">
        <f t="shared" si="1"/>
        <v>0</v>
      </c>
      <c r="M24" s="27"/>
      <c r="N24" s="96" t="str">
        <f t="shared" si="2"/>
        <v/>
      </c>
      <c r="T24" s="125" t="s">
        <v>80</v>
      </c>
      <c r="U24" s="126">
        <f xml:space="preserve"> IF(ISERR(G26), 0, IF(AND(ISNUMBER(G26), G26 &gt; 0), G26 * basis!E14 / 100 * (100 - $V$16) / 100, 0))</f>
        <v>0</v>
      </c>
      <c r="V24" s="127">
        <v>0</v>
      </c>
      <c r="W24" s="126">
        <f xml:space="preserve"> IF(J26 &gt; 0, J26 * basis!E14 / 100 * (100 - X16) / 100, 0)</f>
        <v>0</v>
      </c>
      <c r="X24" s="128">
        <v>0</v>
      </c>
    </row>
    <row r="25" spans="1:24" ht="15" customHeight="1">
      <c r="C25" s="131" t="s">
        <v>15</v>
      </c>
      <c r="D25" s="42" t="str">
        <f xml:space="preserve"> IF(OR(H25 &gt; 0, J25 &gt; 0), "Fe³⁺, ""ferric""", "")</f>
        <v>Fe³⁺, "ferric"</v>
      </c>
      <c r="E25" s="42"/>
      <c r="F25" s="131" t="str">
        <f xml:space="preserve"> IF(OR(H25 &gt; 0, J25 &gt; 0), "Iron(III) oxide-hydroxide", "")</f>
        <v>Iron(III) oxide-hydroxide</v>
      </c>
      <c r="G25" s="375">
        <v>72</v>
      </c>
      <c r="H25" s="41">
        <f t="shared" si="0"/>
        <v>44.574562073854707</v>
      </c>
      <c r="J25" s="137"/>
      <c r="K25" s="138"/>
      <c r="L25" s="80">
        <f t="shared" si="1"/>
        <v>0</v>
      </c>
      <c r="M25" s="27"/>
      <c r="N25" s="96" t="str">
        <f t="shared" si="2"/>
        <v/>
      </c>
      <c r="T25" s="125" t="s">
        <v>81</v>
      </c>
      <c r="U25" s="126">
        <v>0</v>
      </c>
      <c r="V25" s="127">
        <f xml:space="preserve"> IF(ISERR(G27), 0, IF(AND(ISNUMBER(G27), G27 &gt; 0), G27 * basis!E15 / 100 * (100 - $V$16) / 100, 0))</f>
        <v>0</v>
      </c>
      <c r="W25" s="126">
        <v>0</v>
      </c>
      <c r="X25" s="128">
        <f xml:space="preserve"> IF(J27 &gt; 0, J27 * basis!E15 / 100 * (100 - X16) / 100, 0)</f>
        <v>0</v>
      </c>
    </row>
    <row r="26" spans="1:24" ht="15" customHeight="1">
      <c r="C26" s="131" t="s">
        <v>55</v>
      </c>
      <c r="D26" s="42" t="str">
        <f xml:space="preserve"> IF(OR(H26 &gt; 0, J26 &gt; 0), "Fe²⁺, ""ferrous""", "")</f>
        <v/>
      </c>
      <c r="E26" s="42"/>
      <c r="F26" s="131" t="str">
        <f xml:space="preserve"> IF(OR(H26 &gt; 0, J26 &gt; 0), "Iron(II) hydroxide", "")</f>
        <v/>
      </c>
      <c r="G26" s="374"/>
      <c r="H26" s="41">
        <f t="shared" si="0"/>
        <v>0</v>
      </c>
      <c r="J26" s="137"/>
      <c r="K26" s="138"/>
      <c r="L26" s="80">
        <f t="shared" si="1"/>
        <v>0</v>
      </c>
      <c r="M26" s="27"/>
      <c r="N26" s="96" t="str">
        <f t="shared" si="2"/>
        <v/>
      </c>
      <c r="T26" s="125" t="s">
        <v>81</v>
      </c>
      <c r="U26" s="126">
        <v>0</v>
      </c>
      <c r="V26" s="127">
        <f xml:space="preserve"> IF(ISERR(G28), 0, IF(AND(ISNUMBER(G28), G28 &gt; 0), G28 * basis!E16 / 100 * (100 - $V$16) / 100, 0))</f>
        <v>0</v>
      </c>
      <c r="W26" s="126">
        <v>0</v>
      </c>
      <c r="X26" s="128">
        <f xml:space="preserve"> IF(J28 &gt; 0, J28 * basis!E16 / 100 * (100 - X16) / 100, 0)</f>
        <v>0</v>
      </c>
    </row>
    <row r="27" spans="1:24" s="123" customFormat="1" ht="15" customHeight="1">
      <c r="A27" s="159"/>
      <c r="C27" s="131" t="s">
        <v>31</v>
      </c>
      <c r="D27" s="42" t="str">
        <f xml:space="preserve"> IF(OR(H27 &gt; 0, J27 &gt; 0), "Fe³⁺, ""ferric""", "")</f>
        <v/>
      </c>
      <c r="E27" s="42"/>
      <c r="F27" s="131" t="str">
        <f xml:space="preserve"> IF(OR(H27 &gt; 0, J27 &gt; 0), "Iron(III) hydroxide", "")</f>
        <v/>
      </c>
      <c r="G27" s="374"/>
      <c r="H27" s="41">
        <f t="shared" si="0"/>
        <v>0</v>
      </c>
      <c r="I27" s="104"/>
      <c r="J27" s="137"/>
      <c r="K27" s="138"/>
      <c r="L27" s="80">
        <f t="shared" si="1"/>
        <v>0</v>
      </c>
      <c r="M27" s="27"/>
      <c r="N27" s="96" t="str">
        <f t="shared" si="2"/>
        <v/>
      </c>
      <c r="T27" s="110" t="s">
        <v>89</v>
      </c>
      <c r="U27" s="140">
        <f xml:space="preserve"> SUM(U18:U26)</f>
        <v>0</v>
      </c>
      <c r="V27" s="110">
        <f xml:space="preserve"> SUM(V18:V26)</f>
        <v>44.574562073854707</v>
      </c>
      <c r="W27" s="140">
        <f xml:space="preserve"> SUM(W18:W26)</f>
        <v>31.856750727962098</v>
      </c>
      <c r="X27" s="141">
        <f xml:space="preserve"> SUM(X18:X26)</f>
        <v>30.24833460456064</v>
      </c>
    </row>
    <row r="28" spans="1:24" s="123" customFormat="1" ht="15" customHeight="1">
      <c r="A28" s="159"/>
      <c r="C28" s="131" t="s">
        <v>98</v>
      </c>
      <c r="D28" s="53" t="str">
        <f xml:space="preserve"> IF(OR(H28 &gt; 0, J28 &gt; 0), "Fe³⁺, ""ferric""", "")</f>
        <v/>
      </c>
      <c r="E28" s="42"/>
      <c r="F28" s="131" t="str">
        <f xml:space="preserve"> IF(OR(H28 &gt; 0, J28 &gt; 0), "Iron(III) oxide trihydrate", "")</f>
        <v/>
      </c>
      <c r="G28" s="374"/>
      <c r="H28" s="41">
        <f t="shared" si="0"/>
        <v>0</v>
      </c>
      <c r="I28" s="104"/>
      <c r="J28" s="137"/>
      <c r="K28" s="138"/>
      <c r="L28" s="80">
        <f t="shared" si="1"/>
        <v>0</v>
      </c>
      <c r="M28" s="27"/>
      <c r="N28" s="96" t="str">
        <f t="shared" si="2"/>
        <v/>
      </c>
      <c r="T28" s="142" t="s">
        <v>86</v>
      </c>
      <c r="U28" s="143"/>
      <c r="V28" s="144">
        <f xml:space="preserve"> SUM(U18:V26)</f>
        <v>44.574562073854707</v>
      </c>
      <c r="W28" s="143"/>
      <c r="X28" s="145">
        <f xml:space="preserve"> SUM(W18:X26)</f>
        <v>62.105085332522734</v>
      </c>
    </row>
    <row r="29" spans="1:24" s="123" customFormat="1" ht="15" hidden="1" customHeight="1">
      <c r="A29" s="159"/>
      <c r="C29" s="146" t="s">
        <v>132</v>
      </c>
      <c r="D29" s="102"/>
      <c r="E29" s="102"/>
      <c r="F29" s="146"/>
      <c r="G29" s="147"/>
      <c r="H29" s="100" t="str">
        <f xml:space="preserve"> V30</f>
        <v>0 : 100</v>
      </c>
      <c r="I29" s="104"/>
      <c r="J29" s="137"/>
      <c r="K29" s="138"/>
      <c r="L29" s="101" t="str">
        <f xml:space="preserve"> X30</f>
        <v>51 : 49</v>
      </c>
      <c r="N29" s="96" t="str">
        <f t="shared" si="2"/>
        <v/>
      </c>
      <c r="T29" s="110" t="s">
        <v>179</v>
      </c>
      <c r="U29" s="140">
        <f xml:space="preserve"> U27 / (U27 + V27) * 100</f>
        <v>0</v>
      </c>
      <c r="V29" s="140">
        <f xml:space="preserve"> V27 / (U27 + V27) * 100</f>
        <v>100</v>
      </c>
      <c r="W29" s="140">
        <f xml:space="preserve"> W27 / (W27 + X27) * 100</f>
        <v>51.294914993506325</v>
      </c>
      <c r="X29" s="140">
        <f xml:space="preserve"> X27 / (W27 + X27) * 100</f>
        <v>48.70508500649369</v>
      </c>
    </row>
    <row r="30" spans="1:24" s="123" customFormat="1" ht="15" customHeight="1">
      <c r="A30" s="104"/>
      <c r="C30" s="148" t="s">
        <v>91</v>
      </c>
      <c r="D30" s="149"/>
      <c r="E30" s="149"/>
      <c r="F30" s="131"/>
      <c r="G30" s="376">
        <v>1.5</v>
      </c>
      <c r="H30" s="41"/>
      <c r="I30" s="104"/>
      <c r="J30" s="137">
        <f xml:space="preserve"> IF(X16 = 0, "", X16)</f>
        <v>2</v>
      </c>
      <c r="K30" s="138"/>
      <c r="L30" s="80"/>
      <c r="M30" s="32"/>
      <c r="N30" s="96" t="str">
        <f xml:space="preserve"> IF(ISERR(MOD(ROUND(G30 * 1000000, 0), 10) = 1), "", IF(MOD(ROUND(G30 * 1000000, 0), 10) = 1, "← " &amp; TEXT(G30, "0.00") &amp; ": Example - Delete or replace with your own additive's moisture", ""))</f>
        <v/>
      </c>
      <c r="T30" s="151" t="s">
        <v>90</v>
      </c>
      <c r="U30" s="152"/>
      <c r="V30" s="151" t="str">
        <f xml:space="preserve">
IF(U27 = 0,
    IF(V27 = 0, "0 : 0", "0 : 100"),
    IF(V27 = 0,
        "100 : 0",
        ROUND(U29, 0) &amp; " : " &amp; ROUND(V29, 0)
    )
)</f>
        <v>0 : 100</v>
      </c>
      <c r="W30" s="152"/>
      <c r="X30" s="151" t="str">
        <f xml:space="preserve">
IF(W27 = 0,
    IF(X27 = 0, "0 : 0", "0 : 100"),
    IF(X27 = 0,
        "100 : 0",
        ROUND(W29, 0) &amp; " : " &amp; ROUND(X29, 0)
    )
)</f>
        <v>51 : 49</v>
      </c>
    </row>
    <row r="31" spans="1:24" s="154" customFormat="1" ht="15" customHeight="1">
      <c r="A31" s="199"/>
      <c r="C31" s="29" t="s">
        <v>63</v>
      </c>
      <c r="D31" s="29" t="s">
        <v>26</v>
      </c>
      <c r="E31" s="29"/>
      <c r="F31" s="29"/>
      <c r="G31" s="65"/>
      <c r="H31" s="66">
        <f xml:space="preserve"> V28</f>
        <v>44.574562073854707</v>
      </c>
      <c r="I31" s="20"/>
      <c r="J31" s="67"/>
      <c r="K31" s="81"/>
      <c r="L31" s="82">
        <f xml:space="preserve"> X28</f>
        <v>62.105085332522734</v>
      </c>
      <c r="M31" s="33"/>
      <c r="N31" s="26" t="str">
        <f xml:space="preserve"> IF(X16, "Moisture(" &amp; U12 &amp; ") &lt; " &amp; TEXT(basis!E22, "0.#") &amp; "% → RIIC(" &amp; U12 &amp; ") &gt; " &amp; TEXT(X28 / (100 - basis!D22) * (100 - basis!E22), "#.00") &amp; "%", "")</f>
        <v>Moisture(SBGx) &lt; 1.7% → RIIC(SBGx) &gt; 62.30%</v>
      </c>
      <c r="O31" s="123"/>
    </row>
    <row r="32" spans="1:24" s="123" customFormat="1" ht="12" customHeight="1">
      <c r="A32" s="159"/>
      <c r="C32" s="63" t="s">
        <v>207</v>
      </c>
      <c r="G32" s="155"/>
      <c r="H32" s="156"/>
      <c r="J32" s="124"/>
      <c r="K32" s="124"/>
      <c r="L32" s="124"/>
      <c r="N32" s="40"/>
    </row>
    <row r="33" spans="1:50" s="123" customFormat="1" ht="12" customHeight="1">
      <c r="A33" s="159"/>
      <c r="C33" s="63" t="s">
        <v>208</v>
      </c>
      <c r="H33" s="157"/>
      <c r="N33" s="40"/>
    </row>
    <row r="34" spans="1:50" s="123" customFormat="1" ht="15" customHeight="1"/>
    <row r="35" spans="1:50" s="123" customFormat="1" ht="15" customHeight="1">
      <c r="C35" s="69" t="s">
        <v>224</v>
      </c>
      <c r="D35" s="70" t="str">
        <f xml:space="preserve">
IF(H31 &gt; 0,
    IF(ABS(H31 - L31) / L31 &gt;= 0.0005,
        "The RIIC of " &amp;
        IF(H31 &gt; L31, G18, U12) &amp;
        " is " &amp;
        TEXT(ABS(H31 - L31) / MIN(H31, L31) * 100, "0.0")  &amp;
        "% higher than the RIIC of " &amp;
        IF(H31 &gt; L31, U12, G18) &amp;
        ".",
        "RIIC difference &lt; 0.05%"
    ),
    ""
)</f>
        <v>The RIIC of SBGx is 39.3% higher than the RIIC of My_FeO(OH)_Additive.</v>
      </c>
      <c r="E35" s="70"/>
      <c r="F35" s="71"/>
      <c r="G35" s="71"/>
      <c r="H35" s="71"/>
      <c r="I35" s="71"/>
      <c r="J35" s="71"/>
      <c r="K35" s="71"/>
      <c r="L35" s="73" t="str">
        <f xml:space="preserve"> IF(L31 / H31 &gt; 1.09, "Factor = " &amp; TEXT(L31 / H31, "0.0") &amp; " x", "")</f>
        <v>Factor = 1.4 x</v>
      </c>
      <c r="P35" s="26"/>
    </row>
    <row r="36" spans="1:50" s="123" customFormat="1" ht="15" hidden="1" customHeight="1"/>
    <row r="37" spans="1:50" s="123" customFormat="1" ht="15" hidden="1" customHeight="1">
      <c r="C37" s="104" t="s">
        <v>49</v>
      </c>
      <c r="D37" s="21"/>
      <c r="E37" s="21"/>
      <c r="F37" s="21"/>
      <c r="G37" s="104"/>
      <c r="H37" s="104"/>
      <c r="I37" s="104"/>
      <c r="J37" s="104"/>
      <c r="K37" s="104"/>
      <c r="L37" s="104"/>
      <c r="M37" s="104"/>
      <c r="N37" s="104"/>
    </row>
    <row r="38" spans="1:50" s="123" customFormat="1" ht="15" hidden="1" customHeight="1">
      <c r="C38" s="104" t="s">
        <v>56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1:50" s="123" customFormat="1" ht="15" hidden="1" customHeight="1">
      <c r="C39" s="104" t="s">
        <v>57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</row>
    <row r="40" spans="1:50" s="123" customFormat="1" ht="15" hidden="1" customHeight="1">
      <c r="C40" s="104" t="s">
        <v>51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T40" s="20" t="s">
        <v>118</v>
      </c>
      <c r="W40" s="54" t="s">
        <v>108</v>
      </c>
      <c r="X40" s="299" t="s">
        <v>199</v>
      </c>
      <c r="Y40" s="159"/>
      <c r="Z40" s="57" t="s">
        <v>115</v>
      </c>
      <c r="AA40" s="61">
        <f xml:space="preserve"> G48</f>
        <v>500</v>
      </c>
      <c r="AB40" s="62" t="s">
        <v>99</v>
      </c>
      <c r="AC40" s="160" t="s">
        <v>126</v>
      </c>
      <c r="AD40" s="160" t="s">
        <v>152</v>
      </c>
      <c r="AE40" s="301" t="s">
        <v>203</v>
      </c>
      <c r="AF40" s="160"/>
      <c r="AH40" s="57" t="s">
        <v>116</v>
      </c>
      <c r="AI40" s="61">
        <f xml:space="preserve"> G49</f>
        <v>0</v>
      </c>
      <c r="AJ40" s="62" t="s">
        <v>112</v>
      </c>
      <c r="AL40" s="57" t="s">
        <v>117</v>
      </c>
      <c r="AM40" s="61">
        <f xml:space="preserve"> G51</f>
        <v>1000</v>
      </c>
      <c r="AN40" s="62" t="s">
        <v>111</v>
      </c>
      <c r="AO40" s="160" t="s">
        <v>126</v>
      </c>
      <c r="AQ40" s="58" t="s">
        <v>120</v>
      </c>
      <c r="AR40" s="59">
        <f xml:space="preserve"> AM51</f>
        <v>1102.3113109243877</v>
      </c>
      <c r="AS40" s="59">
        <f xml:space="preserve"> J52</f>
        <v>1350</v>
      </c>
      <c r="AU40" s="58" t="s">
        <v>127</v>
      </c>
      <c r="AV40" s="61">
        <f xml:space="preserve"> G53 - J53</f>
        <v>30.249720734420492</v>
      </c>
      <c r="AW40" s="161"/>
      <c r="AX40" s="161" t="s">
        <v>128</v>
      </c>
    </row>
    <row r="41" spans="1:50" s="123" customFormat="1" ht="15" hidden="1" customHeight="1">
      <c r="C41" s="330" t="s">
        <v>223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W41" s="162" t="s">
        <v>109</v>
      </c>
      <c r="X41" s="163" t="s">
        <v>110</v>
      </c>
      <c r="Y41" s="159"/>
      <c r="Z41" s="131"/>
      <c r="AA41" s="164">
        <f xml:space="preserve"> IF(IFERROR(SEARCH(Z41, $F$48), 0) = 0, 0, AB41)</f>
        <v>0</v>
      </c>
      <c r="AB41" s="165">
        <v>0</v>
      </c>
      <c r="AC41" s="165">
        <v>1</v>
      </c>
      <c r="AD41" s="165"/>
      <c r="AE41" s="165"/>
      <c r="AF41" s="165"/>
      <c r="AH41" s="131"/>
      <c r="AI41" s="164">
        <f xml:space="preserve"> IF(IFERROR(SEARCH(AH41, $AE$51), 0) = 0, 0, AJ41)</f>
        <v>0</v>
      </c>
      <c r="AJ41" s="165">
        <v>0</v>
      </c>
      <c r="AL41" s="131"/>
      <c r="AM41" s="164">
        <f xml:space="preserve"> IF(IFERROR(SEARCH(AL41,$F$51), 0) = 0, 0, AN41)</f>
        <v>0</v>
      </c>
      <c r="AN41" s="165">
        <v>0</v>
      </c>
      <c r="AO41" s="165">
        <v>1</v>
      </c>
      <c r="AQ41" s="131"/>
      <c r="AR41" s="165">
        <f xml:space="preserve"> IF(IFERROR( SEARCH(AQ41,#REF!), 0) = 0, 0, AS41)</f>
        <v>0</v>
      </c>
      <c r="AS41" s="165">
        <v>0</v>
      </c>
      <c r="AU41" s="131" t="s">
        <v>142</v>
      </c>
      <c r="AV41" s="166">
        <f xml:space="preserve"> IF(IFERROR(SEARCH(AU41, $L$55), 0) = 0, 0, AW41)</f>
        <v>0</v>
      </c>
      <c r="AW41" s="165">
        <f xml:space="preserve"> AV40</f>
        <v>30.249720734420492</v>
      </c>
      <c r="AX41" s="165" t="s">
        <v>121</v>
      </c>
    </row>
    <row r="42" spans="1:50" s="123" customFormat="1" ht="15" customHeight="1"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W42" s="55" t="s">
        <v>100</v>
      </c>
      <c r="X42" s="56" t="s">
        <v>101</v>
      </c>
      <c r="Y42" s="159"/>
      <c r="Z42" s="168" t="s">
        <v>138</v>
      </c>
      <c r="AA42" s="164">
        <f xml:space="preserve"> IF(IFERROR(SEARCH(Z42, $F$48), 0) = 0, 0, AB42)</f>
        <v>0</v>
      </c>
      <c r="AB42" s="164">
        <f xml:space="preserve"> G48</f>
        <v>500</v>
      </c>
      <c r="AC42" s="164"/>
      <c r="AD42" s="164" t="s">
        <v>153</v>
      </c>
      <c r="AE42" s="164"/>
      <c r="AF42" s="164"/>
      <c r="AH42" s="168" t="s">
        <v>146</v>
      </c>
      <c r="AI42" s="164">
        <f xml:space="preserve"> IF(IFERROR(SEARCH(AH42, $AE$51), 0) = 0, 0, AJ42)</f>
        <v>0</v>
      </c>
      <c r="AJ42" s="164">
        <f xml:space="preserve"> G49</f>
        <v>0</v>
      </c>
      <c r="AL42" s="131" t="s">
        <v>148</v>
      </c>
      <c r="AM42" s="164">
        <f xml:space="preserve"> IF(IFERROR(SEARCH(AL42,$F$51), 0) = 0, 0, AN42)</f>
        <v>0</v>
      </c>
      <c r="AN42" s="165">
        <f xml:space="preserve"> G51 * 1000</f>
        <v>1000000</v>
      </c>
      <c r="AO42" s="165"/>
      <c r="AQ42" s="168" t="s">
        <v>148</v>
      </c>
      <c r="AR42" s="165">
        <f xml:space="preserve"> IF(IFERROR( SEARCH(AQ42,#REF!), 0) = 0, 0, AS42)</f>
        <v>0</v>
      </c>
      <c r="AS42" s="165">
        <f xml:space="preserve"> AR40 / 1000</f>
        <v>1.1023113109243878</v>
      </c>
      <c r="AU42" s="131" t="s">
        <v>143</v>
      </c>
      <c r="AV42" s="166">
        <f xml:space="preserve"> IF(IFERROR(SEARCH(AU42, $L$55), 0) = 0, 0, AW42)</f>
        <v>0</v>
      </c>
      <c r="AW42" s="165">
        <f xml:space="preserve"> AV40 * 7</f>
        <v>211.74804514094345</v>
      </c>
      <c r="AX42" s="165" t="s">
        <v>122</v>
      </c>
    </row>
    <row r="43" spans="1:50" s="123" customFormat="1" ht="15" customHeight="1">
      <c r="T43" s="169" t="s">
        <v>82</v>
      </c>
      <c r="U43" s="169">
        <f xml:space="preserve"> IF(ISERR(G50), 0, IF(AND(ISNUMBER(G50), G50 &gt; 0), G50, 0))</f>
        <v>226.79618500000001</v>
      </c>
      <c r="W43" s="162" t="s">
        <v>102</v>
      </c>
      <c r="X43" s="163">
        <v>0.45359237000000002</v>
      </c>
      <c r="Y43" s="159"/>
      <c r="Z43" s="168" t="s">
        <v>139</v>
      </c>
      <c r="AA43" s="164">
        <f xml:space="preserve"> IF(IFERROR(SEARCH(Z43, $F$48), 0) = 0, 0, AB43)</f>
        <v>0</v>
      </c>
      <c r="AB43" s="165">
        <f xml:space="preserve"> G48 * 1000</f>
        <v>500000</v>
      </c>
      <c r="AC43" s="165"/>
      <c r="AD43" s="165"/>
      <c r="AE43" s="165"/>
      <c r="AF43" s="165"/>
      <c r="AH43" s="168" t="s">
        <v>164</v>
      </c>
      <c r="AI43" s="164">
        <f xml:space="preserve"> IF(IFERROR(SEARCH(AH43, $AE$51), 0) = 0, 0, AJ43)</f>
        <v>0</v>
      </c>
      <c r="AJ43" s="164">
        <f xml:space="preserve"> G49 * X43 / X48</f>
        <v>0</v>
      </c>
      <c r="AL43" s="168" t="s">
        <v>149</v>
      </c>
      <c r="AM43" s="164">
        <f xml:space="preserve"> IF(IFERROR(SEARCH(AL43,$F$51), 0) = 0, 0, AN43)</f>
        <v>0</v>
      </c>
      <c r="AN43" s="164">
        <f xml:space="preserve"> G51</f>
        <v>1000</v>
      </c>
      <c r="AO43" s="164"/>
      <c r="AQ43" s="168" t="s">
        <v>151</v>
      </c>
      <c r="AR43" s="165">
        <f xml:space="preserve"> IF(IFERROR( SEARCH(AQ43,#REF!), 0) = 0, 0, AS43)</f>
        <v>0</v>
      </c>
      <c r="AS43" s="165">
        <f xml:space="preserve"> AR40 / 1000 * X43</f>
        <v>0.5</v>
      </c>
      <c r="AU43" s="131" t="s">
        <v>144</v>
      </c>
      <c r="AV43" s="166">
        <f xml:space="preserve"> IF(IFERROR(SEARCH(AU43, $L$55), 0) = 0, 0, AW43)</f>
        <v>0</v>
      </c>
      <c r="AW43" s="165">
        <f xml:space="preserve"> AV40 * 30</f>
        <v>907.49162203261471</v>
      </c>
      <c r="AX43" s="165" t="s">
        <v>123</v>
      </c>
    </row>
    <row r="44" spans="1:50" s="123" customFormat="1" ht="15" customHeight="1">
      <c r="A44" s="159"/>
      <c r="B44" s="20" t="s">
        <v>65</v>
      </c>
      <c r="C44" s="20" t="str">
        <f xml:space="preserve"> "Comparing daily dosage and costs between " &amp; G18 &amp; " and " &amp; U12 &amp; " for your biogas reactor, based on their respective RIICs"</f>
        <v>Comparing daily dosage and costs between My_FeO(OH)_Additive and SBGx for your biogas reactor, based on their respective RIICs</v>
      </c>
      <c r="H44" s="157"/>
      <c r="L44" s="157"/>
      <c r="Q44" s="300"/>
      <c r="R44" s="300"/>
      <c r="T44" s="169" t="s">
        <v>83</v>
      </c>
      <c r="U44" s="169">
        <f xml:space="preserve"> IF(ISERR(G52), 0, IF(AND(ISNUMBER(G52), G52 &gt; 0), G52, 0))</f>
        <v>1102.3113109243877</v>
      </c>
      <c r="W44" s="162" t="s">
        <v>103</v>
      </c>
      <c r="X44" s="163">
        <v>1016.0469000000001</v>
      </c>
      <c r="Y44" s="159"/>
      <c r="Z44" s="168" t="s">
        <v>140</v>
      </c>
      <c r="AA44" s="164">
        <f t="shared" ref="AA44:AA47" si="3" xml:space="preserve"> IF(IFERROR(SEARCH(Z44, $F$48), 0) = 0, 0, AB44)</f>
        <v>0</v>
      </c>
      <c r="AB44" s="164">
        <f xml:space="preserve"> G48 * 1 * AI46</f>
        <v>0</v>
      </c>
      <c r="AC44" s="164">
        <v>1</v>
      </c>
      <c r="AD44" s="164"/>
      <c r="AE44" s="164" t="str">
        <f xml:space="preserve"> AH42</f>
        <v>Kilogram per litre [kg/l]</v>
      </c>
      <c r="AF44" s="302" t="s">
        <v>201</v>
      </c>
      <c r="AH44" s="168" t="s">
        <v>147</v>
      </c>
      <c r="AI44" s="164">
        <f xml:space="preserve"> IF(IFERROR(SEARCH(AH44, $AE$51), 0) = 0, 0, AJ44)</f>
        <v>0</v>
      </c>
      <c r="AJ44" s="164">
        <f xml:space="preserve"> G49 * X43 / X49</f>
        <v>0</v>
      </c>
      <c r="AL44" s="168" t="s">
        <v>150</v>
      </c>
      <c r="AM44" s="164">
        <f t="shared" ref="AM44:AM49" si="4" xml:space="preserve"> IF(IFERROR(SEARCH(AL44,$F$51), 0) = 0, 0, AN44)</f>
        <v>0</v>
      </c>
      <c r="AN44" s="164">
        <f xml:space="preserve"> IF(AI46 = 0, 0, G51 / (1 * AI46) * 1000)</f>
        <v>0</v>
      </c>
      <c r="AO44" s="164">
        <v>1</v>
      </c>
      <c r="AQ44" s="168" t="s">
        <v>162</v>
      </c>
      <c r="AR44" s="165">
        <f xml:space="preserve"> IF(IFERROR( SEARCH(AQ44,#REF!), 0) = 0, 0, AS44)</f>
        <v>0</v>
      </c>
      <c r="AS44" s="165">
        <f xml:space="preserve"> AR40 / 1000 * X44</f>
        <v>1119.9999902996603</v>
      </c>
      <c r="AU44" s="131" t="s">
        <v>145</v>
      </c>
      <c r="AV44" s="166">
        <f xml:space="preserve"> IF(IFERROR(SEARCH(AU44, $L$55), 0) = 0, 0, AW44)</f>
        <v>11041.14806806348</v>
      </c>
      <c r="AW44" s="165">
        <f xml:space="preserve"> AV40 * 365</f>
        <v>11041.14806806348</v>
      </c>
      <c r="AX44" s="165" t="s">
        <v>125</v>
      </c>
    </row>
    <row r="45" spans="1:50" s="123" customFormat="1" ht="15" customHeight="1">
      <c r="A45" s="159"/>
      <c r="B45" s="20"/>
      <c r="C45" s="369" t="s">
        <v>267</v>
      </c>
      <c r="H45" s="157"/>
      <c r="L45" s="157"/>
      <c r="Q45" s="300"/>
      <c r="R45" s="300"/>
      <c r="T45" s="169" t="s">
        <v>84</v>
      </c>
      <c r="U45" s="169">
        <f xml:space="preserve"> IF(ISERR(J52), 0, IF(AND(ISNUMBER(J52), J52 &gt; 0), J52, 0))</f>
        <v>1350</v>
      </c>
      <c r="W45" s="162" t="s">
        <v>104</v>
      </c>
      <c r="X45" s="163">
        <v>907.18474000000003</v>
      </c>
      <c r="Y45" s="159"/>
      <c r="Z45" s="168" t="s">
        <v>141</v>
      </c>
      <c r="AA45" s="164">
        <f t="shared" si="3"/>
        <v>226.79618500000001</v>
      </c>
      <c r="AB45" s="164">
        <f xml:space="preserve"> G48 * X43</f>
        <v>226.79618500000001</v>
      </c>
      <c r="AC45" s="164"/>
      <c r="AD45" s="164" t="s">
        <v>154</v>
      </c>
      <c r="AE45" s="164"/>
      <c r="AF45" s="164"/>
      <c r="AL45" s="168" t="s">
        <v>151</v>
      </c>
      <c r="AM45" s="164">
        <f t="shared" si="4"/>
        <v>0</v>
      </c>
      <c r="AN45" s="164">
        <f xml:space="preserve"> G51 / X43 * 1000</f>
        <v>2204622.621848776</v>
      </c>
      <c r="AO45" s="164"/>
      <c r="AQ45" s="168" t="s">
        <v>161</v>
      </c>
      <c r="AR45" s="165">
        <f xml:space="preserve"> IF(IFERROR( SEARCH(AQ45,#REF!), 0) = 0, 0, AS45)</f>
        <v>0</v>
      </c>
      <c r="AS45" s="165">
        <f xml:space="preserve"> AR40 / 1000 * X45</f>
        <v>1000</v>
      </c>
    </row>
    <row r="46" spans="1:50" s="123" customFormat="1" ht="15" customHeight="1">
      <c r="A46" s="159"/>
      <c r="B46" s="20"/>
      <c r="C46" s="20" t="s">
        <v>228</v>
      </c>
      <c r="D46" s="33"/>
      <c r="E46" s="309" t="s">
        <v>217</v>
      </c>
      <c r="F46" s="409" t="s">
        <v>155</v>
      </c>
      <c r="G46" s="335" t="str">
        <f xml:space="preserve"> IF(ISBLANK(F46), " ← Tip: For more information hoover the cursor/arrow over the cell without clicking on or having selected it.", "")</f>
        <v/>
      </c>
      <c r="L46" s="157"/>
      <c r="P46" s="334"/>
      <c r="Q46" s="300"/>
      <c r="R46" s="300"/>
      <c r="T46" s="169" t="s">
        <v>85</v>
      </c>
      <c r="U46" s="169">
        <f xml:space="preserve"> IF(ISERR(#REF!), 0, IF(AND(ISNUMBER(#REF!),#REF! &gt; 0),#REF!, 0))</f>
        <v>0</v>
      </c>
      <c r="W46" s="297" t="s">
        <v>199</v>
      </c>
      <c r="X46" s="298" t="s">
        <v>199</v>
      </c>
      <c r="Y46" s="159"/>
      <c r="Z46" s="168" t="s">
        <v>165</v>
      </c>
      <c r="AA46" s="164">
        <f t="shared" si="3"/>
        <v>0</v>
      </c>
      <c r="AB46" s="164">
        <f xml:space="preserve"> G48 * X44</f>
        <v>508023.45</v>
      </c>
      <c r="AC46" s="164"/>
      <c r="AD46" s="164"/>
      <c r="AE46" s="164"/>
      <c r="AF46" s="164"/>
      <c r="AH46" s="107" t="s">
        <v>113</v>
      </c>
      <c r="AI46" s="161">
        <f xml:space="preserve"> SUM(AI41:AI44)</f>
        <v>0</v>
      </c>
      <c r="AL46" s="168" t="s">
        <v>162</v>
      </c>
      <c r="AM46" s="164">
        <f t="shared" si="4"/>
        <v>0</v>
      </c>
      <c r="AN46" s="164">
        <f xml:space="preserve"> G51 / X44 * 1000</f>
        <v>984.20653613529055</v>
      </c>
      <c r="AO46" s="164"/>
      <c r="AU46" s="107" t="s">
        <v>124</v>
      </c>
      <c r="AV46" s="161">
        <f xml:space="preserve"> SUM(AV41:AV44)</f>
        <v>11041.14806806348</v>
      </c>
      <c r="AW46" s="161" t="str">
        <f xml:space="preserve"> VLOOKUP(AV46, AV41:AX44, 3, FALSE)</f>
        <v>yearly</v>
      </c>
      <c r="AX46" s="172"/>
    </row>
    <row r="47" spans="1:50" s="123" customFormat="1" ht="15" customHeight="1">
      <c r="A47" s="159"/>
      <c r="G47" s="35" t="str">
        <f xml:space="preserve"> G18</f>
        <v>My_FeO(OH)_Additive</v>
      </c>
      <c r="H47" s="35"/>
      <c r="J47" s="37" t="str">
        <f xml:space="preserve"> U13</f>
        <v>SBGx by SwissBiogas.com</v>
      </c>
      <c r="K47" s="37"/>
      <c r="L47" s="124"/>
      <c r="Q47" s="300"/>
      <c r="R47" s="300"/>
      <c r="W47" s="55" t="s">
        <v>105</v>
      </c>
      <c r="X47" s="56" t="s">
        <v>106</v>
      </c>
      <c r="Y47" s="159"/>
      <c r="Z47" s="168" t="s">
        <v>160</v>
      </c>
      <c r="AA47" s="164">
        <f t="shared" si="3"/>
        <v>0</v>
      </c>
      <c r="AB47" s="164">
        <f xml:space="preserve"> G48 * X45</f>
        <v>453592.37</v>
      </c>
      <c r="AC47" s="164"/>
      <c r="AD47" s="164"/>
      <c r="AE47" s="164"/>
      <c r="AF47" s="164"/>
      <c r="AL47" s="168" t="s">
        <v>161</v>
      </c>
      <c r="AM47" s="164">
        <f t="shared" si="4"/>
        <v>1102.3113109243877</v>
      </c>
      <c r="AN47" s="164">
        <f xml:space="preserve"> G51 / X45 * 1000</f>
        <v>1102.3113109243877</v>
      </c>
      <c r="AO47" s="164"/>
      <c r="AQ47" s="107" t="e">
        <f xml:space="preserve"> "Price per " &amp;#REF!</f>
        <v>#REF!</v>
      </c>
      <c r="AR47" s="161">
        <f xml:space="preserve"> SUM(AR41:AR45)</f>
        <v>0</v>
      </c>
      <c r="AS47" s="161">
        <f xml:space="preserve"> IF(AR40 &gt; 0, AR47 / AR40 * AS40, 0)</f>
        <v>0</v>
      </c>
    </row>
    <row r="48" spans="1:50" s="123" customFormat="1" ht="15" customHeight="1">
      <c r="A48" s="159"/>
      <c r="C48" s="305" t="s">
        <v>204</v>
      </c>
      <c r="D48" s="173"/>
      <c r="E48" s="75" t="s">
        <v>218</v>
      </c>
      <c r="F48" s="377" t="s">
        <v>141</v>
      </c>
      <c r="G48" s="378">
        <v>500</v>
      </c>
      <c r="H48" s="39"/>
      <c r="J48" s="37"/>
      <c r="K48" s="37"/>
      <c r="L48" s="124"/>
      <c r="Q48" s="300"/>
      <c r="R48" s="300"/>
      <c r="W48" s="162" t="s">
        <v>107</v>
      </c>
      <c r="X48" s="163">
        <v>4.5460900000000004</v>
      </c>
      <c r="Y48" s="159"/>
      <c r="Z48" s="168" t="s">
        <v>166</v>
      </c>
      <c r="AA48" s="164">
        <f xml:space="preserve"> IF(IFERROR(SEARCH(Z48, $F$48), 0) = 0, 0, AB48)</f>
        <v>0</v>
      </c>
      <c r="AB48" s="164">
        <f xml:space="preserve"> G48 * X48 * AI46</f>
        <v>0</v>
      </c>
      <c r="AC48" s="164">
        <v>1</v>
      </c>
      <c r="AD48" s="164"/>
      <c r="AE48" s="164" t="str">
        <f xml:space="preserve"> AH43</f>
        <v>Pound per Imperial gallon [lb/gal]</v>
      </c>
      <c r="AF48" s="302" t="s">
        <v>202</v>
      </c>
      <c r="AG48" s="159"/>
      <c r="AH48" s="159"/>
      <c r="AL48" s="168" t="s">
        <v>163</v>
      </c>
      <c r="AM48" s="164">
        <f t="shared" si="4"/>
        <v>0</v>
      </c>
      <c r="AN48" s="164">
        <f xml:space="preserve"> IF(AI46 = 0, 0, G51 / (X48 * AI46) * 1000)</f>
        <v>0</v>
      </c>
      <c r="AO48" s="164">
        <v>1</v>
      </c>
    </row>
    <row r="49" spans="1:50" s="123" customFormat="1" ht="15" customHeight="1">
      <c r="A49" s="159"/>
      <c r="C49" s="173" t="str">
        <f xml:space="preserve"> IF(ISTEXT(AE51), "Your dosage is volume-based. Please enter the density in " &amp; AF51, "Your dosage is mass-based. No need to enter the density.")</f>
        <v>Your dosage is mass-based. No need to enter the density.</v>
      </c>
      <c r="D49" s="182"/>
      <c r="E49" s="304"/>
      <c r="F49" s="131"/>
      <c r="G49" s="378"/>
      <c r="H49" s="39"/>
      <c r="J49" s="37"/>
      <c r="K49" s="37"/>
      <c r="L49" s="124"/>
      <c r="Q49" s="300"/>
      <c r="R49" s="300"/>
      <c r="W49" s="174" t="s">
        <v>173</v>
      </c>
      <c r="X49" s="175">
        <v>3.7854117839999999</v>
      </c>
      <c r="Y49" s="176"/>
      <c r="Z49" s="168" t="s">
        <v>174</v>
      </c>
      <c r="AA49" s="164">
        <f xml:space="preserve"> IF(IFERROR(SEARCH(Z49, $F$48), 0) = 0, 0, AB49)</f>
        <v>0</v>
      </c>
      <c r="AB49" s="177">
        <f xml:space="preserve"> G48 * X49 * AI46</f>
        <v>0</v>
      </c>
      <c r="AC49" s="177">
        <v>1</v>
      </c>
      <c r="AD49" s="177"/>
      <c r="AE49" s="177" t="str">
        <f xml:space="preserve"> AH44</f>
        <v>Pound per US gallon [lb/gal]</v>
      </c>
      <c r="AF49" s="303" t="s">
        <v>202</v>
      </c>
      <c r="AL49" s="168" t="s">
        <v>175</v>
      </c>
      <c r="AM49" s="164">
        <f t="shared" si="4"/>
        <v>0</v>
      </c>
      <c r="AN49" s="177">
        <f xml:space="preserve"> IF(AI46 = 0, 0, G51 / (X49 * AI46) * 1000)</f>
        <v>0</v>
      </c>
      <c r="AO49" s="177">
        <v>1</v>
      </c>
    </row>
    <row r="50" spans="1:50" s="123" customFormat="1" ht="15" customHeight="1">
      <c r="A50" s="159"/>
      <c r="C50" s="72" t="s">
        <v>263</v>
      </c>
      <c r="D50" s="72" t="s">
        <v>213</v>
      </c>
      <c r="E50" s="178"/>
      <c r="F50" s="179"/>
      <c r="G50" s="338">
        <f xml:space="preserve"> AA51</f>
        <v>226.79618500000001</v>
      </c>
      <c r="H50" s="39"/>
      <c r="J50" s="326">
        <f xml:space="preserve"> IF(ISERR(U43), 0, U43 / L31 * H31)</f>
        <v>162.77798464116998</v>
      </c>
      <c r="K50" s="84"/>
      <c r="L50" s="83" t="str">
        <f xml:space="preserve"> IF(AND(U43 &gt; 0, J50 &gt; 0, U43 &gt; J50), "Factor " &amp; TEXT(U43 / J50, "0.0") &amp; " x", "")</f>
        <v>Factor 1.4 x</v>
      </c>
      <c r="M50" s="20"/>
      <c r="N50" s="26" t="str">
        <f xml:space="preserve">
IF(AND(U43 &gt; 0, J50 &gt; 0),
    IF(ABS(U43 - J50) / U43 &lt; 0.0005,
        "Dosage difference &lt; 0.1%",
        U12 &amp; ": " &amp; TEXT(ABS(U43 - J50) / U43 * 100, "0.0") &amp; "% additive dosage " &amp;
        IF(U43 &gt; J50,
            "reduction; Dosage factor = " &amp; TEXT(G50 / J50, "0.0"),
            "increase, unfortunately"
        )
    ),
    ""
)</f>
        <v>SBGx: 28.2% additive dosage reduction; Dosage factor = 1.4</v>
      </c>
      <c r="Q50" s="300"/>
      <c r="R50" s="300"/>
      <c r="W50" s="159"/>
      <c r="X50" s="180"/>
      <c r="Y50" s="159"/>
      <c r="Z50" s="159"/>
      <c r="AA50" s="159"/>
      <c r="AB50" s="181" t="s">
        <v>126</v>
      </c>
      <c r="AC50" s="159" t="s">
        <v>152</v>
      </c>
      <c r="AD50" s="159"/>
      <c r="AE50" s="159"/>
      <c r="AF50" s="159"/>
      <c r="AN50" s="171" t="s">
        <v>126</v>
      </c>
    </row>
    <row r="51" spans="1:50" s="123" customFormat="1" ht="15" customHeight="1">
      <c r="A51" s="159"/>
      <c r="C51" s="306" t="s">
        <v>205</v>
      </c>
      <c r="D51" s="182"/>
      <c r="E51" s="75" t="s">
        <v>218</v>
      </c>
      <c r="F51" s="409" t="s">
        <v>161</v>
      </c>
      <c r="G51" s="379">
        <v>1000</v>
      </c>
      <c r="H51" s="39"/>
      <c r="J51" s="184"/>
      <c r="K51" s="185"/>
      <c r="L51" s="124"/>
      <c r="P51" s="171"/>
      <c r="Q51" s="300"/>
      <c r="R51" s="300"/>
      <c r="Z51" s="186" t="s">
        <v>114</v>
      </c>
      <c r="AA51" s="187">
        <f xml:space="preserve"> SUM(AA41:AA49)</f>
        <v>226.79618500000001</v>
      </c>
      <c r="AB51" s="161">
        <f xml:space="preserve"> IF(ISBLANK(F48), 1, VLOOKUP(F48,Z42:AC49,4,FALSE))</f>
        <v>0</v>
      </c>
      <c r="AC51" s="161" t="str">
        <f xml:space="preserve"> IF(ISBLANK(F48), 1, VLOOKUP(F48, Z42:AD49, 5, FALSE))</f>
        <v>uk/us</v>
      </c>
      <c r="AE51" s="161">
        <f xml:space="preserve"> IF(ISERROR(VLOOKUP(F48, Z42:AE49, 6, FALSE)), FALSE, VLOOKUP(F48, Z42:AE49, 6, FALSE))</f>
        <v>0</v>
      </c>
      <c r="AF51" s="161">
        <f xml:space="preserve"> VLOOKUP(F48, Z42:AF49, 7, FALSE)</f>
        <v>0</v>
      </c>
      <c r="AL51" s="107" t="s">
        <v>119</v>
      </c>
      <c r="AM51" s="161">
        <f xml:space="preserve"> SUM(AM41:AM49)</f>
        <v>1102.3113109243877</v>
      </c>
      <c r="AN51" s="161">
        <f xml:space="preserve"> IF(ISBLANK(F51), 1, VLOOKUP(F51, AL42:AO49,4,FALSE))</f>
        <v>0</v>
      </c>
    </row>
    <row r="52" spans="1:50" s="123" customFormat="1" ht="15" customHeight="1">
      <c r="A52" s="159"/>
      <c r="C52" s="29" t="str">
        <f xml:space="preserve"> "Price comparison btw. your additive and " &amp; U12 &amp; " per metric ton [/t]"</f>
        <v>Price comparison btw. your additive and SBGx per metric ton [/t]</v>
      </c>
      <c r="D52" s="179"/>
      <c r="E52" s="179"/>
      <c r="F52" s="179"/>
      <c r="G52" s="92">
        <f xml:space="preserve"> AM51</f>
        <v>1102.3113109243877</v>
      </c>
      <c r="H52" s="39"/>
      <c r="J52" s="380">
        <v>1350</v>
      </c>
      <c r="K52" s="86"/>
      <c r="L52" s="97" t="str">
        <f xml:space="preserve"> IF(ISERR(AND(MOD(J52 * 1000000, 100) &gt; 0.99, MOD(J52 * 1000000, 100) &lt; 1.01)), "", IF(AND(MOD(J52 * 1000000, 100) &gt; 0.99, MOD(J52 * 1000000, 100) &lt; 1.01), " ← Example - Please contact us for a binding additive price per metric ton in your currency.", ""))</f>
        <v/>
      </c>
      <c r="N52" s="209"/>
      <c r="Q52" s="300"/>
      <c r="R52" s="300"/>
      <c r="Y52" s="159"/>
      <c r="Z52" s="188"/>
      <c r="AA52" s="188"/>
    </row>
    <row r="53" spans="1:50" s="123" customFormat="1" ht="15" customHeight="1">
      <c r="A53" s="159"/>
      <c r="C53" s="29" t="s">
        <v>264</v>
      </c>
      <c r="D53" s="29" t="s">
        <v>206</v>
      </c>
      <c r="E53" s="29"/>
      <c r="F53" s="29"/>
      <c r="G53" s="93">
        <f xml:space="preserve"> IF(ISERR(U43), 0, IF(ISERR(U44), 0, IF(AND(U43 &gt; 0, U44 &gt; 0), U43 * U44 / 1000, 0)))</f>
        <v>249.99999999999997</v>
      </c>
      <c r="H53" s="155"/>
      <c r="J53" s="74">
        <f xml:space="preserve"> IF(ISERR(J50), 0, IF(ISERR(U45), 0, IF(AND(J50 &gt; 0, U45 &gt; 0), J50 * U45 / 1000, 0)))</f>
        <v>219.75027926557948</v>
      </c>
      <c r="K53" s="85"/>
      <c r="L53" s="83" t="str">
        <f xml:space="preserve"> IF(AND(G53 &gt; 0, J53 &gt; 0, G53 &gt; J53), "Factor " &amp; TEXT(G53 / J53, "0.0") &amp; " x", "")</f>
        <v>Factor 1.1 x</v>
      </c>
      <c r="M53" s="20"/>
      <c r="N53" s="26" t="str">
        <f xml:space="preserve">
IF(AND(G53 &gt; 0, J53 &gt; 0),
    IF(ABS(G53 - J53) / G53 &lt; 0.0005,
        "Cost difference &lt; 0.1%",
        U12 &amp;": " &amp; TEXT(ABS(G53 - J53) / G53 * 100, "0.0") &amp; "% additive cost " &amp;
        IF(G53 &gt; J53,
            "reduction; Cost factor = " &amp; TEXT(G53 / J53, "0.0"),
            "increase, unfortunately"
        )
    ),
    ""
)</f>
        <v>SBGx: 12.1% additive cost reduction; Cost factor = 1.1</v>
      </c>
      <c r="O53" s="20"/>
      <c r="Y53" s="159"/>
      <c r="Z53" s="159"/>
      <c r="AA53" s="159"/>
    </row>
    <row r="54" spans="1:50" s="123" customFormat="1" ht="15" customHeight="1">
      <c r="C54" s="64"/>
      <c r="G54" s="155"/>
      <c r="H54" s="155"/>
      <c r="J54" s="331"/>
      <c r="K54" s="331"/>
      <c r="L54" s="331" t="s">
        <v>129</v>
      </c>
      <c r="O54" s="336"/>
      <c r="V54" s="180"/>
      <c r="Y54" s="159"/>
      <c r="Z54" s="159" t="s">
        <v>157</v>
      </c>
      <c r="AA54" s="159"/>
      <c r="AH54" s="123" t="s">
        <v>157</v>
      </c>
      <c r="AL54" s="123" t="s">
        <v>157</v>
      </c>
      <c r="AQ54" s="123" t="s">
        <v>157</v>
      </c>
    </row>
    <row r="55" spans="1:50" s="123" customFormat="1" ht="15" customHeight="1">
      <c r="A55" s="159"/>
      <c r="B55" s="20"/>
      <c r="C55" s="72" t="s">
        <v>224</v>
      </c>
      <c r="D55" s="72" t="str">
        <f xml:space="preserve">
IF(G53 - J53 &gt; 0,
    "Possible " &amp; AW46 &amp; " cost savings with additives by using " &amp; U12 &amp; ": " &amp; TEXT(AV46, "#,##0") &amp; ".--. (Minus " &amp; TEXT((G53 - J53) / G53 * 100, "0.0") &amp; "%)",
    IF(AND(G53 - J53 &lt;= 0, H31 &lt;&gt; 0, G53 &lt;&gt; 0),
        "It seems you won't save any costs for additives by using our " &amp; U13 &amp; ".",
        IF(J50 &gt; 0,
            "The daily dosage of " &amp; TEXT(G50, "#,##0") &amp; " kg of " &amp; G18 &amp; " can be replaced with " &amp; TEXT(J50, "#,##0") &amp; " kg of " &amp; U13 &amp; ".",
            "Please enter the needed values to complete the calculation."
        )
    )
)</f>
        <v>Possible yearly cost savings with additives by using SBGx: 11,041.--. (Minus 12.1%)</v>
      </c>
      <c r="E55" s="72"/>
      <c r="F55" s="72"/>
      <c r="G55" s="72"/>
      <c r="H55" s="72"/>
      <c r="I55" s="72"/>
      <c r="J55" s="72"/>
      <c r="K55" s="72"/>
      <c r="L55" s="381" t="s">
        <v>145</v>
      </c>
      <c r="N55" s="104"/>
      <c r="O55" s="337"/>
      <c r="Q55" s="104"/>
      <c r="R55" s="104"/>
      <c r="T55" s="123" t="s">
        <v>167</v>
      </c>
      <c r="V55" s="180"/>
      <c r="W55" s="104"/>
      <c r="X55" s="104"/>
      <c r="Y55" s="159"/>
      <c r="Z55" s="189" t="str">
        <f xml:space="preserve"> Z42</f>
        <v>Kilogram [kg/day]</v>
      </c>
      <c r="AA55" s="159"/>
      <c r="AB55" s="159"/>
      <c r="AC55" s="159"/>
      <c r="AD55" s="159"/>
      <c r="AE55" s="159"/>
      <c r="AF55" s="159"/>
      <c r="AG55" s="159"/>
      <c r="AH55" s="189" t="str">
        <f xml:space="preserve"> AH42</f>
        <v>Kilogram per litre [kg/l]</v>
      </c>
      <c r="AI55" s="104"/>
      <c r="AJ55" s="104"/>
      <c r="AK55" s="104"/>
      <c r="AL55" s="189" t="str">
        <f xml:space="preserve"> AL42</f>
        <v>Kilogram [/kg]</v>
      </c>
      <c r="AM55" s="104"/>
      <c r="AN55" s="104"/>
      <c r="AO55" s="104"/>
      <c r="AP55" s="104"/>
      <c r="AQ55" s="189" t="str">
        <f xml:space="preserve"> AQ42</f>
        <v>Kilogram [/kg]</v>
      </c>
      <c r="AR55" s="104"/>
      <c r="AT55" s="104"/>
      <c r="AU55" s="104"/>
      <c r="AV55" s="104"/>
      <c r="AW55" s="104"/>
      <c r="AX55" s="104"/>
    </row>
    <row r="56" spans="1:50" s="123" customFormat="1" ht="15" customHeight="1">
      <c r="A56" s="15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194"/>
      <c r="M56" s="167"/>
      <c r="N56" s="167"/>
      <c r="O56" s="113"/>
      <c r="P56" s="167"/>
      <c r="Q56" s="167"/>
      <c r="R56" s="167"/>
      <c r="S56" s="167"/>
      <c r="T56" s="159" t="s">
        <v>156</v>
      </c>
      <c r="V56" s="180"/>
      <c r="W56" s="104"/>
      <c r="X56" s="104"/>
      <c r="Y56" s="159"/>
      <c r="Z56" s="189" t="str">
        <f xml:space="preserve"> Z43</f>
        <v>Metric ton (Tonne) [t/day]</v>
      </c>
      <c r="AA56" s="159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89" t="str">
        <f xml:space="preserve"> AL43</f>
        <v>Metric ton (Tonne) [/t]</v>
      </c>
      <c r="AM56" s="104"/>
      <c r="AN56" s="104"/>
      <c r="AO56" s="104"/>
      <c r="AP56" s="104"/>
      <c r="AQ56" s="104"/>
      <c r="AR56" s="104"/>
      <c r="AT56" s="104"/>
      <c r="AU56" s="104"/>
      <c r="AV56" s="104"/>
      <c r="AW56" s="104"/>
      <c r="AX56" s="104"/>
    </row>
    <row r="57" spans="1:50" s="123" customFormat="1" ht="15" customHeight="1">
      <c r="A57" s="159"/>
      <c r="B57" s="197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97"/>
      <c r="T57" s="391" t="s">
        <v>271</v>
      </c>
      <c r="U57" s="190">
        <v>1</v>
      </c>
      <c r="V57" s="190">
        <f xml:space="preserve"> IF(IFERROR(SEARCH(T57, $F$46), 0) = 0, 0, U57)</f>
        <v>0</v>
      </c>
      <c r="W57" s="104"/>
      <c r="X57" s="104"/>
      <c r="Y57" s="159"/>
      <c r="Z57" s="189" t="str">
        <f xml:space="preserve"> Z44</f>
        <v>Litre [l/day]</v>
      </c>
      <c r="AA57" s="159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89" t="str">
        <f xml:space="preserve"> AL44</f>
        <v>Litre [/l]</v>
      </c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</row>
    <row r="58" spans="1:50" ht="15" customHeight="1">
      <c r="A58" s="104"/>
      <c r="B58" s="89" t="s">
        <v>64</v>
      </c>
      <c r="C58" s="89" t="s">
        <v>265</v>
      </c>
      <c r="D58" s="115"/>
      <c r="E58" s="115"/>
      <c r="F58" s="115"/>
      <c r="G58" s="115"/>
      <c r="H58" s="115"/>
      <c r="I58" s="115"/>
      <c r="J58" s="368" t="s">
        <v>266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92" t="s">
        <v>168</v>
      </c>
      <c r="U58" s="193">
        <v>2</v>
      </c>
      <c r="V58" s="190">
        <f xml:space="preserve"> IF(IFERROR(SEARCH(T58, $F$46), 0) = 0, 0, U58)</f>
        <v>0</v>
      </c>
      <c r="Y58" s="159"/>
      <c r="Z58" s="159" t="s">
        <v>158</v>
      </c>
      <c r="AA58" s="159"/>
      <c r="AH58" s="104" t="s">
        <v>158</v>
      </c>
      <c r="AL58" s="104" t="s">
        <v>158</v>
      </c>
      <c r="AQ58" s="104" t="s">
        <v>158</v>
      </c>
    </row>
    <row r="59" spans="1:50" ht="15" customHeight="1">
      <c r="A59" s="104"/>
      <c r="C59" s="407" t="str">
        <f xml:space="preserve"> "Volume of daily produced biogas in " &amp; IF(ISBLANK(H59), "[m³/day]", "")</f>
        <v xml:space="preserve">Volume of daily produced biogas in </v>
      </c>
      <c r="D59" s="173"/>
      <c r="E59" s="173"/>
      <c r="F59" s="173"/>
      <c r="G59" s="173"/>
      <c r="H59" s="434" t="s">
        <v>300</v>
      </c>
      <c r="I59" s="432"/>
      <c r="J59" s="382">
        <v>17500</v>
      </c>
      <c r="K59" s="203"/>
      <c r="L59" s="281" t="str">
        <f xml:space="preserve"> IF(MOD(ROUND(SUM(J59,J60,J67) * 1000000, 0), 10) = 3, " ← Complete example data set", "")</f>
        <v/>
      </c>
      <c r="N59" s="123"/>
      <c r="O59" s="291"/>
      <c r="P59" s="291"/>
      <c r="T59" s="195" t="s">
        <v>155</v>
      </c>
      <c r="U59" s="193">
        <v>3</v>
      </c>
      <c r="V59" s="190">
        <f xml:space="preserve"> IF(IFERROR(SEARCH(T59, $F$46), 0) = 0, 0, U59)</f>
        <v>3</v>
      </c>
      <c r="Y59" s="159"/>
      <c r="Z59" s="189" t="str">
        <f xml:space="preserve"> Z45</f>
        <v>Pound [lb/day]</v>
      </c>
      <c r="AA59" s="159"/>
      <c r="AH59" s="196" t="str">
        <f xml:space="preserve"> AH43</f>
        <v>Pound per Imperial gallon [lb/gal]</v>
      </c>
      <c r="AL59" s="196" t="str">
        <f xml:space="preserve"> AL45</f>
        <v>Pound [/lb]</v>
      </c>
      <c r="AQ59" s="196" t="str">
        <f xml:space="preserve"> AQ43</f>
        <v>Pound [/lb]</v>
      </c>
    </row>
    <row r="60" spans="1:50" ht="15" customHeight="1">
      <c r="A60" s="104"/>
      <c r="C60" s="227" t="str">
        <f xml:space="preserve"> "Content of hydrogen sulfide (H₂S) in the biogas before any treatment in " &amp; IF(ISBLANK(H60), H92, "")</f>
        <v xml:space="preserve">Content of hydrogen sulfide (H₂S) in the biogas before any treatment in </v>
      </c>
      <c r="D60" s="182"/>
      <c r="E60" s="182"/>
      <c r="F60" s="182"/>
      <c r="G60" s="182"/>
      <c r="H60" s="434" t="s">
        <v>198</v>
      </c>
      <c r="I60" s="432"/>
      <c r="J60" s="383">
        <v>1500</v>
      </c>
      <c r="K60" s="203"/>
      <c r="L60" s="99" t="str">
        <f xml:space="preserve"> IF(L59 &lt;&gt; "", " ←", "")</f>
        <v/>
      </c>
      <c r="N60" s="123"/>
      <c r="O60" s="295"/>
      <c r="P60" s="292"/>
      <c r="T60" s="188"/>
      <c r="V60" s="180"/>
      <c r="Y60" s="159"/>
      <c r="Z60" s="189" t="str">
        <f xml:space="preserve"> Z46</f>
        <v>Imperial ton [t/day]</v>
      </c>
      <c r="AA60" s="159"/>
      <c r="AL60" s="196" t="str">
        <f xml:space="preserve"> AL46</f>
        <v>Imperial ton [/t]</v>
      </c>
      <c r="AQ60" s="196" t="str">
        <f xml:space="preserve"> AQ44</f>
        <v>Imperial ton [/t]</v>
      </c>
    </row>
    <row r="61" spans="1:50" ht="15" hidden="1" customHeight="1">
      <c r="A61" s="104"/>
      <c r="C61" s="29" t="s">
        <v>214</v>
      </c>
      <c r="D61" s="29"/>
      <c r="E61" s="29"/>
      <c r="F61" s="29"/>
      <c r="G61" s="29"/>
      <c r="H61" s="29"/>
      <c r="I61" s="277"/>
      <c r="J61" s="283">
        <f xml:space="preserve"> H98</f>
        <v>36588.95705521472</v>
      </c>
      <c r="K61" s="284"/>
      <c r="L61" s="328"/>
      <c r="N61" s="293"/>
      <c r="O61" s="292"/>
      <c r="P61" s="296"/>
      <c r="Q61" s="228"/>
      <c r="T61" s="123"/>
      <c r="V61" s="107">
        <f xml:space="preserve"> SUM(V57:V59)</f>
        <v>3</v>
      </c>
      <c r="Z61" s="196" t="str">
        <f xml:space="preserve"> Z48</f>
        <v>Imperial gallon [gal/day]</v>
      </c>
      <c r="AL61" s="196" t="str">
        <f xml:space="preserve"> AL48</f>
        <v>Imperial gallon [/gal]</v>
      </c>
    </row>
    <row r="62" spans="1:50" ht="15" customHeight="1">
      <c r="A62" s="104"/>
      <c r="C62" s="402" t="s">
        <v>296</v>
      </c>
      <c r="D62" s="173"/>
      <c r="E62" s="173"/>
      <c r="F62" s="173"/>
      <c r="G62" s="173"/>
      <c r="H62" s="421" t="s">
        <v>222</v>
      </c>
      <c r="I62" s="422"/>
      <c r="J62" s="383"/>
      <c r="K62" s="201"/>
      <c r="L62" s="98"/>
      <c r="N62" s="311"/>
      <c r="O62" s="294"/>
      <c r="P62" s="123"/>
      <c r="Q62" s="228"/>
      <c r="X62" s="180"/>
      <c r="Z62" s="104" t="s">
        <v>159</v>
      </c>
      <c r="AH62" s="104" t="s">
        <v>159</v>
      </c>
      <c r="AL62" s="104" t="s">
        <v>159</v>
      </c>
      <c r="AQ62" s="104" t="s">
        <v>159</v>
      </c>
    </row>
    <row r="63" spans="1:50" ht="15" customHeight="1">
      <c r="A63" s="104"/>
      <c r="C63" s="327" t="s">
        <v>215</v>
      </c>
      <c r="D63" s="182"/>
      <c r="E63" s="182"/>
      <c r="F63" s="182"/>
      <c r="G63" s="182"/>
      <c r="H63" s="423"/>
      <c r="I63" s="424"/>
      <c r="J63" s="384"/>
      <c r="K63" s="205"/>
      <c r="L63" s="30"/>
      <c r="R63" s="282"/>
      <c r="X63" s="180"/>
      <c r="Z63" s="196" t="str">
        <f xml:space="preserve"> Z45</f>
        <v>Pound [lb/day]</v>
      </c>
      <c r="AH63" s="196" t="str">
        <f xml:space="preserve"> AH44</f>
        <v>Pound per US gallon [lb/gal]</v>
      </c>
      <c r="AL63" s="196" t="str">
        <f xml:space="preserve"> AL45</f>
        <v>Pound [/lb]</v>
      </c>
      <c r="AQ63" s="196" t="str">
        <f xml:space="preserve"> AQ43</f>
        <v>Pound [/lb]</v>
      </c>
    </row>
    <row r="64" spans="1:50" ht="15" customHeight="1">
      <c r="A64" s="104"/>
      <c r="C64" s="327" t="s">
        <v>216</v>
      </c>
      <c r="D64" s="182"/>
      <c r="E64" s="182"/>
      <c r="F64" s="182"/>
      <c r="G64" s="182"/>
      <c r="H64" s="423"/>
      <c r="I64" s="424"/>
      <c r="J64" s="385"/>
      <c r="K64" s="207"/>
      <c r="L64" s="30"/>
      <c r="N64" s="252"/>
      <c r="O64" s="211"/>
      <c r="P64" s="233"/>
      <c r="Z64" s="196" t="str">
        <f xml:space="preserve"> Z47</f>
        <v>US short ton [t/day]</v>
      </c>
      <c r="AL64" s="196" t="str">
        <f xml:space="preserve"> AL47</f>
        <v>US short ton [/t]</v>
      </c>
      <c r="AQ64" s="196" t="str">
        <f xml:space="preserve"> AQ45</f>
        <v>US short ton [/t]</v>
      </c>
    </row>
    <row r="65" spans="1:51" ht="15" customHeight="1">
      <c r="A65" s="104"/>
      <c r="C65" s="395" t="s">
        <v>272</v>
      </c>
      <c r="D65" s="182"/>
      <c r="E65" s="182"/>
      <c r="F65" s="182"/>
      <c r="G65" s="182"/>
      <c r="H65" s="425"/>
      <c r="I65" s="426"/>
      <c r="J65" s="386"/>
      <c r="K65" s="88" t="str">
        <f xml:space="preserve"> IF(H109 &gt; 0, "Approx. " &amp; TEXT(H109, "0.000") &amp; " ", "")</f>
        <v/>
      </c>
      <c r="L65" s="253" t="str">
        <f xml:space="preserve"> IF(K65 = "", "", " ← Overwrite this calculated value only, if you have the measured value for the total content of sulfide in the liquid available.")</f>
        <v/>
      </c>
      <c r="O65" s="234"/>
      <c r="P65" s="233"/>
      <c r="Z65" s="196" t="str">
        <f xml:space="preserve"> Z49</f>
        <v>US gallon [gal/day]</v>
      </c>
      <c r="AL65" s="196" t="str">
        <f xml:space="preserve"> AL49</f>
        <v>US gallon [/gal]</v>
      </c>
    </row>
    <row r="66" spans="1:51" ht="15" hidden="1" customHeight="1">
      <c r="A66" s="104"/>
      <c r="C66" s="29" t="s">
        <v>212</v>
      </c>
      <c r="D66" s="29"/>
      <c r="E66" s="29"/>
      <c r="F66" s="29"/>
      <c r="G66" s="29"/>
      <c r="H66" s="279"/>
      <c r="I66" s="286"/>
      <c r="J66" s="283">
        <f xml:space="preserve"> H110</f>
        <v>0</v>
      </c>
      <c r="K66" s="285"/>
      <c r="L66" s="328"/>
      <c r="N66" s="95"/>
      <c r="O66" s="95"/>
      <c r="P66" s="95"/>
      <c r="Q66" s="228"/>
    </row>
    <row r="67" spans="1:51" ht="15" customHeight="1">
      <c r="A67" s="104"/>
      <c r="C67" s="396" t="s">
        <v>227</v>
      </c>
      <c r="D67" s="182"/>
      <c r="E67" s="182"/>
      <c r="F67" s="182"/>
      <c r="G67" s="182"/>
      <c r="H67" s="182"/>
      <c r="I67" s="131"/>
      <c r="J67" s="383">
        <v>1.7</v>
      </c>
      <c r="K67" s="87"/>
      <c r="L67" s="104" t="str">
        <f xml:space="preserve"> IF(L59 &lt;&gt; "", " ←", IF(AND(ISNUMBER(J67), J67 &lt;= 1), " Recommendation: Use a value greater than 1 for β; See footnote A.", ""))</f>
        <v/>
      </c>
      <c r="N67" s="258"/>
      <c r="O67" s="258"/>
      <c r="P67" s="258"/>
      <c r="Q67" s="287"/>
      <c r="R67" s="258"/>
      <c r="S67" s="258"/>
    </row>
    <row r="68" spans="1:51" s="95" customFormat="1" ht="12" customHeight="1">
      <c r="C68" s="94" t="s">
        <v>221</v>
      </c>
      <c r="D68" s="312"/>
      <c r="E68" s="312"/>
      <c r="G68" s="332"/>
      <c r="H68" s="332"/>
      <c r="I68" s="332"/>
      <c r="J68" s="332"/>
      <c r="K68" s="332"/>
      <c r="L68" s="332"/>
      <c r="O68" s="313"/>
    </row>
    <row r="69" spans="1:51" s="95" customFormat="1" ht="8.1" customHeight="1">
      <c r="C69" s="94"/>
      <c r="D69" s="312"/>
      <c r="E69" s="312"/>
      <c r="G69" s="332"/>
      <c r="H69" s="332"/>
      <c r="I69" s="332"/>
      <c r="J69" s="332"/>
      <c r="K69" s="332"/>
      <c r="L69" s="332"/>
      <c r="O69" s="313"/>
    </row>
    <row r="70" spans="1:51" s="95" customFormat="1" ht="15" customHeight="1">
      <c r="A70" s="104"/>
      <c r="B70" s="104"/>
      <c r="C70" s="211"/>
      <c r="D70" s="31"/>
      <c r="E70" s="31"/>
      <c r="F70" s="211"/>
      <c r="G70" s="35" t="str">
        <f xml:space="preserve"> G18</f>
        <v>My_FeO(OH)_Additive</v>
      </c>
      <c r="H70" s="35"/>
      <c r="I70" s="104"/>
      <c r="J70" s="38" t="str">
        <f xml:space="preserve"> U13</f>
        <v>SBGx by SwissBiogas.com</v>
      </c>
      <c r="K70" s="38"/>
      <c r="L70" s="210"/>
      <c r="M70" s="104"/>
      <c r="N70" s="258"/>
      <c r="O70" s="255"/>
      <c r="P70" s="255"/>
      <c r="Q70" s="256"/>
      <c r="R70" s="256"/>
      <c r="S70" s="257"/>
    </row>
    <row r="71" spans="1:51" s="95" customFormat="1" ht="15" customHeight="1">
      <c r="A71" s="104"/>
      <c r="B71" s="104"/>
      <c r="C71" s="72" t="s">
        <v>63</v>
      </c>
      <c r="D71" s="72" t="s">
        <v>200</v>
      </c>
      <c r="E71" s="72"/>
      <c r="F71" s="178"/>
      <c r="G71" s="325">
        <f xml:space="preserve"> IF(V28 &gt; 0, H114 / V28 * 100 / 1000, 0)</f>
        <v>228.66335739916056</v>
      </c>
      <c r="H71" s="310"/>
      <c r="I71" s="104"/>
      <c r="J71" s="326">
        <f xml:space="preserve"> H114 / X28 * 100 / 1000</f>
        <v>164.11810665474343</v>
      </c>
      <c r="K71" s="77"/>
      <c r="L71" s="210"/>
      <c r="M71" s="104"/>
      <c r="N71" s="104"/>
      <c r="O71" s="104"/>
      <c r="P71" s="104"/>
      <c r="Q71" s="104"/>
      <c r="R71" s="104"/>
      <c r="S71" s="104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258"/>
      <c r="AV71" s="258"/>
      <c r="AW71" s="258"/>
      <c r="AX71" s="258"/>
      <c r="AY71" s="258"/>
    </row>
    <row r="72" spans="1:51" s="95" customFormat="1" ht="8.1" customHeight="1">
      <c r="C72" s="104"/>
      <c r="D72" s="20"/>
      <c r="E72" s="20"/>
      <c r="F72" s="123"/>
      <c r="G72" s="36"/>
      <c r="H72" s="43"/>
      <c r="I72" s="104"/>
      <c r="J72" s="91"/>
      <c r="K72" s="68"/>
      <c r="L72" s="226"/>
      <c r="M72" s="104"/>
      <c r="O72" s="255"/>
      <c r="P72" s="255"/>
      <c r="Q72" s="255"/>
      <c r="R72" s="255"/>
      <c r="S72" s="255"/>
      <c r="T72" s="258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</row>
    <row r="73" spans="1:51" ht="15" customHeight="1">
      <c r="A73" s="411"/>
      <c r="B73" s="243"/>
      <c r="C73" s="387"/>
      <c r="D73" s="244"/>
      <c r="E73" s="244"/>
      <c r="F73" s="243"/>
      <c r="G73" s="243"/>
      <c r="H73" s="240"/>
      <c r="I73" s="243"/>
      <c r="J73" s="243"/>
      <c r="K73" s="243"/>
      <c r="L73" s="243"/>
      <c r="M73" s="243"/>
      <c r="N73" s="241"/>
      <c r="O73" s="243"/>
      <c r="P73" s="241"/>
      <c r="Q73" s="241"/>
      <c r="R73" s="241"/>
      <c r="S73" s="241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</row>
    <row r="74" spans="1:51" ht="15" customHeight="1">
      <c r="A74" s="411"/>
      <c r="B74" s="243"/>
      <c r="C74" s="433" t="s">
        <v>253</v>
      </c>
      <c r="D74" s="433"/>
      <c r="E74" s="433"/>
      <c r="F74" s="433"/>
      <c r="G74" s="433"/>
      <c r="H74" s="240"/>
      <c r="I74" s="243"/>
      <c r="J74" s="243"/>
      <c r="K74" s="243"/>
      <c r="L74" s="247" t="s">
        <v>48</v>
      </c>
      <c r="M74" s="243"/>
      <c r="O74" s="243"/>
      <c r="P74" s="241"/>
      <c r="Q74" s="241"/>
      <c r="R74" s="241"/>
      <c r="S74" s="241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</row>
    <row r="75" spans="1:51" ht="15" customHeight="1">
      <c r="A75" s="411"/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9"/>
      <c r="M75" s="248"/>
      <c r="N75" s="249"/>
      <c r="O75" s="248"/>
      <c r="P75" s="249"/>
      <c r="Q75" s="249"/>
      <c r="R75" s="249"/>
      <c r="S75" s="249"/>
    </row>
    <row r="76" spans="1:51" s="95" customFormat="1" ht="15" customHeight="1">
      <c r="A76" s="241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</row>
    <row r="77" spans="1:51" s="241" customFormat="1" ht="15" customHeight="1"/>
    <row r="78" spans="1:51" s="241" customFormat="1" ht="15" customHeight="1"/>
    <row r="79" spans="1:51" s="241" customFormat="1" ht="15" customHeight="1"/>
    <row r="80" spans="1:51" s="241" customFormat="1" ht="15" customHeight="1"/>
    <row r="81" spans="1:19" s="241" customFormat="1" ht="15" customHeight="1"/>
    <row r="82" spans="1:19" s="241" customFormat="1" ht="15" customHeight="1"/>
    <row r="83" spans="1:19" s="241" customFormat="1" ht="15" customHeight="1">
      <c r="A83" s="411"/>
      <c r="B83" s="243"/>
      <c r="H83" s="239"/>
      <c r="M83" s="243"/>
      <c r="N83" s="243"/>
      <c r="O83" s="243"/>
    </row>
    <row r="84" spans="1:19" s="241" customFormat="1" ht="15" customHeight="1">
      <c r="A84" s="411"/>
    </row>
    <row r="85" spans="1:19" s="241" customFormat="1" ht="15" customHeight="1">
      <c r="A85" s="411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6"/>
      <c r="Q85" s="246"/>
      <c r="R85" s="246"/>
      <c r="S85" s="246"/>
    </row>
    <row r="86" spans="1:19" s="241" customFormat="1" ht="15" customHeight="1">
      <c r="A86" s="412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5"/>
      <c r="Q86" s="235"/>
      <c r="R86" s="235"/>
      <c r="S86" s="235"/>
    </row>
    <row r="87" spans="1:19" s="241" customFormat="1" ht="15" customHeight="1">
      <c r="A87" s="412"/>
      <c r="B87" s="232"/>
      <c r="C87" s="413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5"/>
      <c r="Q87" s="235"/>
      <c r="R87" s="235"/>
      <c r="S87" s="235"/>
    </row>
    <row r="88" spans="1:19" s="241" customFormat="1" ht="15" hidden="1" customHeight="1">
      <c r="A88" s="412"/>
      <c r="B88" s="232"/>
      <c r="C88" s="405" t="s">
        <v>299</v>
      </c>
      <c r="D88" s="232"/>
      <c r="E88" s="232"/>
      <c r="F88" s="232"/>
      <c r="G88" s="232"/>
      <c r="H88" s="414" t="s">
        <v>300</v>
      </c>
      <c r="I88" s="232"/>
      <c r="J88" s="232"/>
      <c r="K88" s="232"/>
      <c r="L88" s="232"/>
      <c r="M88" s="232"/>
      <c r="N88" s="232"/>
      <c r="O88" s="232"/>
      <c r="P88" s="235"/>
      <c r="Q88" s="235"/>
      <c r="R88" s="235"/>
      <c r="S88" s="235"/>
    </row>
    <row r="89" spans="1:19" s="241" customFormat="1" ht="15" hidden="1" customHeight="1">
      <c r="A89" s="412"/>
      <c r="B89" s="232"/>
      <c r="C89" s="413"/>
      <c r="D89" s="232"/>
      <c r="E89" s="232"/>
      <c r="F89" s="232"/>
      <c r="G89" s="232"/>
      <c r="H89" s="408" t="s">
        <v>301</v>
      </c>
      <c r="I89" s="232"/>
      <c r="J89" s="232"/>
      <c r="K89" s="232"/>
      <c r="L89" s="235"/>
      <c r="M89" s="232"/>
      <c r="N89" s="232"/>
      <c r="O89" s="232"/>
      <c r="P89" s="235"/>
      <c r="Q89" s="235"/>
      <c r="R89" s="235"/>
      <c r="S89" s="235"/>
    </row>
    <row r="90" spans="1:19" s="241" customFormat="1" ht="15" hidden="1" customHeight="1">
      <c r="A90" s="412"/>
      <c r="B90" s="413"/>
      <c r="C90" s="237"/>
      <c r="D90" s="237"/>
      <c r="E90" s="237"/>
      <c r="F90" s="237"/>
      <c r="G90" s="237"/>
      <c r="H90" s="408" t="s">
        <v>302</v>
      </c>
      <c r="I90" s="237"/>
      <c r="J90" s="237"/>
      <c r="K90" s="237"/>
      <c r="L90" s="238"/>
      <c r="M90" s="237"/>
      <c r="N90" s="237"/>
      <c r="O90" s="237"/>
      <c r="P90" s="238"/>
      <c r="Q90" s="238"/>
      <c r="R90" s="238"/>
      <c r="S90" s="238"/>
    </row>
    <row r="91" spans="1:19" s="241" customFormat="1" ht="15" hidden="1" customHeight="1">
      <c r="A91" s="41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5"/>
      <c r="Q91" s="235"/>
      <c r="R91" s="235"/>
      <c r="S91" s="235"/>
    </row>
    <row r="92" spans="1:19" s="241" customFormat="1" ht="15" hidden="1" customHeight="1">
      <c r="A92" s="412"/>
      <c r="B92" s="232"/>
      <c r="C92" s="289" t="s">
        <v>196</v>
      </c>
      <c r="D92" s="232"/>
      <c r="E92" s="232"/>
      <c r="F92" s="232"/>
      <c r="G92" s="232"/>
      <c r="H92" s="290" t="s">
        <v>198</v>
      </c>
      <c r="I92" s="232"/>
      <c r="J92" s="232"/>
      <c r="K92" s="232"/>
      <c r="L92" s="232"/>
      <c r="M92" s="232"/>
      <c r="N92" s="232"/>
      <c r="O92" s="232"/>
      <c r="P92" s="235"/>
      <c r="Q92" s="235"/>
      <c r="R92" s="235"/>
      <c r="S92" s="235"/>
    </row>
    <row r="93" spans="1:19" s="241" customFormat="1" ht="15" hidden="1" customHeight="1">
      <c r="A93" s="412"/>
      <c r="B93" s="232"/>
      <c r="C93" s="235"/>
      <c r="D93" s="235"/>
      <c r="E93" s="235"/>
      <c r="F93" s="232"/>
      <c r="G93" s="232"/>
      <c r="H93" s="290" t="s">
        <v>197</v>
      </c>
      <c r="I93" s="232"/>
      <c r="J93" s="232"/>
      <c r="K93" s="232"/>
      <c r="L93" s="235"/>
      <c r="M93" s="232"/>
      <c r="N93" s="232"/>
      <c r="O93" s="232"/>
      <c r="P93" s="235"/>
      <c r="Q93" s="235"/>
      <c r="R93" s="235"/>
      <c r="S93" s="235"/>
    </row>
    <row r="94" spans="1:19" s="241" customFormat="1" ht="15" hidden="1" customHeight="1">
      <c r="A94" s="412"/>
      <c r="B94" s="232"/>
      <c r="C94" s="238"/>
      <c r="D94" s="238"/>
      <c r="E94" s="238"/>
      <c r="F94" s="237"/>
      <c r="G94" s="237"/>
      <c r="H94" s="232"/>
      <c r="I94" s="232"/>
      <c r="J94" s="232"/>
      <c r="K94" s="232"/>
      <c r="L94" s="232"/>
      <c r="M94" s="232"/>
      <c r="N94" s="232"/>
      <c r="O94" s="232"/>
      <c r="P94" s="235"/>
      <c r="Q94" s="235"/>
      <c r="R94" s="235"/>
      <c r="S94" s="235"/>
    </row>
    <row r="95" spans="1:19" s="241" customFormat="1" ht="15" hidden="1" customHeight="1">
      <c r="A95" s="159"/>
      <c r="B95" s="199"/>
      <c r="C95" s="198" t="s">
        <v>32</v>
      </c>
      <c r="D95" s="115"/>
      <c r="E95" s="115"/>
      <c r="F95" s="115"/>
      <c r="G95" s="115"/>
      <c r="H95" s="397">
        <v>55.844999999999999</v>
      </c>
      <c r="I95" s="104"/>
      <c r="J95" s="208"/>
      <c r="K95" s="208"/>
      <c r="L95" s="199"/>
      <c r="M95" s="199"/>
      <c r="N95" s="199"/>
      <c r="O95" s="199"/>
      <c r="P95" s="104"/>
      <c r="Q95" s="104"/>
      <c r="R95" s="104"/>
      <c r="S95" s="104"/>
    </row>
    <row r="96" spans="1:19" s="235" customFormat="1" ht="15" hidden="1" customHeight="1">
      <c r="A96" s="159"/>
      <c r="B96" s="199"/>
      <c r="C96" s="271" t="s">
        <v>181</v>
      </c>
      <c r="D96" s="115"/>
      <c r="E96" s="115"/>
      <c r="F96" s="115"/>
      <c r="G96" s="115"/>
      <c r="H96" s="397">
        <v>34.08</v>
      </c>
      <c r="I96" s="104"/>
      <c r="J96" s="229" t="s">
        <v>182</v>
      </c>
      <c r="K96" s="208"/>
      <c r="L96" s="199"/>
      <c r="M96" s="199"/>
      <c r="N96" s="199"/>
      <c r="O96" s="199"/>
      <c r="P96" s="104"/>
      <c r="Q96" s="104"/>
      <c r="R96" s="104"/>
      <c r="S96" s="104"/>
    </row>
    <row r="97" spans="1:19" s="235" customFormat="1" ht="15" hidden="1" customHeight="1">
      <c r="A97" s="159"/>
      <c r="B97" s="199"/>
      <c r="C97" s="272" t="s">
        <v>184</v>
      </c>
      <c r="D97" s="115"/>
      <c r="E97" s="115"/>
      <c r="F97" s="115"/>
      <c r="G97" s="115"/>
      <c r="H97" s="397">
        <v>24.45</v>
      </c>
      <c r="I97" s="104"/>
      <c r="J97" s="316" t="s">
        <v>183</v>
      </c>
      <c r="K97" s="208"/>
      <c r="L97" s="199"/>
      <c r="M97" s="199"/>
      <c r="N97" s="199"/>
      <c r="O97" s="199"/>
      <c r="P97" s="104"/>
      <c r="Q97" s="104"/>
      <c r="R97" s="104"/>
      <c r="S97" s="104"/>
    </row>
    <row r="98" spans="1:19" s="235" customFormat="1" ht="15" hidden="1" customHeight="1">
      <c r="A98" s="159"/>
      <c r="B98" s="104"/>
      <c r="C98" s="260" t="s">
        <v>193</v>
      </c>
      <c r="D98" s="104"/>
      <c r="E98" s="104"/>
      <c r="F98" s="104"/>
      <c r="G98" s="104"/>
      <c r="H98" s="278">
        <f xml:space="preserve"> IF(H60 = H93, H97 * J60 / H96, J60) / 1000 / H97 * H96 * IF(H59 = H89, J59 * X48 / 1000, IF(H59 = H90, J59 * X49 / 1000, J59))</f>
        <v>36588.95705521472</v>
      </c>
      <c r="I98" s="104"/>
      <c r="J98" s="104"/>
      <c r="K98" s="104"/>
      <c r="L98" s="288" t="s">
        <v>195</v>
      </c>
      <c r="M98" s="104"/>
      <c r="N98" s="104"/>
      <c r="O98" s="104"/>
      <c r="P98" s="104"/>
      <c r="Q98" s="104"/>
      <c r="R98" s="104"/>
      <c r="S98" s="104"/>
    </row>
    <row r="99" spans="1:19" s="235" customFormat="1" ht="15" hidden="1" customHeight="1">
      <c r="A99" s="159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</row>
    <row r="100" spans="1:19" s="235" customFormat="1" ht="15" hidden="1" customHeight="1">
      <c r="A100" s="159"/>
      <c r="B100" s="199"/>
      <c r="C100" s="198" t="s">
        <v>33</v>
      </c>
      <c r="D100" s="115"/>
      <c r="E100" s="115"/>
      <c r="F100" s="115"/>
      <c r="G100" s="115"/>
      <c r="H100" s="213">
        <f xml:space="preserve"> IF(J64 &gt; 0, 10 ^ -J64, 0)</f>
        <v>0</v>
      </c>
      <c r="I100" s="104"/>
      <c r="J100" s="214"/>
      <c r="K100" s="199"/>
      <c r="L100" s="199"/>
      <c r="M100" s="199"/>
      <c r="N100" s="199"/>
      <c r="O100" s="199"/>
      <c r="P100" s="104"/>
      <c r="Q100" s="104"/>
      <c r="R100" s="104"/>
      <c r="S100" s="104"/>
    </row>
    <row r="101" spans="1:19" s="235" customFormat="1" ht="15" hidden="1" customHeight="1">
      <c r="A101" s="159"/>
      <c r="B101" s="199"/>
      <c r="C101" s="198" t="s">
        <v>34</v>
      </c>
      <c r="D101" s="115"/>
      <c r="E101" s="115"/>
      <c r="F101" s="115"/>
      <c r="G101" s="115"/>
      <c r="H101" s="213">
        <f xml:space="preserve"> IF(J63 &gt; 0, 10 ^ -(1351.9 / (J63 + 273.15) + 0.0992 + 0.00792 * (J63 + 273.15)), 0)</f>
        <v>0</v>
      </c>
      <c r="I101" s="104"/>
      <c r="J101" s="199"/>
      <c r="K101" s="199"/>
      <c r="L101" s="199"/>
      <c r="M101" s="199"/>
      <c r="N101" s="199"/>
      <c r="O101" s="199"/>
      <c r="P101" s="104"/>
      <c r="Q101" s="104"/>
      <c r="R101" s="104"/>
      <c r="S101" s="104"/>
    </row>
    <row r="102" spans="1:19" s="235" customFormat="1" ht="15" hidden="1" customHeight="1">
      <c r="A102" s="159"/>
      <c r="B102" s="199"/>
      <c r="C102" s="198" t="s">
        <v>35</v>
      </c>
      <c r="D102" s="115"/>
      <c r="E102" s="115"/>
      <c r="F102" s="115"/>
      <c r="G102" s="115"/>
      <c r="H102" s="215">
        <f xml:space="preserve"> 10 ^ -11.96</f>
        <v>1.0964781961431817E-12</v>
      </c>
      <c r="I102" s="104"/>
      <c r="J102" s="154"/>
      <c r="K102" s="154"/>
      <c r="L102" s="199"/>
      <c r="M102" s="199"/>
      <c r="N102" s="199"/>
      <c r="O102" s="199"/>
      <c r="P102" s="104"/>
      <c r="Q102" s="104"/>
      <c r="R102" s="104"/>
      <c r="S102" s="104"/>
    </row>
    <row r="103" spans="1:19" s="235" customFormat="1" ht="15" hidden="1" customHeight="1">
      <c r="A103" s="159"/>
      <c r="B103" s="199"/>
      <c r="C103" s="198" t="s">
        <v>180</v>
      </c>
      <c r="D103" s="115"/>
      <c r="E103" s="115"/>
      <c r="F103" s="115"/>
      <c r="G103" s="115"/>
      <c r="H103" s="213">
        <f xml:space="preserve"> IF(H101 * H100 &gt; 0, (1 + H101 / H100 + H101 * H102 / H100 ^ 2) ^ -1, 0)</f>
        <v>0</v>
      </c>
      <c r="I103" s="104"/>
      <c r="J103" s="154"/>
      <c r="K103" s="154"/>
      <c r="L103" s="199"/>
      <c r="M103" s="199"/>
      <c r="N103" s="199"/>
      <c r="O103" s="199"/>
      <c r="P103" s="104"/>
      <c r="Q103" s="104"/>
      <c r="R103" s="104"/>
      <c r="S103" s="104"/>
    </row>
    <row r="104" spans="1:19" s="235" customFormat="1" ht="15" hidden="1" customHeight="1">
      <c r="A104" s="159"/>
      <c r="B104" s="199"/>
      <c r="C104" s="273" t="s">
        <v>191</v>
      </c>
      <c r="D104" s="115"/>
      <c r="E104" s="115"/>
      <c r="F104" s="115"/>
      <c r="G104" s="115"/>
      <c r="H104" s="213">
        <f xml:space="preserve"> IF(H103 &gt; 0, H101 / H100 * H103, 0)</f>
        <v>0</v>
      </c>
      <c r="I104" s="104"/>
      <c r="J104" s="250" t="s">
        <v>185</v>
      </c>
      <c r="K104" s="216"/>
      <c r="L104" s="217"/>
      <c r="M104" s="217"/>
      <c r="N104" s="217"/>
      <c r="O104" s="217"/>
      <c r="P104" s="105"/>
      <c r="Q104" s="105"/>
      <c r="R104" s="105"/>
      <c r="S104" s="104"/>
    </row>
    <row r="105" spans="1:19" ht="15" hidden="1" customHeight="1">
      <c r="B105" s="199"/>
      <c r="C105" s="273" t="s">
        <v>192</v>
      </c>
      <c r="D105" s="115"/>
      <c r="E105" s="115"/>
      <c r="F105" s="115"/>
      <c r="G105" s="276"/>
      <c r="H105" s="213" t="e">
        <f xml:space="preserve"> H101 * H102 / H100 ^ 2 * H103</f>
        <v>#DIV/0!</v>
      </c>
      <c r="J105" s="415" t="s">
        <v>178</v>
      </c>
      <c r="K105" s="216"/>
      <c r="L105" s="217"/>
      <c r="M105" s="217"/>
      <c r="N105" s="217"/>
      <c r="O105" s="217"/>
      <c r="P105" s="105"/>
      <c r="Q105" s="105"/>
      <c r="R105" s="105"/>
    </row>
    <row r="106" spans="1:19" ht="15" hidden="1" customHeight="1">
      <c r="B106" s="199"/>
      <c r="C106" s="274" t="s">
        <v>170</v>
      </c>
      <c r="D106" s="275"/>
      <c r="E106" s="275"/>
      <c r="F106" s="275"/>
      <c r="G106" s="275"/>
      <c r="H106" s="266"/>
      <c r="J106" s="154"/>
      <c r="K106" s="154"/>
      <c r="L106" s="199"/>
      <c r="M106" s="199"/>
      <c r="N106" s="199"/>
      <c r="O106" s="199"/>
    </row>
    <row r="107" spans="1:19" ht="15" hidden="1" customHeight="1">
      <c r="B107" s="199"/>
      <c r="C107" s="198" t="s">
        <v>36</v>
      </c>
      <c r="G107" s="199"/>
      <c r="H107" s="198"/>
      <c r="I107" s="199"/>
    </row>
    <row r="108" spans="1:19" ht="15" hidden="1" customHeight="1">
      <c r="B108" s="199"/>
      <c r="C108" s="218" t="s">
        <v>37</v>
      </c>
      <c r="G108" s="199"/>
      <c r="H108" s="199"/>
      <c r="I108" s="199"/>
    </row>
    <row r="109" spans="1:19" ht="15" hidden="1" customHeight="1">
      <c r="B109" s="199"/>
      <c r="C109" s="218" t="s">
        <v>171</v>
      </c>
      <c r="H109" s="213">
        <f xml:space="preserve"> IF(J60 * H103 &gt; 0, EXP((LN(J60) - 6.42) / 0.78) / H103, 0)</f>
        <v>0</v>
      </c>
      <c r="J109" s="219"/>
      <c r="K109" s="219"/>
      <c r="O109" s="199"/>
    </row>
    <row r="110" spans="1:19" ht="15" hidden="1" customHeight="1">
      <c r="B110" s="199"/>
      <c r="C110" s="280" t="s">
        <v>194</v>
      </c>
      <c r="D110" s="220"/>
      <c r="E110" s="220"/>
      <c r="F110" s="220"/>
      <c r="G110" s="220"/>
      <c r="H110" s="278">
        <f xml:space="preserve"> IF(ISNUMBER(J65), J65, H109) * J62</f>
        <v>0</v>
      </c>
      <c r="M110" s="219"/>
      <c r="N110" s="231"/>
      <c r="O110" s="199"/>
    </row>
    <row r="111" spans="1:19" ht="15" hidden="1" customHeight="1">
      <c r="B111" s="199"/>
      <c r="C111" s="199"/>
    </row>
    <row r="112" spans="1:19" ht="15" hidden="1" customHeight="1">
      <c r="B112" s="199"/>
      <c r="C112" s="199"/>
    </row>
    <row r="113" spans="2:15" ht="15" hidden="1" customHeight="1">
      <c r="B113" s="199"/>
      <c r="C113" s="329" t="s">
        <v>220</v>
      </c>
      <c r="H113" s="221">
        <f xml:space="preserve"> IF( H98 &gt; 0, H95 / H96 * (H98 + H110), 0)</f>
        <v>59956.288343558277</v>
      </c>
      <c r="L113" s="265" t="s">
        <v>189</v>
      </c>
    </row>
    <row r="114" spans="2:15" ht="15" hidden="1" customHeight="1">
      <c r="B114" s="199"/>
      <c r="C114" s="267" t="s">
        <v>219</v>
      </c>
      <c r="D114" s="268"/>
      <c r="E114" s="268"/>
      <c r="F114" s="268"/>
      <c r="G114" s="268"/>
      <c r="H114" s="221">
        <f xml:space="preserve"> IF(AND(J67 &gt; 0, H98 &gt; 0), J67 * H95 / H96 * (H98 + H110), 0)</f>
        <v>101925.69018404908</v>
      </c>
      <c r="J114" s="230"/>
      <c r="K114" s="199"/>
      <c r="L114" s="263">
        <f xml:space="preserve"> J60 / 1000 / H97 * H96 * J59</f>
        <v>36588.95705521472</v>
      </c>
      <c r="M114" s="199"/>
      <c r="N114" s="261" t="s">
        <v>187</v>
      </c>
      <c r="O114" s="199"/>
    </row>
    <row r="115" spans="2:15" ht="15" hidden="1" customHeight="1">
      <c r="B115" s="199"/>
      <c r="C115" s="269" t="s">
        <v>188</v>
      </c>
      <c r="D115" s="211"/>
      <c r="E115" s="211"/>
      <c r="F115" s="211"/>
      <c r="G115" s="211"/>
      <c r="H115" s="212"/>
      <c r="J115" s="199"/>
      <c r="K115" s="199"/>
      <c r="L115" s="264">
        <f xml:space="preserve"> J67 * H95 / H96 * L114</f>
        <v>101925.69018404908</v>
      </c>
      <c r="M115" s="199"/>
      <c r="N115" s="261" t="s">
        <v>190</v>
      </c>
      <c r="O115" s="199"/>
    </row>
    <row r="116" spans="2:15" ht="15" hidden="1" customHeight="1">
      <c r="B116" s="199"/>
      <c r="C116" s="219"/>
      <c r="D116" s="211"/>
      <c r="E116" s="211"/>
      <c r="F116" s="211"/>
      <c r="G116" s="270" t="s">
        <v>186</v>
      </c>
      <c r="H116" s="259">
        <f xml:space="preserve"> (IF(AND(ISNUMBER(J65), J65 &gt; 0), J65, H109) * J62 + J60 / 1000 / H97 * H96 * J59)</f>
        <v>36588.95705521472</v>
      </c>
      <c r="J116" s="199"/>
      <c r="K116" s="199"/>
      <c r="O116" s="199"/>
    </row>
    <row r="117" spans="2:15" ht="15" hidden="1" customHeight="1">
      <c r="B117" s="199"/>
      <c r="C117" s="219"/>
      <c r="D117" s="211"/>
      <c r="E117" s="211"/>
      <c r="F117" s="211"/>
      <c r="G117" s="211"/>
      <c r="H117" s="199"/>
      <c r="J117" s="199"/>
      <c r="K117" s="199"/>
      <c r="O117" s="199"/>
    </row>
    <row r="118" spans="2:15" ht="15" hidden="1" customHeight="1">
      <c r="B118" s="199"/>
      <c r="C118" s="199"/>
      <c r="H118" s="199"/>
      <c r="J118" s="199"/>
      <c r="K118" s="199"/>
      <c r="L118" s="199"/>
      <c r="M118" s="199"/>
      <c r="N118" s="199"/>
      <c r="O118" s="199"/>
    </row>
    <row r="119" spans="2:15" ht="18" hidden="1" customHeight="1">
      <c r="B119" s="199"/>
      <c r="C119" s="199" t="s">
        <v>38</v>
      </c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</row>
    <row r="120" spans="2:15" ht="18" hidden="1" customHeight="1">
      <c r="B120" s="199"/>
      <c r="C120" s="199" t="s">
        <v>39</v>
      </c>
      <c r="D120" s="222"/>
      <c r="E120" s="222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</row>
    <row r="121" spans="2:15" ht="15" hidden="1" customHeight="1">
      <c r="B121" s="199"/>
      <c r="C121" s="199" t="s">
        <v>40</v>
      </c>
      <c r="D121" s="223"/>
      <c r="E121" s="223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</row>
    <row r="122" spans="2:15" ht="15" hidden="1" customHeight="1">
      <c r="B122" s="199"/>
      <c r="C122" s="199"/>
      <c r="D122" s="212"/>
      <c r="E122" s="212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</row>
    <row r="123" spans="2:15" ht="15" hidden="1" customHeight="1">
      <c r="B123" s="159"/>
      <c r="C123" s="212" t="s">
        <v>41</v>
      </c>
      <c r="D123" s="212"/>
      <c r="E123" s="212"/>
      <c r="F123" s="199"/>
      <c r="G123" s="199"/>
      <c r="H123" s="199"/>
      <c r="I123" s="199"/>
      <c r="J123" s="199"/>
      <c r="K123" s="199"/>
      <c r="L123" s="159"/>
      <c r="M123" s="159"/>
      <c r="N123" s="159"/>
      <c r="O123" s="159"/>
    </row>
    <row r="124" spans="2:15" ht="15" hidden="1" customHeight="1">
      <c r="B124" s="159"/>
      <c r="C124" s="224" t="s">
        <v>42</v>
      </c>
      <c r="D124" s="199"/>
      <c r="E124" s="199"/>
      <c r="F124" s="199"/>
      <c r="G124" s="199"/>
      <c r="H124" s="199"/>
      <c r="I124" s="199"/>
      <c r="J124" s="159"/>
      <c r="K124" s="159"/>
      <c r="L124" s="159"/>
      <c r="M124" s="159"/>
      <c r="N124" s="159"/>
      <c r="O124" s="159"/>
    </row>
    <row r="125" spans="2:15" ht="18" hidden="1" customHeight="1">
      <c r="B125" s="159"/>
      <c r="C125" s="199" t="s">
        <v>43</v>
      </c>
      <c r="D125" s="212"/>
      <c r="E125" s="212"/>
      <c r="F125" s="199"/>
      <c r="G125" s="159"/>
      <c r="H125" s="199"/>
      <c r="I125" s="199"/>
      <c r="J125" s="159"/>
      <c r="K125" s="159"/>
      <c r="L125" s="159"/>
      <c r="M125" s="159"/>
      <c r="N125" s="159"/>
      <c r="O125" s="159"/>
    </row>
    <row r="126" spans="2:15" ht="15" hidden="1" customHeight="1">
      <c r="B126" s="159"/>
      <c r="C126" s="224" t="s">
        <v>44</v>
      </c>
      <c r="D126" s="180"/>
      <c r="E126" s="180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</row>
    <row r="127" spans="2:15" ht="15" hidden="1" customHeight="1">
      <c r="B127" s="159"/>
      <c r="C127" s="199" t="s">
        <v>45</v>
      </c>
      <c r="D127" s="180"/>
      <c r="E127" s="180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</row>
    <row r="128" spans="2:15" ht="15" hidden="1" customHeight="1">
      <c r="B128" s="159"/>
      <c r="C128" s="16" t="s">
        <v>46</v>
      </c>
      <c r="D128" s="180"/>
      <c r="E128" s="180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</row>
    <row r="129" spans="2:15" ht="15" hidden="1" customHeight="1">
      <c r="B129" s="159"/>
      <c r="C129" s="199" t="s">
        <v>47</v>
      </c>
      <c r="D129" s="180"/>
      <c r="E129" s="180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</row>
    <row r="130" spans="2:15" ht="15" customHeight="1"/>
    <row r="131" spans="2:15" ht="15" customHeight="1"/>
    <row r="132" spans="2:15" ht="15" customHeight="1"/>
    <row r="133" spans="2:15" ht="15" customHeight="1"/>
    <row r="134" spans="2:15" ht="15" customHeight="1"/>
    <row r="135" spans="2:15" ht="15" customHeight="1"/>
    <row r="136" spans="2:15" ht="15" customHeight="1"/>
    <row r="137" spans="2:15" ht="15" customHeight="1"/>
    <row r="138" spans="2:15" ht="15" customHeight="1"/>
    <row r="139" spans="2:15" ht="15" customHeight="1"/>
    <row r="140" spans="2:15" ht="15" customHeight="1"/>
  </sheetData>
  <sheetProtection sheet="1" objects="1" scenarios="1" selectLockedCells="1" selectUnlockedCells="1"/>
  <mergeCells count="4">
    <mergeCell ref="H59:I59"/>
    <mergeCell ref="H60:I60"/>
    <mergeCell ref="H62:I65"/>
    <mergeCell ref="C74:G74"/>
  </mergeCells>
  <conditionalFormatting sqref="G20:G30">
    <cfRule type="expression" dxfId="5" priority="5">
      <formula xml:space="preserve"> NOT(N20 = "")</formula>
    </cfRule>
  </conditionalFormatting>
  <conditionalFormatting sqref="J59:J60 J62:J65 J67">
    <cfRule type="expression" dxfId="4" priority="4">
      <formula xml:space="preserve"> AND(MOD(J59 * 1000000, 100) &gt; 0.99, MOD(J59 * 1000000, 100) &lt; 1.01)</formula>
    </cfRule>
  </conditionalFormatting>
  <conditionalFormatting sqref="J52">
    <cfRule type="expression" dxfId="3" priority="3">
      <formula xml:space="preserve"> NOT($L$52 = "")</formula>
    </cfRule>
  </conditionalFormatting>
  <conditionalFormatting sqref="G49">
    <cfRule type="expression" dxfId="2" priority="6">
      <formula xml:space="preserve"> OR(NOT($AB$51), ISBLANK($F$48))</formula>
    </cfRule>
  </conditionalFormatting>
  <conditionalFormatting sqref="C65">
    <cfRule type="expression" dxfId="1" priority="2">
      <formula xml:space="preserve"> AND(ISBLANK($J$65), K65 = "")</formula>
    </cfRule>
  </conditionalFormatting>
  <conditionalFormatting sqref="L67">
    <cfRule type="expression" dxfId="0" priority="1">
      <formula>$L$59 &lt;&gt; ""</formula>
    </cfRule>
  </conditionalFormatting>
  <dataValidations count="8">
    <dataValidation type="list" allowBlank="1" showInputMessage="1" showErrorMessage="1" errorTitle="Invalit timeframe" error="Please select one of the timeframes offered in the list box." sqref="L55:L56">
      <formula1>$AU$41:$AU$44</formula1>
    </dataValidation>
    <dataValidation type="list" allowBlank="1" showInputMessage="1" showErrorMessage="1" sqref="F46">
      <formula1>$T$57:$T$59</formula1>
    </dataValidation>
    <dataValidation allowBlank="1" showInputMessage="1" showErrorMessage="1" errorTitle="Invalid measuring unit" error="Please select one of the measuring units offered in the list box." sqref="F49"/>
    <dataValidation type="list" allowBlank="1" showErrorMessage="1" errorTitle="Invalid measuring unit" error="Please select one of the measuring units offered in the list box." promptTitle="Select the measuring unit" prompt="by clicking on the down arrow on the right side border of the cell" sqref="F48">
      <formula1 xml:space="preserve"> IF($V$61 = 0, $Z$42:$Z$49, IF($V$61 = 1, $Z$55:$Z$57, IF($V$61 = 2, $Z$59:$Z$61, $Z$63:$Z$65)))</formula1>
    </dataValidation>
    <dataValidation type="list" allowBlank="1" showInputMessage="1" showErrorMessage="1" sqref="H60">
      <formula1>$H$92:$H$93</formula1>
    </dataValidation>
    <dataValidation type="list" allowBlank="1" showInputMessage="1" showErrorMessage="1" errorTitle="Invalid measuring unit" error="Please select one of the measuring units offered in the list box." sqref="F51">
      <formula1 xml:space="preserve"> IF($V$61 = 0, $AL$42:$AL$49, IF($V$61 = 1, $AL$55:$AL$57, IF($V$61 = 2, $AL$59:$AL$61, $AL$63:$AL$65)))</formula1>
    </dataValidation>
    <dataValidation type="custom" allowBlank="1" showInputMessage="1" showErrorMessage="1" sqref="J68:J69 C74:G74">
      <formula1>"&lt; 0 &gt; 0"</formula1>
    </dataValidation>
    <dataValidation type="list" allowBlank="1" showInputMessage="1" showErrorMessage="1" sqref="H59:I59">
      <formula1>$H$88:$H$90</formula1>
    </dataValidation>
  </dataValidations>
  <hyperlinks>
    <hyperlink ref="C124" r:id="rId1"/>
    <hyperlink ref="C126" r:id="rId2"/>
    <hyperlink ref="C128" r:id="rId3"/>
    <hyperlink ref="J105" r:id="rId4"/>
    <hyperlink ref="C74:F74" r:id="rId5" display="Source:  https://swissbiogas.com/ Resources - Download Area"/>
  </hyperlinks>
  <pageMargins left="0.7" right="0.7" top="0.75" bottom="0.75" header="0.3" footer="0.3"/>
  <pageSetup paperSize="9" scale="73" orientation="landscape" horizontalDpi="0" verticalDpi="0" r:id="rId6"/>
  <drawing r:id="rId7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S56"/>
  <sheetViews>
    <sheetView showGridLines="0" zoomScaleNormal="100" workbookViewId="0">
      <selection activeCell="C5" sqref="C5"/>
    </sheetView>
  </sheetViews>
  <sheetFormatPr defaultRowHeight="15"/>
  <cols>
    <col min="1" max="1" width="2.75" style="322" customWidth="1"/>
    <col min="2" max="2" width="31.5" style="322" customWidth="1"/>
    <col min="3" max="3" width="13.625" style="322" customWidth="1"/>
    <col min="4" max="4" width="3.625" style="322" customWidth="1"/>
    <col min="5" max="5" width="13.625" style="322" customWidth="1"/>
    <col min="6" max="6" width="3.625" style="322" customWidth="1"/>
    <col min="7" max="7" width="13.625" style="322" customWidth="1"/>
    <col min="8" max="8" width="3.625" style="322" customWidth="1"/>
    <col min="9" max="9" width="13.625" style="322" customWidth="1"/>
    <col min="10" max="10" width="3.625" style="322" customWidth="1"/>
    <col min="11" max="11" width="13.625" style="322" customWidth="1"/>
    <col min="12" max="12" width="9" style="322"/>
    <col min="13" max="13" width="16" style="322" customWidth="1"/>
    <col min="14" max="14" width="12.125" style="322" customWidth="1"/>
    <col min="15" max="15" width="9" style="322"/>
    <col min="16" max="16" width="9" style="322" customWidth="1"/>
    <col min="17" max="16384" width="9" style="322"/>
  </cols>
  <sheetData>
    <row r="2" spans="2:19">
      <c r="B2" s="352" t="s">
        <v>297</v>
      </c>
    </row>
    <row r="3" spans="2:19">
      <c r="M3" s="352" t="s">
        <v>244</v>
      </c>
      <c r="P3" s="418" t="s">
        <v>242</v>
      </c>
    </row>
    <row r="4" spans="2:19" ht="18">
      <c r="B4" s="317"/>
      <c r="C4" s="308" t="s">
        <v>197</v>
      </c>
      <c r="D4" s="321" t="s">
        <v>211</v>
      </c>
      <c r="E4" s="314" t="s">
        <v>198</v>
      </c>
      <c r="M4" s="359" t="s">
        <v>240</v>
      </c>
      <c r="N4" s="358"/>
      <c r="P4" s="419" t="s">
        <v>243</v>
      </c>
      <c r="Q4" s="420"/>
      <c r="R4" s="358"/>
    </row>
    <row r="5" spans="2:19" ht="18">
      <c r="B5" s="317"/>
      <c r="C5" s="318">
        <v>1000</v>
      </c>
      <c r="D5" s="323" t="s">
        <v>209</v>
      </c>
      <c r="E5" s="319">
        <f xml:space="preserve"> C5 *'RIIC Calculator'!H97 / 'RIIC Calculator'!H96</f>
        <v>717.42957746478874</v>
      </c>
      <c r="G5" s="345"/>
      <c r="M5" s="365" t="s">
        <v>241</v>
      </c>
      <c r="P5" s="365" t="s">
        <v>262</v>
      </c>
    </row>
    <row r="6" spans="2:19">
      <c r="B6" s="348" t="s">
        <v>236</v>
      </c>
      <c r="C6" s="320">
        <f xml:space="preserve"> E6 / 'RIIC Calculator'!H97 * 'RIIC Calculator'!H96</f>
        <v>1393.8650306748466</v>
      </c>
      <c r="D6" s="324" t="s">
        <v>210</v>
      </c>
      <c r="E6" s="315">
        <v>1000</v>
      </c>
      <c r="M6" s="418" t="s">
        <v>41</v>
      </c>
      <c r="N6" s="435" t="s">
        <v>252</v>
      </c>
      <c r="O6" s="435"/>
      <c r="P6" s="435"/>
      <c r="Q6" s="435"/>
      <c r="R6" s="435"/>
    </row>
    <row r="7" spans="2:19">
      <c r="B7" s="365"/>
      <c r="J7" s="365"/>
      <c r="K7" s="365"/>
      <c r="L7" s="365"/>
      <c r="M7" s="365"/>
      <c r="N7" s="435" t="s">
        <v>256</v>
      </c>
      <c r="O7" s="435"/>
      <c r="P7" s="435"/>
      <c r="Q7" s="435"/>
      <c r="R7" s="435"/>
      <c r="S7" s="416"/>
    </row>
    <row r="8" spans="2:19">
      <c r="B8" s="417"/>
      <c r="C8" s="417"/>
      <c r="D8" s="417"/>
      <c r="E8" s="417"/>
      <c r="F8" s="417"/>
      <c r="G8" s="417"/>
      <c r="H8" s="417"/>
      <c r="I8" s="417"/>
      <c r="J8" s="366"/>
      <c r="K8" s="366"/>
      <c r="L8" s="366"/>
      <c r="Q8" s="366"/>
    </row>
    <row r="9" spans="2:19">
      <c r="C9" s="339" t="s">
        <v>201</v>
      </c>
      <c r="D9" s="321" t="s">
        <v>211</v>
      </c>
      <c r="E9" s="339" t="s">
        <v>303</v>
      </c>
      <c r="F9" s="321" t="s">
        <v>211</v>
      </c>
      <c r="G9" s="340" t="s">
        <v>304</v>
      </c>
    </row>
    <row r="10" spans="2:19">
      <c r="C10" s="341">
        <v>1000</v>
      </c>
      <c r="D10" s="323" t="s">
        <v>209</v>
      </c>
      <c r="E10" s="342">
        <f xml:space="preserve"> C10 / 'RIIC Calculator'!X43 * 'RIIC Calculator'!X48</f>
        <v>10022.412854960503</v>
      </c>
      <c r="F10" s="323" t="s">
        <v>209</v>
      </c>
      <c r="G10" s="343">
        <f xml:space="preserve"> C10 / 'RIIC Calculator'!X43 * 'RIIC Calculator'!X49</f>
        <v>8345.4044520193311</v>
      </c>
    </row>
    <row r="11" spans="2:19">
      <c r="C11" s="342">
        <f xml:space="preserve"> E11 * 'RIIC Calculator'!X43 / 'RIIC Calculator'!X48</f>
        <v>99.776372663101697</v>
      </c>
      <c r="D11" s="324" t="s">
        <v>210</v>
      </c>
      <c r="E11" s="341">
        <v>1000</v>
      </c>
      <c r="F11" s="323" t="s">
        <v>209</v>
      </c>
      <c r="G11" s="343">
        <f xml:space="preserve"> C11 / 'RIIC Calculator'!X43 * 'RIIC Calculator'!X49</f>
        <v>832.67418462898877</v>
      </c>
    </row>
    <row r="12" spans="2:19">
      <c r="B12" s="346" t="s">
        <v>237</v>
      </c>
      <c r="C12" s="342">
        <f xml:space="preserve"> G12 * 'RIIC Calculator'!X43 / 'RIIC Calculator'!X49</f>
        <v>119.82642731689664</v>
      </c>
      <c r="D12" s="324" t="s">
        <v>210</v>
      </c>
      <c r="E12" s="342">
        <f xml:space="preserve"> C12 / 'RIIC Calculator'!X43 * 'RIIC Calculator'!X48</f>
        <v>1200.9499255048552</v>
      </c>
      <c r="F12" s="324" t="s">
        <v>210</v>
      </c>
      <c r="G12" s="344">
        <v>1000</v>
      </c>
      <c r="M12" s="352" t="s">
        <v>244</v>
      </c>
    </row>
    <row r="13" spans="2:19">
      <c r="M13" s="356" t="s">
        <v>100</v>
      </c>
      <c r="N13" s="357" t="s">
        <v>101</v>
      </c>
    </row>
    <row r="14" spans="2:19">
      <c r="M14" s="353" t="s">
        <v>102</v>
      </c>
      <c r="N14" s="349">
        <v>0.45359237000000002</v>
      </c>
    </row>
    <row r="15" spans="2:19">
      <c r="C15" s="339" t="s">
        <v>230</v>
      </c>
      <c r="D15" s="321" t="s">
        <v>211</v>
      </c>
      <c r="E15" s="339" t="s">
        <v>229</v>
      </c>
      <c r="F15" s="321" t="s">
        <v>211</v>
      </c>
      <c r="G15" s="340" t="s">
        <v>231</v>
      </c>
      <c r="H15" s="321" t="s">
        <v>211</v>
      </c>
      <c r="I15" s="339" t="s">
        <v>232</v>
      </c>
      <c r="J15" s="321" t="s">
        <v>211</v>
      </c>
      <c r="K15" s="340" t="s">
        <v>233</v>
      </c>
      <c r="M15" s="353" t="s">
        <v>103</v>
      </c>
      <c r="N15" s="349">
        <v>1016.0469000000001</v>
      </c>
    </row>
    <row r="16" spans="2:19">
      <c r="C16" s="341">
        <v>1000</v>
      </c>
      <c r="D16" s="323" t="s">
        <v>209</v>
      </c>
      <c r="E16" s="342">
        <f xml:space="preserve"> C16 / 1000</f>
        <v>1</v>
      </c>
      <c r="F16" s="323" t="s">
        <v>209</v>
      </c>
      <c r="G16" s="343">
        <f xml:space="preserve"> C16 / 'RIIC Calculator'!$X$43</f>
        <v>2204.6226218487759</v>
      </c>
      <c r="H16" s="323" t="s">
        <v>209</v>
      </c>
      <c r="I16" s="343">
        <f xml:space="preserve"> G16 / 2240</f>
        <v>0.98420652761106064</v>
      </c>
      <c r="J16" s="323" t="s">
        <v>209</v>
      </c>
      <c r="K16" s="343">
        <f xml:space="preserve"> G16 / 2000</f>
        <v>1.1023113109243881</v>
      </c>
      <c r="M16" s="364" t="s">
        <v>257</v>
      </c>
      <c r="N16" s="349">
        <v>907.18474000000003</v>
      </c>
    </row>
    <row r="17" spans="2:18">
      <c r="C17" s="342">
        <f xml:space="preserve"> E17 * 1000</f>
        <v>10000</v>
      </c>
      <c r="D17" s="324" t="s">
        <v>210</v>
      </c>
      <c r="E17" s="341">
        <v>10</v>
      </c>
      <c r="F17" s="323" t="s">
        <v>209</v>
      </c>
      <c r="G17" s="343">
        <f xml:space="preserve"> C17 / 'RIIC Calculator'!$X$43</f>
        <v>22046.226218487758</v>
      </c>
      <c r="H17" s="323" t="s">
        <v>209</v>
      </c>
      <c r="I17" s="343">
        <f t="shared" ref="I17:I20" si="0" xml:space="preserve"> G17 / 2240</f>
        <v>9.8420652761106062</v>
      </c>
      <c r="J17" s="323" t="s">
        <v>209</v>
      </c>
      <c r="K17" s="343">
        <f t="shared" ref="K17:K19" si="1" xml:space="preserve"> G17 / 2000</f>
        <v>11.023113109243878</v>
      </c>
      <c r="M17" s="354" t="s">
        <v>199</v>
      </c>
      <c r="N17" s="350" t="s">
        <v>199</v>
      </c>
    </row>
    <row r="18" spans="2:18">
      <c r="C18" s="342">
        <f xml:space="preserve"> G18 * 'RIIC Calculator'!$X$43</f>
        <v>453.59237000000002</v>
      </c>
      <c r="D18" s="324" t="s">
        <v>210</v>
      </c>
      <c r="E18" s="342">
        <f xml:space="preserve"> C18 / 1000</f>
        <v>0.45359237000000002</v>
      </c>
      <c r="F18" s="324" t="s">
        <v>210</v>
      </c>
      <c r="G18" s="344">
        <v>1000</v>
      </c>
      <c r="H18" s="323" t="s">
        <v>209</v>
      </c>
      <c r="I18" s="343">
        <f t="shared" si="0"/>
        <v>0.44642857142857145</v>
      </c>
      <c r="J18" s="323" t="s">
        <v>209</v>
      </c>
      <c r="K18" s="343">
        <f t="shared" si="1"/>
        <v>0.5</v>
      </c>
      <c r="M18" s="356" t="s">
        <v>105</v>
      </c>
      <c r="N18" s="357" t="s">
        <v>106</v>
      </c>
    </row>
    <row r="19" spans="2:18">
      <c r="C19" s="342">
        <f xml:space="preserve"> G19 * 'RIIC Calculator'!$X$43</f>
        <v>1016.0469088000001</v>
      </c>
      <c r="D19" s="324" t="s">
        <v>210</v>
      </c>
      <c r="E19" s="342">
        <f t="shared" ref="E19:E20" si="2" xml:space="preserve"> C19 / 1000</f>
        <v>1.0160469088000001</v>
      </c>
      <c r="F19" s="324" t="s">
        <v>210</v>
      </c>
      <c r="G19" s="342">
        <f xml:space="preserve"> I19 * 2240</f>
        <v>2240</v>
      </c>
      <c r="H19" s="324" t="s">
        <v>210</v>
      </c>
      <c r="I19" s="341">
        <v>1</v>
      </c>
      <c r="J19" s="363" t="s">
        <v>209</v>
      </c>
      <c r="K19" s="343">
        <f t="shared" si="1"/>
        <v>1.1200000000000001</v>
      </c>
      <c r="M19" s="353" t="s">
        <v>107</v>
      </c>
      <c r="N19" s="349">
        <v>4.5460900000000004</v>
      </c>
    </row>
    <row r="20" spans="2:18">
      <c r="B20" s="346" t="s">
        <v>238</v>
      </c>
      <c r="C20" s="342">
        <f xml:space="preserve"> G20 * 'RIIC Calculator'!$X$43</f>
        <v>907.18474000000003</v>
      </c>
      <c r="D20" s="324" t="s">
        <v>210</v>
      </c>
      <c r="E20" s="342">
        <f t="shared" si="2"/>
        <v>0.90718474000000004</v>
      </c>
      <c r="F20" s="324" t="s">
        <v>210</v>
      </c>
      <c r="G20" s="342">
        <f xml:space="preserve"> K20 * 2000</f>
        <v>2000</v>
      </c>
      <c r="H20" s="324" t="s">
        <v>210</v>
      </c>
      <c r="I20" s="343">
        <f t="shared" si="0"/>
        <v>0.8928571428571429</v>
      </c>
      <c r="J20" s="324" t="s">
        <v>210</v>
      </c>
      <c r="K20" s="344">
        <v>1</v>
      </c>
      <c r="M20" s="355" t="s">
        <v>173</v>
      </c>
      <c r="N20" s="351">
        <v>3.7854117839999999</v>
      </c>
    </row>
    <row r="21" spans="2:18">
      <c r="K21" s="372" t="s">
        <v>41</v>
      </c>
      <c r="M21" s="436" t="s">
        <v>255</v>
      </c>
      <c r="N21" s="436"/>
      <c r="O21" s="370"/>
      <c r="P21" s="370"/>
      <c r="Q21" s="371"/>
      <c r="R21" s="371"/>
    </row>
    <row r="22" spans="2:18">
      <c r="M22" s="435" t="s">
        <v>254</v>
      </c>
      <c r="N22" s="435"/>
      <c r="O22" s="370"/>
      <c r="P22" s="370"/>
      <c r="Q22" s="371"/>
      <c r="R22" s="371"/>
    </row>
    <row r="23" spans="2:18">
      <c r="C23" s="339" t="s">
        <v>234</v>
      </c>
      <c r="D23" s="321" t="s">
        <v>211</v>
      </c>
      <c r="E23" s="339" t="s">
        <v>305</v>
      </c>
      <c r="F23" s="321" t="s">
        <v>211</v>
      </c>
      <c r="G23" s="340" t="s">
        <v>235</v>
      </c>
      <c r="H23" s="321" t="s">
        <v>211</v>
      </c>
      <c r="I23" s="340" t="s">
        <v>298</v>
      </c>
    </row>
    <row r="24" spans="2:18">
      <c r="C24" s="341">
        <v>1000</v>
      </c>
      <c r="D24" s="323" t="s">
        <v>209</v>
      </c>
      <c r="E24" s="347">
        <f xml:space="preserve"> C24 / 'RIIC Calculator'!$X$48</f>
        <v>219.96924829908778</v>
      </c>
      <c r="F24" s="323" t="s">
        <v>209</v>
      </c>
      <c r="G24" s="343">
        <f xml:space="preserve"> C24 / 'RIIC Calculator'!$X$49</f>
        <v>264.17205235814845</v>
      </c>
      <c r="H24" s="323" t="s">
        <v>209</v>
      </c>
      <c r="I24" s="343">
        <f xml:space="preserve"> C24 / 1000</f>
        <v>1</v>
      </c>
    </row>
    <row r="25" spans="2:18">
      <c r="C25" s="342">
        <f xml:space="preserve"> E25 * 'RIIC Calculator'!X48</f>
        <v>4546.09</v>
      </c>
      <c r="D25" s="324" t="s">
        <v>210</v>
      </c>
      <c r="E25" s="341">
        <v>1000</v>
      </c>
      <c r="F25" s="323" t="s">
        <v>209</v>
      </c>
      <c r="G25" s="343">
        <f xml:space="preserve"> C25 / 'RIIC Calculator'!$X$49</f>
        <v>1200.9499255048549</v>
      </c>
      <c r="H25" s="323" t="s">
        <v>209</v>
      </c>
      <c r="I25" s="343">
        <f t="shared" ref="I25:I26" si="3" xml:space="preserve"> C25 / 1000</f>
        <v>4.5460900000000004</v>
      </c>
    </row>
    <row r="26" spans="2:18">
      <c r="C26" s="342">
        <f xml:space="preserve"> G26 * 'RIIC Calculator'!X49</f>
        <v>3785.4117839999999</v>
      </c>
      <c r="D26" s="324" t="s">
        <v>210</v>
      </c>
      <c r="E26" s="347">
        <f xml:space="preserve"> C26 / 'RIIC Calculator'!$X$48</f>
        <v>832.67418462898877</v>
      </c>
      <c r="F26" s="324" t="s">
        <v>210</v>
      </c>
      <c r="G26" s="344">
        <v>1000</v>
      </c>
      <c r="H26" s="323" t="s">
        <v>209</v>
      </c>
      <c r="I26" s="343">
        <f t="shared" si="3"/>
        <v>3.7854117839999999</v>
      </c>
    </row>
    <row r="27" spans="2:18">
      <c r="B27" s="346" t="s">
        <v>239</v>
      </c>
      <c r="C27" s="342">
        <f xml:space="preserve"> I27 * 1000</f>
        <v>1000</v>
      </c>
      <c r="D27" s="324" t="s">
        <v>210</v>
      </c>
      <c r="E27" s="347">
        <f xml:space="preserve"> C27 / 'RIIC Calculator'!$X$48</f>
        <v>219.96924829908778</v>
      </c>
      <c r="F27" s="324" t="s">
        <v>210</v>
      </c>
      <c r="G27" s="404">
        <f xml:space="preserve"> C27 / 'RIIC Calculator'!$X$49</f>
        <v>264.17205235814845</v>
      </c>
      <c r="H27" s="324" t="s">
        <v>210</v>
      </c>
      <c r="I27" s="344">
        <v>1</v>
      </c>
    </row>
    <row r="28" spans="2:18"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</row>
    <row r="29" spans="2:18"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</row>
    <row r="30" spans="2:18" ht="15" customHeight="1">
      <c r="B30" s="352" t="s">
        <v>245</v>
      </c>
    </row>
    <row r="31" spans="2:18" ht="15" customHeight="1"/>
    <row r="32" spans="2:18" ht="15" customHeight="1">
      <c r="B32" s="361" t="s">
        <v>246</v>
      </c>
    </row>
    <row r="33" spans="2:16" ht="15" customHeight="1">
      <c r="B33" s="362" t="s">
        <v>38</v>
      </c>
    </row>
    <row r="34" spans="2:16" ht="15" customHeight="1">
      <c r="B34" s="362" t="s">
        <v>247</v>
      </c>
    </row>
    <row r="35" spans="2:16" ht="15" customHeight="1">
      <c r="B35" s="362" t="s">
        <v>248</v>
      </c>
      <c r="C35" s="429" t="s">
        <v>249</v>
      </c>
      <c r="D35" s="429"/>
      <c r="E35" s="429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</row>
    <row r="36" spans="2:16" ht="15" customHeight="1">
      <c r="M36" s="393"/>
    </row>
    <row r="37" spans="2:16" ht="15" customHeight="1">
      <c r="B37" s="393" t="s">
        <v>291</v>
      </c>
    </row>
    <row r="38" spans="2:16" ht="15" customHeight="1">
      <c r="B38"/>
    </row>
    <row r="39" spans="2:16" ht="15" customHeight="1"/>
    <row r="40" spans="2:16" ht="15" customHeight="1">
      <c r="B40" s="361" t="s">
        <v>250</v>
      </c>
    </row>
    <row r="41" spans="2:16" ht="15" customHeight="1">
      <c r="L41" s="398" t="s">
        <v>3</v>
      </c>
      <c r="M41" s="399" t="s">
        <v>274</v>
      </c>
    </row>
    <row r="42" spans="2:16" ht="15" customHeight="1">
      <c r="B42" s="393" t="s">
        <v>292</v>
      </c>
      <c r="F42" s="393" t="s">
        <v>295</v>
      </c>
      <c r="L42" s="398" t="s">
        <v>278</v>
      </c>
      <c r="M42" s="398" t="s">
        <v>273</v>
      </c>
    </row>
    <row r="43" spans="2:16" ht="15" customHeight="1">
      <c r="B43"/>
      <c r="L43" s="398" t="s">
        <v>275</v>
      </c>
      <c r="M43" s="399" t="s">
        <v>276</v>
      </c>
    </row>
    <row r="44" spans="2:16" ht="15" customHeight="1">
      <c r="L44" s="398" t="s">
        <v>289</v>
      </c>
      <c r="M44" s="399" t="s">
        <v>277</v>
      </c>
    </row>
    <row r="45" spans="2:16" ht="15" customHeight="1">
      <c r="B45" s="401"/>
      <c r="C45" s="401"/>
      <c r="D45" s="401"/>
      <c r="E45" s="401"/>
      <c r="F45" s="401"/>
      <c r="G45" s="401"/>
      <c r="H45" s="401"/>
      <c r="I45" s="401"/>
      <c r="J45" s="401"/>
      <c r="L45" s="398" t="s">
        <v>279</v>
      </c>
      <c r="M45" s="399" t="s">
        <v>280</v>
      </c>
    </row>
    <row r="46" spans="2:16" ht="15" customHeight="1">
      <c r="L46" s="398" t="s">
        <v>281</v>
      </c>
      <c r="M46" s="399" t="s">
        <v>290</v>
      </c>
    </row>
    <row r="47" spans="2:16" ht="15" customHeight="1">
      <c r="B47" s="393" t="s">
        <v>293</v>
      </c>
      <c r="L47" s="400"/>
      <c r="M47" s="398" t="s">
        <v>282</v>
      </c>
    </row>
    <row r="48" spans="2:16" ht="15" customHeight="1">
      <c r="B48"/>
      <c r="D48" s="322" t="s">
        <v>209</v>
      </c>
      <c r="L48" s="398" t="s">
        <v>283</v>
      </c>
      <c r="M48" s="399" t="s">
        <v>284</v>
      </c>
    </row>
    <row r="49" spans="2:17" ht="15" customHeight="1">
      <c r="E49"/>
      <c r="L49" s="398" t="s">
        <v>287</v>
      </c>
      <c r="M49" s="403" t="s">
        <v>285</v>
      </c>
    </row>
    <row r="50" spans="2:17" ht="15" customHeight="1">
      <c r="B50" s="361" t="s">
        <v>251</v>
      </c>
      <c r="L50" s="398" t="s">
        <v>288</v>
      </c>
      <c r="M50" s="399" t="s">
        <v>286</v>
      </c>
    </row>
    <row r="51" spans="2:17" ht="15" customHeight="1"/>
    <row r="52" spans="2:17" ht="15" customHeight="1"/>
    <row r="53" spans="2:17" ht="15" customHeight="1">
      <c r="B53" s="394" t="s">
        <v>294</v>
      </c>
      <c r="C53" s="367" t="s">
        <v>259</v>
      </c>
      <c r="D53" s="366"/>
      <c r="E53" s="367" t="s">
        <v>258</v>
      </c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</row>
    <row r="54" spans="2:17" ht="15" customHeight="1">
      <c r="B54" s="367"/>
      <c r="C54" s="367" t="s">
        <v>260</v>
      </c>
      <c r="D54" s="366"/>
      <c r="E54" s="367" t="s">
        <v>261</v>
      </c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</row>
    <row r="55" spans="2:17" ht="15" customHeight="1"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  <c r="P55" s="360"/>
      <c r="Q55" s="360"/>
    </row>
    <row r="56" spans="2:17" ht="15" customHeight="1"/>
  </sheetData>
  <sheetProtection sheet="1" objects="1" scenarios="1" selectLockedCells="1"/>
  <mergeCells count="5">
    <mergeCell ref="N7:R7"/>
    <mergeCell ref="N6:R6"/>
    <mergeCell ref="C35:P35"/>
    <mergeCell ref="M21:N21"/>
    <mergeCell ref="M22:N22"/>
  </mergeCells>
  <dataValidations count="1">
    <dataValidation type="custom" allowBlank="1" showInputMessage="1" showErrorMessage="1" sqref="M21:N22 C35:P35 N6 S7 N7">
      <formula1>"&lt; 0 &gt; 0"</formula1>
    </dataValidation>
  </dataValidations>
  <hyperlinks>
    <hyperlink ref="N6" r:id="rId1"/>
    <hyperlink ref="M22" r:id="rId2"/>
    <hyperlink ref="M21" r:id="rId3"/>
    <hyperlink ref="N7" r:id="rId4"/>
    <hyperlink ref="C35" r:id="rId5"/>
  </hyperlinks>
  <pageMargins left="0.7" right="0.7" top="0.75" bottom="0.75" header="0.3" footer="0.3"/>
  <pageSetup paperSize="9" scale="65" orientation="landscape" horizontalDpi="0" verticalDpi="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2"/>
  <sheetViews>
    <sheetView zoomScaleNormal="100" workbookViewId="0">
      <selection activeCell="B22" sqref="B22"/>
    </sheetView>
  </sheetViews>
  <sheetFormatPr defaultRowHeight="15"/>
  <cols>
    <col min="1" max="1" width="17.5" style="1" customWidth="1"/>
    <col min="2" max="5" width="15" style="1" customWidth="1"/>
    <col min="6" max="7" width="12.5" style="1" customWidth="1"/>
    <col min="8" max="1024" width="10.625" style="1" customWidth="1"/>
    <col min="1025" max="16384" width="9" style="1"/>
  </cols>
  <sheetData>
    <row r="1" spans="1:10">
      <c r="C1" s="2"/>
      <c r="D1" s="2"/>
      <c r="E1" s="3"/>
    </row>
    <row r="2" spans="1:10">
      <c r="A2" s="22" t="str">
        <f>A20</f>
        <v>*** This version is authorised by SwissBiogas.com ***</v>
      </c>
      <c r="C2" s="2"/>
      <c r="D2" s="2"/>
      <c r="E2" s="3"/>
    </row>
    <row r="3" spans="1:10" ht="30">
      <c r="A3" s="4" t="s">
        <v>22</v>
      </c>
      <c r="B3" s="5" t="s">
        <v>23</v>
      </c>
      <c r="C3" s="6" t="s">
        <v>58</v>
      </c>
      <c r="D3" s="6" t="s">
        <v>59</v>
      </c>
      <c r="E3" s="6" t="s">
        <v>60</v>
      </c>
    </row>
    <row r="4" spans="1:10">
      <c r="A4" s="7" t="s">
        <v>8</v>
      </c>
      <c r="B4" s="8" t="s">
        <v>9</v>
      </c>
      <c r="C4" s="8">
        <v>1.0079400000000001</v>
      </c>
      <c r="D4" s="9"/>
      <c r="E4" s="8"/>
    </row>
    <row r="5" spans="1:10">
      <c r="A5" s="7" t="s">
        <v>0</v>
      </c>
      <c r="B5" s="8" t="s">
        <v>1</v>
      </c>
      <c r="C5" s="8">
        <v>15.9994</v>
      </c>
      <c r="D5" s="8"/>
      <c r="E5" s="8"/>
    </row>
    <row r="6" spans="1:10">
      <c r="A6" s="7" t="s">
        <v>10</v>
      </c>
      <c r="B6" s="10" t="s">
        <v>11</v>
      </c>
      <c r="C6" s="10">
        <v>35.453000000000003</v>
      </c>
      <c r="D6" s="8"/>
      <c r="E6" s="10"/>
    </row>
    <row r="7" spans="1:10">
      <c r="A7" s="7" t="s">
        <v>2</v>
      </c>
      <c r="B7" s="8" t="s">
        <v>3</v>
      </c>
      <c r="C7" s="17">
        <f xml:space="preserve"> IF(EXACT('RIIC Calculator'!L74, "powered by SwissBiogas.com"), 55.845, 0)</f>
        <v>55.844999999999999</v>
      </c>
      <c r="D7" s="8"/>
      <c r="E7" s="8"/>
    </row>
    <row r="8" spans="1:10">
      <c r="A8" s="7" t="s">
        <v>4</v>
      </c>
      <c r="B8" s="8" t="s">
        <v>5</v>
      </c>
      <c r="C8" s="8"/>
      <c r="D8" s="8">
        <f xml:space="preserve"> C7 + C5</f>
        <v>71.844399999999993</v>
      </c>
      <c r="E8" s="15">
        <f xml:space="preserve"> C7 / D8 * 100</f>
        <v>77.730484213104987</v>
      </c>
    </row>
    <row r="9" spans="1:10" ht="18">
      <c r="A9" s="7" t="s">
        <v>6</v>
      </c>
      <c r="B9" s="8" t="s">
        <v>21</v>
      </c>
      <c r="C9" s="8"/>
      <c r="D9" s="8">
        <f xml:space="preserve"> 2 * C7 + 3 * C5</f>
        <v>159.68819999999999</v>
      </c>
      <c r="E9" s="15">
        <f xml:space="preserve"> 2 * C7 / D9 * 100</f>
        <v>69.942550545375298</v>
      </c>
    </row>
    <row r="10" spans="1:10" ht="18">
      <c r="A10" s="7" t="s">
        <v>7</v>
      </c>
      <c r="B10" s="8" t="s">
        <v>16</v>
      </c>
      <c r="C10" s="8"/>
      <c r="D10" s="8">
        <f xml:space="preserve"> 3 * C7 + 4 * C5</f>
        <v>231.5326</v>
      </c>
      <c r="E10" s="15">
        <f xml:space="preserve"> 3 * C7 / D10 * 100</f>
        <v>72.3591407862219</v>
      </c>
    </row>
    <row r="11" spans="1:10" ht="18">
      <c r="A11" s="7" t="s">
        <v>12</v>
      </c>
      <c r="B11" s="8" t="s">
        <v>17</v>
      </c>
      <c r="C11" s="8"/>
      <c r="D11" s="8">
        <f xml:space="preserve"> C7 + 2 * C6</f>
        <v>126.751</v>
      </c>
      <c r="E11" s="15">
        <f xml:space="preserve"> C7 / D11 * 100</f>
        <v>44.058823993499061</v>
      </c>
    </row>
    <row r="12" spans="1:10" ht="18">
      <c r="A12" s="7" t="s">
        <v>13</v>
      </c>
      <c r="B12" s="8" t="s">
        <v>18</v>
      </c>
      <c r="C12" s="8"/>
      <c r="D12" s="8">
        <f xml:space="preserve"> C7 + 3 * C6</f>
        <v>162.20400000000001</v>
      </c>
      <c r="E12" s="15">
        <f xml:space="preserve"> C7 / D12 * 100</f>
        <v>34.428867352223122</v>
      </c>
    </row>
    <row r="13" spans="1:10">
      <c r="A13" s="7" t="s">
        <v>14</v>
      </c>
      <c r="B13" s="8" t="s">
        <v>15</v>
      </c>
      <c r="C13" s="8"/>
      <c r="D13" s="8">
        <f xml:space="preserve"> C7 + 2 * C5 + C4</f>
        <v>88.851740000000007</v>
      </c>
      <c r="E13" s="15">
        <f xml:space="preserve"> C7 / D13 * 100</f>
        <v>62.8518923771217</v>
      </c>
      <c r="J13" s="11"/>
    </row>
    <row r="14" spans="1:10" ht="18">
      <c r="A14" s="18" t="s">
        <v>53</v>
      </c>
      <c r="B14" s="19" t="s">
        <v>54</v>
      </c>
      <c r="C14" s="8"/>
      <c r="D14" s="8">
        <f xml:space="preserve"> C7 + (C5 + C4) * 2</f>
        <v>89.859679999999997</v>
      </c>
      <c r="E14" s="15">
        <f xml:space="preserve"> C7 / D14 * 100</f>
        <v>62.146893912820524</v>
      </c>
      <c r="J14" s="11"/>
    </row>
    <row r="15" spans="1:10" ht="18">
      <c r="A15" s="18" t="s">
        <v>52</v>
      </c>
      <c r="B15" s="52" t="s">
        <v>20</v>
      </c>
      <c r="C15" s="8"/>
      <c r="D15" s="8">
        <f xml:space="preserve"> C7 + (C5 + C4) * 3</f>
        <v>106.86702</v>
      </c>
      <c r="E15" s="15">
        <f xml:space="preserve"> C7 / D15 * 100</f>
        <v>52.256533400107905</v>
      </c>
      <c r="J15" s="11"/>
    </row>
    <row r="16" spans="1:10" ht="18">
      <c r="A16" s="51" t="s">
        <v>96</v>
      </c>
      <c r="B16" s="52" t="s">
        <v>97</v>
      </c>
      <c r="C16" s="8"/>
      <c r="D16" s="8">
        <f xml:space="preserve"> 2 * C7 + 6 * C4 + 6 * C5</f>
        <v>213.73403999999999</v>
      </c>
      <c r="E16" s="15">
        <f xml:space="preserve"> 2 * C7 / D16 * 100</f>
        <v>52.256533400107905</v>
      </c>
      <c r="J16" s="11"/>
    </row>
    <row r="17" spans="1:10">
      <c r="A17" s="18"/>
      <c r="B17" s="8"/>
      <c r="C17" s="8"/>
      <c r="D17" s="8"/>
      <c r="E17" s="15"/>
      <c r="J17" s="11"/>
    </row>
    <row r="18" spans="1:10">
      <c r="J18" s="11"/>
    </row>
    <row r="20" spans="1:10">
      <c r="A20" s="22" t="str">
        <f xml:space="preserve"> IF(C7 &gt; 0, "*** This version is authorised by SwissBiogas.com ***", "*** This version is NOT authorised by SwissBiogas.com ***")</f>
        <v>*** This version is authorised by SwissBiogas.com ***</v>
      </c>
    </row>
    <row r="21" spans="1:10" ht="31.5">
      <c r="A21" s="24"/>
      <c r="B21" s="12" t="s">
        <v>24</v>
      </c>
      <c r="C21" s="12" t="s">
        <v>25</v>
      </c>
      <c r="D21" s="13" t="s">
        <v>70</v>
      </c>
      <c r="E21" s="34" t="s">
        <v>176</v>
      </c>
    </row>
    <row r="22" spans="1:10">
      <c r="A22" s="14" t="s">
        <v>19</v>
      </c>
      <c r="B22" s="23">
        <v>41.82</v>
      </c>
      <c r="C22" s="23">
        <v>44.13</v>
      </c>
      <c r="D22" s="25">
        <v>2</v>
      </c>
      <c r="E22" s="25">
        <v>1.7</v>
      </c>
    </row>
  </sheetData>
  <sheetProtection algorithmName="SHA-512" hashValue="V5UcxJZGo3i5hRw1/rukUMb1xn+IuHJuP0+TBT+y3/jfJQwan2IAIH79rEsfWi22j8/B2GuVy/q/viG+XWtcpw==" saltValue="5INwaXKzByzAQdHMu6OyNA==" spinCount="100000" sheet="1" objects="1" scenarios="1" selectLockedCells="1"/>
  <pageMargins left="0" right="0" top="0.78661417322834648" bottom="0.62992125984251968" header="0.59015748031496063" footer="0.59015748031496063"/>
  <pageSetup paperSize="9" fitToWidth="0" fitToHeight="0" pageOrder="overThenDown" orientation="landscape" useFirstPageNumber="1" horizontalDpi="0" verticalDpi="0" r:id="rId1"/>
  <headerFooter>
    <oddFooter>&amp;R&amp;"Calibri2,Regular"&amp;9&amp;F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RIIC Calculator</vt:lpstr>
      <vt:lpstr>Example EU</vt:lpstr>
      <vt:lpstr>Example GB</vt:lpstr>
      <vt:lpstr>Example US</vt:lpstr>
      <vt:lpstr>Tools - Info</vt:lpstr>
      <vt:lpstr>basis</vt:lpstr>
      <vt:lpstr>'Example EU'!Print_Area</vt:lpstr>
      <vt:lpstr>'Example GB'!Print_Area</vt:lpstr>
      <vt:lpstr>'Example US'!Print_Area</vt:lpstr>
      <vt:lpstr>'RIIC Calculator'!Print_Area</vt:lpstr>
      <vt:lpstr>'Tools - Info'!Print_Area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cp:revision>83</cp:revision>
  <cp:lastPrinted>2022-08-17T04:09:06Z</cp:lastPrinted>
  <dcterms:created xsi:type="dcterms:W3CDTF">2021-05-14T16:45:11Z</dcterms:created>
  <dcterms:modified xsi:type="dcterms:W3CDTF">2022-08-17T07:49:28Z</dcterms:modified>
</cp:coreProperties>
</file>