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siness\SBG\calculation_iron_addition\riic_web\"/>
    </mc:Choice>
  </mc:AlternateContent>
  <bookViews>
    <workbookView xWindow="0" yWindow="0" windowWidth="28440" windowHeight="12300"/>
  </bookViews>
  <sheets>
    <sheet name="RIIC Calculator" sheetId="4" r:id="rId1"/>
    <sheet name="Beispiel DE" sheetId="18" r:id="rId2"/>
    <sheet name="Example EU" sheetId="15" r:id="rId3"/>
    <sheet name="Example UK" sheetId="16" r:id="rId4"/>
    <sheet name="Example US" sheetId="17" r:id="rId5"/>
    <sheet name="Tools - Info" sheetId="5" r:id="rId6"/>
    <sheet name="basis" sheetId="1" state="hidden" r:id="rId7"/>
  </sheets>
  <definedNames>
    <definedName name="_xlnm.Print_Area" localSheetId="1">'Beispiel DE'!$B$17:$Q$72</definedName>
    <definedName name="_xlnm.Print_Area" localSheetId="2">'Example EU'!$B$17:$Q$72</definedName>
    <definedName name="_xlnm.Print_Area" localSheetId="3">'Example UK'!$B$17:$Q$72</definedName>
    <definedName name="_xlnm.Print_Area" localSheetId="4">'Example US'!$B$17:$Q$72</definedName>
    <definedName name="_xlnm.Print_Area" localSheetId="0">'RIIC Calculator'!$B$2:$L$72</definedName>
    <definedName name="_xlnm.Print_Area" localSheetId="5">'Tools - Info'!$I$58:$R$92</definedName>
  </definedNames>
  <calcPr calcId="152511"/>
</workbook>
</file>

<file path=xl/calcChain.xml><?xml version="1.0" encoding="utf-8"?>
<calcChain xmlns="http://schemas.openxmlformats.org/spreadsheetml/2006/main">
  <c r="CL62" i="5" l="1"/>
  <c r="CL60" i="5"/>
  <c r="CL66" i="5" s="1"/>
  <c r="CL58" i="5"/>
  <c r="CP100" i="5" l="1"/>
  <c r="CV100" i="5" l="1"/>
  <c r="B77" i="5"/>
  <c r="G121" i="5"/>
  <c r="C15" i="4" l="1"/>
  <c r="B83" i="5" l="1"/>
  <c r="B62" i="5" l="1"/>
  <c r="B80" i="5" l="1"/>
  <c r="B76" i="5"/>
  <c r="CP61" i="5"/>
  <c r="CP63" i="5"/>
  <c r="CP65" i="5"/>
  <c r="CP67" i="5"/>
  <c r="CP69" i="5"/>
  <c r="CP71" i="5"/>
  <c r="CP73" i="5"/>
  <c r="CP75" i="5"/>
  <c r="CP77" i="5"/>
  <c r="CP79" i="5"/>
  <c r="CP81" i="5"/>
  <c r="CP83" i="5"/>
  <c r="CP85" i="5"/>
  <c r="CP87" i="5"/>
  <c r="CP89" i="5"/>
  <c r="CP91" i="5"/>
  <c r="CP93" i="5"/>
  <c r="CP95" i="5"/>
  <c r="CP97" i="5"/>
  <c r="CP99" i="5"/>
  <c r="CU100" i="5"/>
  <c r="CV65" i="5" s="1"/>
  <c r="CO100" i="5"/>
  <c r="CP62" i="5" s="1"/>
  <c r="CP60" i="5" l="1"/>
  <c r="CR60" i="5" s="1"/>
  <c r="CS60" i="5" s="1"/>
  <c r="CP98" i="5"/>
  <c r="CR98" i="5" s="1"/>
  <c r="CP96" i="5"/>
  <c r="CR96" i="5" s="1"/>
  <c r="CP94" i="5"/>
  <c r="CR94" i="5" s="1"/>
  <c r="CP92" i="5"/>
  <c r="CR92" i="5" s="1"/>
  <c r="CP90" i="5"/>
  <c r="CR90" i="5" s="1"/>
  <c r="CP88" i="5"/>
  <c r="CR88" i="5" s="1"/>
  <c r="CP86" i="5"/>
  <c r="CR86" i="5" s="1"/>
  <c r="CP84" i="5"/>
  <c r="CR84" i="5" s="1"/>
  <c r="CP82" i="5"/>
  <c r="CR82" i="5" s="1"/>
  <c r="CP80" i="5"/>
  <c r="CR80" i="5" s="1"/>
  <c r="CP78" i="5"/>
  <c r="CR78" i="5" s="1"/>
  <c r="CP76" i="5"/>
  <c r="CR76" i="5" s="1"/>
  <c r="CP74" i="5"/>
  <c r="CR74" i="5" s="1"/>
  <c r="CP72" i="5"/>
  <c r="CR72" i="5" s="1"/>
  <c r="CP70" i="5"/>
  <c r="CR70" i="5" s="1"/>
  <c r="CP68" i="5"/>
  <c r="DK68" i="5" s="1"/>
  <c r="CP66" i="5"/>
  <c r="CR66" i="5" s="1"/>
  <c r="CP64" i="5"/>
  <c r="CR64" i="5" s="1"/>
  <c r="CV99" i="5"/>
  <c r="CX99" i="5" s="1"/>
  <c r="CV95" i="5"/>
  <c r="CV91" i="5"/>
  <c r="CV87" i="5"/>
  <c r="CV83" i="5"/>
  <c r="CV79" i="5"/>
  <c r="CV75" i="5"/>
  <c r="CV71" i="5"/>
  <c r="CV67" i="5"/>
  <c r="CV63" i="5"/>
  <c r="CV62" i="5"/>
  <c r="CV97" i="5"/>
  <c r="CV93" i="5"/>
  <c r="CV89" i="5"/>
  <c r="CV85" i="5"/>
  <c r="CV81" i="5"/>
  <c r="CV77" i="5"/>
  <c r="CV73" i="5"/>
  <c r="CX73" i="5" s="1"/>
  <c r="CV69" i="5"/>
  <c r="CV60" i="5"/>
  <c r="CV61" i="5"/>
  <c r="CV98" i="5"/>
  <c r="CV96" i="5"/>
  <c r="CV94" i="5"/>
  <c r="CV92" i="5"/>
  <c r="CV90" i="5"/>
  <c r="CV88" i="5"/>
  <c r="CV86" i="5"/>
  <c r="CV84" i="5"/>
  <c r="CV82" i="5"/>
  <c r="CV80" i="5"/>
  <c r="CV78" i="5"/>
  <c r="CV76" i="5"/>
  <c r="CV74" i="5"/>
  <c r="CV72" i="5"/>
  <c r="CX72" i="5" s="1"/>
  <c r="CV70" i="5"/>
  <c r="CV68" i="5"/>
  <c r="CV66" i="5"/>
  <c r="CV64" i="5"/>
  <c r="CX71" i="5"/>
  <c r="CX75" i="5"/>
  <c r="CX65" i="5"/>
  <c r="CR69" i="5"/>
  <c r="CR71" i="5"/>
  <c r="CR73" i="5"/>
  <c r="CR75" i="5"/>
  <c r="CR77" i="5"/>
  <c r="CR79" i="5"/>
  <c r="CR81" i="5"/>
  <c r="CR83" i="5"/>
  <c r="CR85" i="5"/>
  <c r="CR87" i="5"/>
  <c r="CR89" i="5"/>
  <c r="CR91" i="5"/>
  <c r="CR93" i="5"/>
  <c r="CR95" i="5"/>
  <c r="CR97" i="5"/>
  <c r="CR99" i="5"/>
  <c r="CR63" i="5"/>
  <c r="CR65" i="5"/>
  <c r="CR67" i="5"/>
  <c r="CR61" i="5"/>
  <c r="CR62" i="5"/>
  <c r="CQ60" i="5" l="1"/>
  <c r="CQ61" i="5" s="1"/>
  <c r="CQ62" i="5" s="1"/>
  <c r="CQ63" i="5" s="1"/>
  <c r="CQ64" i="5" s="1"/>
  <c r="CQ65" i="5" s="1"/>
  <c r="CR68" i="5"/>
  <c r="CS61" i="5"/>
  <c r="CX64" i="5"/>
  <c r="CX68" i="5"/>
  <c r="CX76" i="5"/>
  <c r="CX80" i="5"/>
  <c r="CX84" i="5"/>
  <c r="CX88" i="5"/>
  <c r="CX92" i="5"/>
  <c r="CX96" i="5"/>
  <c r="CX61" i="5"/>
  <c r="CX69" i="5"/>
  <c r="CX77" i="5"/>
  <c r="CX85" i="5"/>
  <c r="CX93" i="5"/>
  <c r="CX62" i="5"/>
  <c r="CX67" i="5"/>
  <c r="CX83" i="5"/>
  <c r="CX91" i="5"/>
  <c r="CX66" i="5"/>
  <c r="CX70" i="5"/>
  <c r="CL70" i="5" s="1"/>
  <c r="DL71" i="5"/>
  <c r="CX74" i="5"/>
  <c r="CX78" i="5"/>
  <c r="CX82" i="5"/>
  <c r="CX86" i="5"/>
  <c r="CX90" i="5"/>
  <c r="CX94" i="5"/>
  <c r="CX98" i="5"/>
  <c r="CX60" i="5"/>
  <c r="CY60" i="5" s="1"/>
  <c r="CX81" i="5"/>
  <c r="CX89" i="5"/>
  <c r="CX97" i="5"/>
  <c r="CX63" i="5"/>
  <c r="CX79" i="5"/>
  <c r="CX87" i="5"/>
  <c r="CX95" i="5"/>
  <c r="CQ66" i="5"/>
  <c r="CQ67" i="5" s="1"/>
  <c r="CQ68" i="5" s="1"/>
  <c r="CQ69" i="5" s="1"/>
  <c r="CQ70" i="5" s="1"/>
  <c r="CQ71" i="5" s="1"/>
  <c r="CQ72" i="5" s="1"/>
  <c r="CQ73" i="5" s="1"/>
  <c r="CQ74" i="5" s="1"/>
  <c r="CQ75" i="5" s="1"/>
  <c r="CQ76" i="5" s="1"/>
  <c r="CQ77" i="5" s="1"/>
  <c r="CQ78" i="5" s="1"/>
  <c r="CQ79" i="5" s="1"/>
  <c r="CW60" i="5"/>
  <c r="CW61" i="5" s="1"/>
  <c r="CS62" i="5"/>
  <c r="CS63" i="5" s="1"/>
  <c r="CS64" i="5" s="1"/>
  <c r="CS65" i="5" s="1"/>
  <c r="CS66" i="5" s="1"/>
  <c r="CS67" i="5" s="1"/>
  <c r="CK70" i="5"/>
  <c r="CS68" i="5" l="1"/>
  <c r="CS69" i="5" s="1"/>
  <c r="CS70" i="5" s="1"/>
  <c r="CS71" i="5" s="1"/>
  <c r="CS72" i="5" s="1"/>
  <c r="CS73" i="5" s="1"/>
  <c r="CS74" i="5" s="1"/>
  <c r="CS75" i="5" s="1"/>
  <c r="CS76" i="5" s="1"/>
  <c r="CS77" i="5" s="1"/>
  <c r="CS78" i="5" s="1"/>
  <c r="CS79" i="5" s="1"/>
  <c r="CS80" i="5" s="1"/>
  <c r="CS81" i="5" s="1"/>
  <c r="CS82" i="5" s="1"/>
  <c r="CS83" i="5" s="1"/>
  <c r="CS84" i="5" s="1"/>
  <c r="CS85" i="5" s="1"/>
  <c r="CS86" i="5" s="1"/>
  <c r="CS87" i="5" s="1"/>
  <c r="CS88" i="5" s="1"/>
  <c r="CS89" i="5" s="1"/>
  <c r="CS90" i="5" s="1"/>
  <c r="CS91" i="5" s="1"/>
  <c r="CS92" i="5" s="1"/>
  <c r="CS93" i="5" s="1"/>
  <c r="CS94" i="5" s="1"/>
  <c r="CS95" i="5" s="1"/>
  <c r="CS96" i="5" s="1"/>
  <c r="CS97" i="5" s="1"/>
  <c r="CS98" i="5" s="1"/>
  <c r="CS99" i="5" s="1"/>
  <c r="CY61" i="5"/>
  <c r="CY62" i="5" s="1"/>
  <c r="CY63" i="5" s="1"/>
  <c r="CY64" i="5" s="1"/>
  <c r="CY65" i="5" s="1"/>
  <c r="CY66" i="5" s="1"/>
  <c r="CY67" i="5" s="1"/>
  <c r="CY68" i="5" s="1"/>
  <c r="CY69" i="5" s="1"/>
  <c r="CY70" i="5" s="1"/>
  <c r="CY71" i="5" s="1"/>
  <c r="CY72" i="5" s="1"/>
  <c r="CY73" i="5" s="1"/>
  <c r="CY74" i="5" s="1"/>
  <c r="CY75" i="5" s="1"/>
  <c r="CY76" i="5" s="1"/>
  <c r="CY77" i="5" s="1"/>
  <c r="CY78" i="5" s="1"/>
  <c r="CY79" i="5" s="1"/>
  <c r="CY80" i="5" s="1"/>
  <c r="CY81" i="5" s="1"/>
  <c r="CY82" i="5" s="1"/>
  <c r="CY83" i="5" s="1"/>
  <c r="CY84" i="5" s="1"/>
  <c r="CY85" i="5" s="1"/>
  <c r="CY86" i="5" s="1"/>
  <c r="CY87" i="5" s="1"/>
  <c r="CY88" i="5" s="1"/>
  <c r="CY89" i="5" s="1"/>
  <c r="CY90" i="5" s="1"/>
  <c r="CY91" i="5" s="1"/>
  <c r="CY92" i="5" s="1"/>
  <c r="CY93" i="5" s="1"/>
  <c r="CY94" i="5" s="1"/>
  <c r="CY95" i="5" s="1"/>
  <c r="CY96" i="5" s="1"/>
  <c r="CY97" i="5" s="1"/>
  <c r="CY98" i="5" s="1"/>
  <c r="CY99" i="5" s="1"/>
  <c r="CQ80" i="5"/>
  <c r="CQ81" i="5" s="1"/>
  <c r="CQ82" i="5" s="1"/>
  <c r="CQ83" i="5" s="1"/>
  <c r="CQ84" i="5" s="1"/>
  <c r="CQ85" i="5" s="1"/>
  <c r="CQ86" i="5" s="1"/>
  <c r="CQ87" i="5" s="1"/>
  <c r="CQ88" i="5" s="1"/>
  <c r="CQ89" i="5" s="1"/>
  <c r="CQ90" i="5" s="1"/>
  <c r="CQ91" i="5" s="1"/>
  <c r="CQ92" i="5" s="1"/>
  <c r="CQ93" i="5" s="1"/>
  <c r="CQ94" i="5" s="1"/>
  <c r="CQ95" i="5" s="1"/>
  <c r="CQ96" i="5" s="1"/>
  <c r="CQ97" i="5" s="1"/>
  <c r="CQ98" i="5" s="1"/>
  <c r="CQ99" i="5" s="1"/>
  <c r="CL64" i="5"/>
  <c r="DA60" i="5"/>
  <c r="DB60" i="5" s="1"/>
  <c r="DA61" i="5"/>
  <c r="DB61" i="5" s="1"/>
  <c r="CW62" i="5"/>
  <c r="CK71" i="5"/>
  <c r="CK72" i="5" s="1"/>
  <c r="CK73" i="5" s="1"/>
  <c r="CK74" i="5" s="1"/>
  <c r="CK75" i="5" s="1"/>
  <c r="CL71" i="5"/>
  <c r="CL72" i="5" s="1"/>
  <c r="DN58" i="5" l="1"/>
  <c r="DM61" i="5"/>
  <c r="DM63" i="5"/>
  <c r="DM65" i="5"/>
  <c r="DM67" i="5"/>
  <c r="DM69" i="5"/>
  <c r="DM71" i="5"/>
  <c r="DM73" i="5"/>
  <c r="DM75" i="5"/>
  <c r="DM77" i="5"/>
  <c r="DM79" i="5"/>
  <c r="DM81" i="5"/>
  <c r="DM83" i="5"/>
  <c r="DM85" i="5"/>
  <c r="DM87" i="5"/>
  <c r="DM89" i="5"/>
  <c r="DM91" i="5"/>
  <c r="DM93" i="5"/>
  <c r="DM95" i="5"/>
  <c r="DM97" i="5"/>
  <c r="DM99" i="5"/>
  <c r="DM62" i="5"/>
  <c r="DM64" i="5"/>
  <c r="DM66" i="5"/>
  <c r="DM68" i="5"/>
  <c r="DM70" i="5"/>
  <c r="DM72" i="5"/>
  <c r="DM74" i="5"/>
  <c r="DM76" i="5"/>
  <c r="DM78" i="5"/>
  <c r="DM80" i="5"/>
  <c r="DM82" i="5"/>
  <c r="DM84" i="5"/>
  <c r="DM86" i="5"/>
  <c r="DM88" i="5"/>
  <c r="DM90" i="5"/>
  <c r="DM92" i="5"/>
  <c r="DM94" i="5"/>
  <c r="DM96" i="5"/>
  <c r="DM98" i="5"/>
  <c r="DM60" i="5"/>
  <c r="DN76" i="5"/>
  <c r="DN78" i="5"/>
  <c r="DN80" i="5"/>
  <c r="DN82" i="5"/>
  <c r="DN84" i="5"/>
  <c r="DN86" i="5"/>
  <c r="DN88" i="5"/>
  <c r="DN90" i="5"/>
  <c r="DN92" i="5"/>
  <c r="DN94" i="5"/>
  <c r="DN96" i="5"/>
  <c r="DN98" i="5"/>
  <c r="DN61" i="5"/>
  <c r="DN63" i="5"/>
  <c r="DN65" i="5"/>
  <c r="DN67" i="5"/>
  <c r="DN69" i="5"/>
  <c r="DN71" i="5"/>
  <c r="DN73" i="5"/>
  <c r="DN75" i="5"/>
  <c r="DN77" i="5"/>
  <c r="DN79" i="5"/>
  <c r="DN81" i="5"/>
  <c r="DN83" i="5"/>
  <c r="DN85" i="5"/>
  <c r="DN87" i="5"/>
  <c r="DN89" i="5"/>
  <c r="DN91" i="5"/>
  <c r="DN93" i="5"/>
  <c r="DN95" i="5"/>
  <c r="DN97" i="5"/>
  <c r="DN99" i="5"/>
  <c r="DN62" i="5"/>
  <c r="DN64" i="5"/>
  <c r="DN66" i="5"/>
  <c r="DN68" i="5"/>
  <c r="DN70" i="5"/>
  <c r="DN72" i="5"/>
  <c r="DN74" i="5"/>
  <c r="DN60" i="5"/>
  <c r="B90" i="5"/>
  <c r="B81" i="5"/>
  <c r="CW63" i="5"/>
  <c r="DA62" i="5"/>
  <c r="DB62" i="5" s="1"/>
  <c r="CL73" i="5"/>
  <c r="CL74" i="5" s="1"/>
  <c r="CK76" i="5"/>
  <c r="CW64" i="5" l="1"/>
  <c r="DA63" i="5"/>
  <c r="DB63" i="5" s="1"/>
  <c r="CL75" i="5"/>
  <c r="CL76" i="5" s="1"/>
  <c r="CK77" i="5"/>
  <c r="F87" i="5"/>
  <c r="D87" i="5"/>
  <c r="DG80" i="5" l="1"/>
  <c r="DG82" i="5"/>
  <c r="DG84" i="5"/>
  <c r="DG86" i="5"/>
  <c r="DG88" i="5"/>
  <c r="DG90" i="5"/>
  <c r="DG92" i="5"/>
  <c r="DG94" i="5"/>
  <c r="DG96" i="5"/>
  <c r="DG98" i="5"/>
  <c r="DG61" i="5"/>
  <c r="DG63" i="5"/>
  <c r="DG65" i="5"/>
  <c r="DG67" i="5"/>
  <c r="DG69" i="5"/>
  <c r="DG71" i="5"/>
  <c r="DG73" i="5"/>
  <c r="DG75" i="5"/>
  <c r="DG77" i="5"/>
  <c r="DG79" i="5"/>
  <c r="DG81" i="5"/>
  <c r="DG83" i="5"/>
  <c r="DG85" i="5"/>
  <c r="DG87" i="5"/>
  <c r="DG89" i="5"/>
  <c r="DG91" i="5"/>
  <c r="DG93" i="5"/>
  <c r="DG95" i="5"/>
  <c r="DG97" i="5"/>
  <c r="DG99" i="5"/>
  <c r="DG62" i="5"/>
  <c r="DG64" i="5"/>
  <c r="DG66" i="5"/>
  <c r="DG68" i="5"/>
  <c r="DG70" i="5"/>
  <c r="DG72" i="5"/>
  <c r="DG74" i="5"/>
  <c r="DG76" i="5"/>
  <c r="DG78" i="5"/>
  <c r="DG60" i="5"/>
  <c r="DI61" i="5"/>
  <c r="DI63" i="5"/>
  <c r="DI65" i="5"/>
  <c r="DI67" i="5"/>
  <c r="DI69" i="5"/>
  <c r="DI71" i="5"/>
  <c r="DI73" i="5"/>
  <c r="DI75" i="5"/>
  <c r="DI77" i="5"/>
  <c r="DI79" i="5"/>
  <c r="DI85" i="5"/>
  <c r="DI87" i="5"/>
  <c r="DI89" i="5"/>
  <c r="DI91" i="5"/>
  <c r="DI93" i="5"/>
  <c r="DI95" i="5"/>
  <c r="DI97" i="5"/>
  <c r="DI99" i="5"/>
  <c r="DI62" i="5"/>
  <c r="DI64" i="5"/>
  <c r="DI66" i="5"/>
  <c r="DI68" i="5"/>
  <c r="DI70" i="5"/>
  <c r="DI72" i="5"/>
  <c r="DI74" i="5"/>
  <c r="DI76" i="5"/>
  <c r="DI78" i="5"/>
  <c r="DI80" i="5"/>
  <c r="DI82" i="5"/>
  <c r="DI86" i="5"/>
  <c r="DI88" i="5"/>
  <c r="DI90" i="5"/>
  <c r="DI92" i="5"/>
  <c r="DI94" i="5"/>
  <c r="DI96" i="5"/>
  <c r="DI98" i="5"/>
  <c r="DI60" i="5"/>
  <c r="DH80" i="5"/>
  <c r="DH84" i="5"/>
  <c r="DH86" i="5"/>
  <c r="DH88" i="5"/>
  <c r="DH90" i="5"/>
  <c r="DH92" i="5"/>
  <c r="DH94" i="5"/>
  <c r="DH96" i="5"/>
  <c r="DH98" i="5"/>
  <c r="DH61" i="5"/>
  <c r="DH63" i="5"/>
  <c r="DH65" i="5"/>
  <c r="DH67" i="5"/>
  <c r="DH69" i="5"/>
  <c r="DH71" i="5"/>
  <c r="DH73" i="5"/>
  <c r="DH60" i="5"/>
  <c r="DH81" i="5"/>
  <c r="DH83" i="5"/>
  <c r="DH85" i="5"/>
  <c r="DH87" i="5"/>
  <c r="DH89" i="5"/>
  <c r="DH91" i="5"/>
  <c r="DH93" i="5"/>
  <c r="DH95" i="5"/>
  <c r="DH97" i="5"/>
  <c r="DH99" i="5"/>
  <c r="DH79" i="5"/>
  <c r="DH62" i="5"/>
  <c r="DH64" i="5"/>
  <c r="DH66" i="5"/>
  <c r="DH68" i="5"/>
  <c r="DH70" i="5"/>
  <c r="DH72" i="5"/>
  <c r="DH74" i="5"/>
  <c r="DH76" i="5"/>
  <c r="DJ62" i="5"/>
  <c r="DJ64" i="5"/>
  <c r="DJ66" i="5"/>
  <c r="DJ68" i="5"/>
  <c r="DJ70" i="5"/>
  <c r="DJ72" i="5"/>
  <c r="DJ74" i="5"/>
  <c r="DJ76" i="5"/>
  <c r="DJ78" i="5"/>
  <c r="DJ80" i="5"/>
  <c r="DJ82" i="5"/>
  <c r="DJ84" i="5"/>
  <c r="DJ86" i="5"/>
  <c r="DJ88" i="5"/>
  <c r="DJ90" i="5"/>
  <c r="DJ92" i="5"/>
  <c r="DJ94" i="5"/>
  <c r="DJ96" i="5"/>
  <c r="DJ98" i="5"/>
  <c r="DJ60" i="5"/>
  <c r="DJ61" i="5"/>
  <c r="DJ63" i="5"/>
  <c r="DJ65" i="5"/>
  <c r="DJ67" i="5"/>
  <c r="DJ69" i="5"/>
  <c r="DJ71" i="5"/>
  <c r="DJ73" i="5"/>
  <c r="DJ75" i="5"/>
  <c r="DJ77" i="5"/>
  <c r="DJ79" i="5"/>
  <c r="DJ81" i="5"/>
  <c r="DJ83" i="5"/>
  <c r="DJ85" i="5"/>
  <c r="DJ87" i="5"/>
  <c r="DJ89" i="5"/>
  <c r="DJ91" i="5"/>
  <c r="DJ93" i="5"/>
  <c r="DJ95" i="5"/>
  <c r="DJ97" i="5"/>
  <c r="DJ99" i="5"/>
  <c r="B97" i="5"/>
  <c r="CW65" i="5"/>
  <c r="DA64" i="5"/>
  <c r="DB64" i="5" s="1"/>
  <c r="DI58" i="5"/>
  <c r="DJ58" i="5"/>
  <c r="DH58" i="5"/>
  <c r="DG58" i="5"/>
  <c r="CL77" i="5"/>
  <c r="CL78" i="5" s="1"/>
  <c r="CL79" i="5" s="1"/>
  <c r="CK78" i="5"/>
  <c r="D88" i="5"/>
  <c r="F88" i="5"/>
  <c r="DE61" i="5"/>
  <c r="DE63" i="5"/>
  <c r="DE65" i="5"/>
  <c r="DE67" i="5"/>
  <c r="DE69" i="5"/>
  <c r="DE71" i="5"/>
  <c r="DE73" i="5"/>
  <c r="DE75" i="5"/>
  <c r="DE77" i="5"/>
  <c r="DE79" i="5"/>
  <c r="DE81" i="5"/>
  <c r="DE83" i="5"/>
  <c r="DE85" i="5"/>
  <c r="DE87" i="5"/>
  <c r="DE89" i="5"/>
  <c r="DE91" i="5"/>
  <c r="DE93" i="5"/>
  <c r="DE95" i="5"/>
  <c r="DE97" i="5"/>
  <c r="DE99" i="5"/>
  <c r="DE62" i="5"/>
  <c r="DE64" i="5"/>
  <c r="DE66" i="5"/>
  <c r="DE68" i="5"/>
  <c r="DE70" i="5"/>
  <c r="DE72" i="5"/>
  <c r="DE74" i="5"/>
  <c r="DE76" i="5"/>
  <c r="DE78" i="5"/>
  <c r="DE80" i="5"/>
  <c r="DE82" i="5"/>
  <c r="DE84" i="5"/>
  <c r="DE86" i="5"/>
  <c r="DE88" i="5"/>
  <c r="DE90" i="5"/>
  <c r="DE92" i="5"/>
  <c r="DE94" i="5"/>
  <c r="DE96" i="5"/>
  <c r="DE98" i="5"/>
  <c r="DE60" i="5"/>
  <c r="DF61" i="5"/>
  <c r="DF63" i="5"/>
  <c r="DF65" i="5"/>
  <c r="DF67" i="5"/>
  <c r="DF69" i="5"/>
  <c r="DF71" i="5"/>
  <c r="DF73" i="5"/>
  <c r="DF75" i="5"/>
  <c r="DF77" i="5"/>
  <c r="DF79" i="5"/>
  <c r="DF81" i="5"/>
  <c r="DF83" i="5"/>
  <c r="DF85" i="5"/>
  <c r="DF87" i="5"/>
  <c r="DF89" i="5"/>
  <c r="DF91" i="5"/>
  <c r="DF93" i="5"/>
  <c r="DF95" i="5"/>
  <c r="DF97" i="5"/>
  <c r="DF99" i="5"/>
  <c r="DF62" i="5"/>
  <c r="DF64" i="5"/>
  <c r="DF66" i="5"/>
  <c r="DF68" i="5"/>
  <c r="DF70" i="5"/>
  <c r="DF72" i="5"/>
  <c r="DF74" i="5"/>
  <c r="DF76" i="5"/>
  <c r="DF78" i="5"/>
  <c r="DF80" i="5"/>
  <c r="DF82" i="5"/>
  <c r="DF84" i="5"/>
  <c r="DF86" i="5"/>
  <c r="DF88" i="5"/>
  <c r="DF90" i="5"/>
  <c r="DF92" i="5"/>
  <c r="DF94" i="5"/>
  <c r="DF96" i="5"/>
  <c r="DF98" i="5"/>
  <c r="DF60" i="5"/>
  <c r="DK98" i="5" l="1"/>
  <c r="DL98" i="5"/>
  <c r="DK94" i="5"/>
  <c r="DL94" i="5"/>
  <c r="DK90" i="5"/>
  <c r="DL90" i="5"/>
  <c r="DK86" i="5"/>
  <c r="DL86" i="5"/>
  <c r="DK82" i="5"/>
  <c r="DL82" i="5"/>
  <c r="DK78" i="5"/>
  <c r="DL78" i="5"/>
  <c r="DK74" i="5"/>
  <c r="DL74" i="5"/>
  <c r="DK70" i="5"/>
  <c r="DL70" i="5"/>
  <c r="DK66" i="5"/>
  <c r="DL66" i="5"/>
  <c r="DK62" i="5"/>
  <c r="DL62" i="5"/>
  <c r="DK97" i="5"/>
  <c r="DL97" i="5"/>
  <c r="DK93" i="5"/>
  <c r="DL93" i="5"/>
  <c r="DK89" i="5"/>
  <c r="DL89" i="5"/>
  <c r="DK85" i="5"/>
  <c r="DL85" i="5"/>
  <c r="DK81" i="5"/>
  <c r="DL81" i="5"/>
  <c r="DK77" i="5"/>
  <c r="DL77" i="5"/>
  <c r="DK73" i="5"/>
  <c r="DL73" i="5"/>
  <c r="DK69" i="5"/>
  <c r="DL69" i="5"/>
  <c r="DK65" i="5"/>
  <c r="DL65" i="5"/>
  <c r="DK61" i="5"/>
  <c r="DL61" i="5"/>
  <c r="DK60" i="5"/>
  <c r="DL60" i="5"/>
  <c r="DK96" i="5"/>
  <c r="DL96" i="5"/>
  <c r="DK92" i="5"/>
  <c r="DL92" i="5"/>
  <c r="DK88" i="5"/>
  <c r="DL88" i="5"/>
  <c r="DK84" i="5"/>
  <c r="DL84" i="5"/>
  <c r="DK80" i="5"/>
  <c r="DL80" i="5"/>
  <c r="DK76" i="5"/>
  <c r="DL76" i="5"/>
  <c r="DK72" i="5"/>
  <c r="DL72" i="5"/>
  <c r="DL68" i="5"/>
  <c r="DK64" i="5"/>
  <c r="DL64" i="5"/>
  <c r="DK99" i="5"/>
  <c r="DL99" i="5"/>
  <c r="DK95" i="5"/>
  <c r="DL95" i="5"/>
  <c r="DK91" i="5"/>
  <c r="DL91" i="5"/>
  <c r="DK87" i="5"/>
  <c r="DL87" i="5"/>
  <c r="DK83" i="5"/>
  <c r="DL83" i="5"/>
  <c r="DK79" i="5"/>
  <c r="DL79" i="5"/>
  <c r="DK75" i="5"/>
  <c r="DL75" i="5"/>
  <c r="DK71" i="5"/>
  <c r="DK67" i="5"/>
  <c r="DL67" i="5"/>
  <c r="DK63" i="5"/>
  <c r="DL63" i="5"/>
  <c r="CL80" i="5"/>
  <c r="CL81" i="5" s="1"/>
  <c r="CW66" i="5"/>
  <c r="DA65" i="5"/>
  <c r="DB65" i="5" s="1"/>
  <c r="CK79" i="5"/>
  <c r="CK80" i="5" s="1"/>
  <c r="CK81" i="5" s="1"/>
  <c r="E120" i="5"/>
  <c r="C124" i="5" s="1"/>
  <c r="M120" i="5"/>
  <c r="M119" i="5" s="1"/>
  <c r="E118" i="5"/>
  <c r="C6" i="5"/>
  <c r="E121" i="5" l="1"/>
  <c r="CW67" i="5"/>
  <c r="DA66" i="5"/>
  <c r="DB66" i="5" s="1"/>
  <c r="CK82" i="5"/>
  <c r="CK83" i="5" s="1"/>
  <c r="CK84" i="5" s="1"/>
  <c r="CK85" i="5" s="1"/>
  <c r="CL82" i="5"/>
  <c r="CL83" i="5" s="1"/>
  <c r="CL84" i="5" s="1"/>
  <c r="CL85" i="5" s="1"/>
  <c r="CL86" i="5" s="1"/>
  <c r="CL87" i="5" s="1"/>
  <c r="CL88" i="5" s="1"/>
  <c r="CL89" i="5" s="1"/>
  <c r="CL90" i="5" s="1"/>
  <c r="CL91" i="5" s="1"/>
  <c r="CL92" i="5" s="1"/>
  <c r="CL93" i="5" s="1"/>
  <c r="CL94" i="5" s="1"/>
  <c r="CL95" i="5" s="1"/>
  <c r="CL96" i="5" s="1"/>
  <c r="CL97" i="5" s="1"/>
  <c r="CL98" i="5" s="1"/>
  <c r="CL99" i="5" s="1"/>
  <c r="F95" i="5" s="1"/>
  <c r="D120" i="5"/>
  <c r="L121" i="5"/>
  <c r="L122" i="5"/>
  <c r="G122" i="5" s="1"/>
  <c r="C123" i="5" l="1"/>
  <c r="C121" i="5"/>
  <c r="L123" i="5"/>
  <c r="M123" i="5" s="1"/>
  <c r="CW68" i="5"/>
  <c r="DA67" i="5"/>
  <c r="DB67" i="5" s="1"/>
  <c r="CK86" i="5"/>
  <c r="CK87" i="5" s="1"/>
  <c r="CK88" i="5" s="1"/>
  <c r="CK89" i="5" s="1"/>
  <c r="CK90" i="5" s="1"/>
  <c r="CK91" i="5" s="1"/>
  <c r="CK92" i="5" s="1"/>
  <c r="CK93" i="5" s="1"/>
  <c r="CK94" i="5" s="1"/>
  <c r="CK95" i="5" s="1"/>
  <c r="CK96" i="5" s="1"/>
  <c r="L30" i="4"/>
  <c r="X26" i="4"/>
  <c r="X25" i="4"/>
  <c r="X23" i="4"/>
  <c r="X22" i="4"/>
  <c r="X20" i="4"/>
  <c r="X19" i="4"/>
  <c r="W24" i="4"/>
  <c r="W21" i="4"/>
  <c r="W20" i="4"/>
  <c r="W18" i="4"/>
  <c r="V26" i="4"/>
  <c r="V25" i="4"/>
  <c r="V23" i="4"/>
  <c r="V22" i="4"/>
  <c r="V20" i="4"/>
  <c r="V19" i="4"/>
  <c r="U24" i="4"/>
  <c r="U21" i="4"/>
  <c r="U20" i="4"/>
  <c r="U18" i="4"/>
  <c r="CW69" i="5" l="1"/>
  <c r="DA68" i="5"/>
  <c r="DB68" i="5" s="1"/>
  <c r="CK97" i="5"/>
  <c r="CK98" i="5" s="1"/>
  <c r="CK99" i="5" s="1"/>
  <c r="G15" i="1"/>
  <c r="G16" i="1"/>
  <c r="G13" i="1"/>
  <c r="G14" i="1"/>
  <c r="G11" i="1"/>
  <c r="G12" i="1"/>
  <c r="G9" i="1"/>
  <c r="G10" i="1"/>
  <c r="G8" i="1"/>
  <c r="DA69" i="5" l="1"/>
  <c r="DB69" i="5" s="1"/>
  <c r="CW70" i="5"/>
  <c r="D95" i="5"/>
  <c r="G118" i="4"/>
  <c r="DA70" i="5" l="1"/>
  <c r="DB70" i="5" s="1"/>
  <c r="CW71" i="5"/>
  <c r="C24" i="4"/>
  <c r="C25" i="4"/>
  <c r="C26" i="4"/>
  <c r="C27" i="4"/>
  <c r="C28" i="4"/>
  <c r="C23" i="4"/>
  <c r="C22" i="4"/>
  <c r="C21" i="4"/>
  <c r="C20" i="4"/>
  <c r="CW72" i="5" l="1"/>
  <c r="DA71" i="5"/>
  <c r="DB71" i="5" s="1"/>
  <c r="CW73" i="5" l="1"/>
  <c r="DA72" i="5"/>
  <c r="DB72" i="5" s="1"/>
  <c r="C60" i="4"/>
  <c r="CW74" i="5" l="1"/>
  <c r="DA73" i="5"/>
  <c r="DB73" i="5" s="1"/>
  <c r="L115" i="18"/>
  <c r="L114" i="18"/>
  <c r="H102" i="18"/>
  <c r="H101" i="18"/>
  <c r="H100" i="18"/>
  <c r="H98" i="18"/>
  <c r="J70" i="18"/>
  <c r="AL65" i="18"/>
  <c r="Z65" i="18"/>
  <c r="AQ64" i="18"/>
  <c r="AL64" i="18"/>
  <c r="Z64" i="18"/>
  <c r="AQ63" i="18"/>
  <c r="AL63" i="18"/>
  <c r="AH63" i="18"/>
  <c r="Z63" i="18"/>
  <c r="AL61" i="18"/>
  <c r="Z61" i="18"/>
  <c r="AQ60" i="18"/>
  <c r="AL60" i="18"/>
  <c r="Z60" i="18"/>
  <c r="C60" i="18"/>
  <c r="AQ59" i="18"/>
  <c r="AL59" i="18"/>
  <c r="AH59" i="18"/>
  <c r="Z59" i="18"/>
  <c r="V59" i="18"/>
  <c r="L59" i="18"/>
  <c r="L67" i="18" s="1"/>
  <c r="C59" i="18"/>
  <c r="V58" i="18"/>
  <c r="AL57" i="18"/>
  <c r="Z57" i="18"/>
  <c r="V57" i="18"/>
  <c r="V61" i="18" s="1"/>
  <c r="AL56" i="18"/>
  <c r="Z56" i="18"/>
  <c r="AQ55" i="18"/>
  <c r="AL55" i="18"/>
  <c r="AH55" i="18"/>
  <c r="Z55" i="18"/>
  <c r="L52" i="18"/>
  <c r="C52" i="18"/>
  <c r="AN51" i="18"/>
  <c r="AF51" i="18"/>
  <c r="AE51" i="18"/>
  <c r="AI43" i="18" s="1"/>
  <c r="AC51" i="18"/>
  <c r="AB51" i="18"/>
  <c r="AM49" i="18"/>
  <c r="AE49" i="18"/>
  <c r="AA49" i="18"/>
  <c r="C49" i="18"/>
  <c r="AM48" i="18"/>
  <c r="AE48" i="18"/>
  <c r="AA48" i="18"/>
  <c r="AQ47" i="18"/>
  <c r="AN47" i="18"/>
  <c r="AM47" i="18"/>
  <c r="AB47" i="18"/>
  <c r="AA47" i="18"/>
  <c r="J47" i="18"/>
  <c r="AN46" i="18"/>
  <c r="AM46" i="18"/>
  <c r="AB46" i="18"/>
  <c r="AA46" i="18"/>
  <c r="U46" i="18"/>
  <c r="AR45" i="18"/>
  <c r="AN45" i="18"/>
  <c r="AM45" i="18"/>
  <c r="AB45" i="18"/>
  <c r="AA45" i="18"/>
  <c r="U45" i="18"/>
  <c r="AR44" i="18"/>
  <c r="AM44" i="18"/>
  <c r="AJ44" i="18"/>
  <c r="AI44" i="18"/>
  <c r="AE44" i="18"/>
  <c r="AA44" i="18"/>
  <c r="AV43" i="18"/>
  <c r="AR43" i="18"/>
  <c r="AN43" i="18"/>
  <c r="AM43" i="18" s="1"/>
  <c r="AJ43" i="18"/>
  <c r="AB43" i="18"/>
  <c r="AA43" i="18"/>
  <c r="U43" i="18"/>
  <c r="AV42" i="18"/>
  <c r="AR42" i="18"/>
  <c r="AN42" i="18"/>
  <c r="AM42" i="18"/>
  <c r="AJ42" i="18"/>
  <c r="AI42" i="18"/>
  <c r="AB42" i="18"/>
  <c r="AA42" i="18"/>
  <c r="AV41" i="18"/>
  <c r="AR41" i="18"/>
  <c r="AR47" i="18" s="1"/>
  <c r="AM41" i="18"/>
  <c r="AM51" i="18" s="1"/>
  <c r="AA41" i="18"/>
  <c r="AA51" i="18" s="1"/>
  <c r="AS40" i="18"/>
  <c r="AM40" i="18"/>
  <c r="AI40" i="18"/>
  <c r="AA40" i="18"/>
  <c r="N30" i="18"/>
  <c r="N29" i="18"/>
  <c r="N28" i="18"/>
  <c r="N27" i="18"/>
  <c r="X26" i="18"/>
  <c r="L28" i="18" s="1"/>
  <c r="V26" i="18"/>
  <c r="H28" i="18" s="1"/>
  <c r="N26" i="18"/>
  <c r="X25" i="18"/>
  <c r="L27" i="18" s="1"/>
  <c r="N25" i="18"/>
  <c r="W24" i="18"/>
  <c r="L26" i="18" s="1"/>
  <c r="U24" i="18"/>
  <c r="H26" i="18" s="1"/>
  <c r="N24" i="18"/>
  <c r="X23" i="18"/>
  <c r="L25" i="18" s="1"/>
  <c r="V23" i="18"/>
  <c r="H25" i="18" s="1"/>
  <c r="N23" i="18"/>
  <c r="X22" i="18"/>
  <c r="L24" i="18" s="1"/>
  <c r="V22" i="18"/>
  <c r="H24" i="18" s="1"/>
  <c r="N22" i="18"/>
  <c r="W21" i="18"/>
  <c r="L23" i="18" s="1"/>
  <c r="U21" i="18"/>
  <c r="H23" i="18" s="1"/>
  <c r="N21" i="18"/>
  <c r="J21" i="18"/>
  <c r="X20" i="18"/>
  <c r="W20" i="18"/>
  <c r="V20" i="18"/>
  <c r="U20" i="18"/>
  <c r="N20" i="18"/>
  <c r="J20" i="18"/>
  <c r="V19" i="18"/>
  <c r="H21" i="18" s="1"/>
  <c r="U18" i="18"/>
  <c r="J18" i="18"/>
  <c r="G18" i="18"/>
  <c r="C44" i="18" s="1"/>
  <c r="X16" i="18"/>
  <c r="N31" i="18" s="1"/>
  <c r="V16" i="18"/>
  <c r="C15" i="18"/>
  <c r="B3" i="18"/>
  <c r="CW75" i="5" l="1"/>
  <c r="DH75" i="5" s="1"/>
  <c r="DA74" i="5"/>
  <c r="DB74" i="5" s="1"/>
  <c r="U27" i="18"/>
  <c r="L22" i="18"/>
  <c r="F23" i="18"/>
  <c r="D23" i="18"/>
  <c r="F25" i="18"/>
  <c r="D25" i="18"/>
  <c r="H22" i="18"/>
  <c r="D22" i="18" s="1"/>
  <c r="D26" i="18"/>
  <c r="F26" i="18"/>
  <c r="D28" i="18"/>
  <c r="F28" i="18"/>
  <c r="G52" i="18"/>
  <c r="U44" i="18" s="1"/>
  <c r="AR40" i="18"/>
  <c r="D21" i="18"/>
  <c r="F21" i="18"/>
  <c r="D24" i="18"/>
  <c r="F24" i="18"/>
  <c r="G53" i="18"/>
  <c r="G70" i="18"/>
  <c r="H103" i="18"/>
  <c r="H20" i="18"/>
  <c r="J30" i="18"/>
  <c r="AI41" i="18"/>
  <c r="AI46" i="18" s="1"/>
  <c r="L60" i="18"/>
  <c r="G46" i="4"/>
  <c r="CW76" i="5" l="1"/>
  <c r="DA75" i="5"/>
  <c r="DB75" i="5" s="1"/>
  <c r="F22" i="18"/>
  <c r="AN49" i="18"/>
  <c r="AN48" i="18"/>
  <c r="AN44" i="18"/>
  <c r="AB49" i="18"/>
  <c r="AB48" i="18"/>
  <c r="AB44" i="18"/>
  <c r="D20" i="18"/>
  <c r="F20" i="18"/>
  <c r="AS44" i="18"/>
  <c r="AS42" i="18"/>
  <c r="AS47" i="18"/>
  <c r="AS45" i="18"/>
  <c r="AS43" i="18"/>
  <c r="H109" i="18"/>
  <c r="H104" i="18"/>
  <c r="N53" i="18"/>
  <c r="AV40" i="18"/>
  <c r="L53" i="18"/>
  <c r="H105" i="18"/>
  <c r="L114" i="17"/>
  <c r="L115" i="17" s="1"/>
  <c r="H102" i="17"/>
  <c r="H101" i="17"/>
  <c r="H100" i="17"/>
  <c r="H98" i="17"/>
  <c r="J70" i="17"/>
  <c r="AL65" i="17"/>
  <c r="Z65" i="17"/>
  <c r="AQ64" i="17"/>
  <c r="AL64" i="17"/>
  <c r="Z64" i="17"/>
  <c r="AQ63" i="17"/>
  <c r="AL63" i="17"/>
  <c r="AH63" i="17"/>
  <c r="Z63" i="17"/>
  <c r="AL61" i="17"/>
  <c r="Z61" i="17"/>
  <c r="AQ60" i="17"/>
  <c r="AL60" i="17"/>
  <c r="Z60" i="17"/>
  <c r="L60" i="17"/>
  <c r="C60" i="17"/>
  <c r="AQ59" i="17"/>
  <c r="AL59" i="17"/>
  <c r="AH59" i="17"/>
  <c r="Z59" i="17"/>
  <c r="V59" i="17"/>
  <c r="L59" i="17"/>
  <c r="L67" i="17" s="1"/>
  <c r="C59" i="17"/>
  <c r="V58" i="17"/>
  <c r="AL57" i="17"/>
  <c r="Z57" i="17"/>
  <c r="V57" i="17"/>
  <c r="AL56" i="17"/>
  <c r="Z56" i="17"/>
  <c r="AQ55" i="17"/>
  <c r="AL55" i="17"/>
  <c r="AH55" i="17"/>
  <c r="Z55" i="17"/>
  <c r="L52" i="17"/>
  <c r="C52" i="17"/>
  <c r="AN51" i="17"/>
  <c r="AF51" i="17"/>
  <c r="AE51" i="17"/>
  <c r="AI42" i="17" s="1"/>
  <c r="AC51" i="17"/>
  <c r="AB51" i="17"/>
  <c r="AM49" i="17"/>
  <c r="AE49" i="17"/>
  <c r="AA49" i="17"/>
  <c r="C49" i="17"/>
  <c r="AM48" i="17"/>
  <c r="AE48" i="17"/>
  <c r="AA48" i="17"/>
  <c r="AQ47" i="17"/>
  <c r="AN47" i="17"/>
  <c r="AM47" i="17" s="1"/>
  <c r="AB47" i="17"/>
  <c r="AA47" i="17"/>
  <c r="J47" i="17"/>
  <c r="AN46" i="17"/>
  <c r="AM46" i="17"/>
  <c r="AB46" i="17"/>
  <c r="AA46" i="17"/>
  <c r="U46" i="17"/>
  <c r="AR45" i="17"/>
  <c r="AN45" i="17"/>
  <c r="AM45" i="17"/>
  <c r="AB45" i="17"/>
  <c r="AA45" i="17"/>
  <c r="U45" i="17"/>
  <c r="AR44" i="17"/>
  <c r="AM44" i="17"/>
  <c r="AJ44" i="17"/>
  <c r="AI44" i="17"/>
  <c r="AE44" i="17"/>
  <c r="AA44" i="17"/>
  <c r="AV43" i="17"/>
  <c r="AR43" i="17"/>
  <c r="AN43" i="17"/>
  <c r="AM43" i="17"/>
  <c r="AJ43" i="17"/>
  <c r="AI43" i="17"/>
  <c r="AB43" i="17"/>
  <c r="AA43" i="17"/>
  <c r="U43" i="17"/>
  <c r="AV42" i="17"/>
  <c r="AR42" i="17"/>
  <c r="AN42" i="17"/>
  <c r="AM42" i="17"/>
  <c r="AJ42" i="17"/>
  <c r="AB42" i="17"/>
  <c r="AA42" i="17" s="1"/>
  <c r="AV41" i="17"/>
  <c r="AR41" i="17"/>
  <c r="AM41" i="17"/>
  <c r="AI41" i="17"/>
  <c r="AA41" i="17"/>
  <c r="AS40" i="17"/>
  <c r="AM40" i="17"/>
  <c r="AI40" i="17"/>
  <c r="AA40" i="17"/>
  <c r="N30" i="17"/>
  <c r="N29" i="17"/>
  <c r="N28" i="17"/>
  <c r="N27" i="17"/>
  <c r="X26" i="17"/>
  <c r="L28" i="17" s="1"/>
  <c r="V26" i="17"/>
  <c r="H28" i="17" s="1"/>
  <c r="D28" i="17" s="1"/>
  <c r="N26" i="17"/>
  <c r="X25" i="17"/>
  <c r="L27" i="17" s="1"/>
  <c r="N25" i="17"/>
  <c r="W24" i="17"/>
  <c r="L26" i="17" s="1"/>
  <c r="U24" i="17"/>
  <c r="H26" i="17" s="1"/>
  <c r="N24" i="17"/>
  <c r="X23" i="17"/>
  <c r="L25" i="17" s="1"/>
  <c r="N23" i="17"/>
  <c r="X22" i="17"/>
  <c r="L24" i="17" s="1"/>
  <c r="V22" i="17"/>
  <c r="H24" i="17" s="1"/>
  <c r="N22" i="17"/>
  <c r="W21" i="17"/>
  <c r="L23" i="17" s="1"/>
  <c r="U21" i="17"/>
  <c r="H23" i="17" s="1"/>
  <c r="D23" i="17" s="1"/>
  <c r="N21" i="17"/>
  <c r="J21" i="17"/>
  <c r="X20" i="17"/>
  <c r="W20" i="17"/>
  <c r="V20" i="17"/>
  <c r="U20" i="17"/>
  <c r="N20" i="17"/>
  <c r="J20" i="17"/>
  <c r="V19" i="17"/>
  <c r="U18" i="17"/>
  <c r="H20" i="17" s="1"/>
  <c r="J18" i="17"/>
  <c r="G18" i="17"/>
  <c r="X16" i="17"/>
  <c r="V16" i="17"/>
  <c r="V25" i="17" s="1"/>
  <c r="H27" i="17" s="1"/>
  <c r="C15" i="17"/>
  <c r="B3" i="17"/>
  <c r="L114" i="16"/>
  <c r="L115" i="16" s="1"/>
  <c r="H102" i="16"/>
  <c r="H101" i="16"/>
  <c r="H100" i="16"/>
  <c r="H98" i="16"/>
  <c r="J70" i="16"/>
  <c r="AL65" i="16"/>
  <c r="Z65" i="16"/>
  <c r="AQ64" i="16"/>
  <c r="AL64" i="16"/>
  <c r="Z64" i="16"/>
  <c r="AQ63" i="16"/>
  <c r="AL63" i="16"/>
  <c r="AH63" i="16"/>
  <c r="Z63" i="16"/>
  <c r="AL61" i="16"/>
  <c r="Z61" i="16"/>
  <c r="AQ60" i="16"/>
  <c r="AL60" i="16"/>
  <c r="Z60" i="16"/>
  <c r="C60" i="16"/>
  <c r="AQ59" i="16"/>
  <c r="AL59" i="16"/>
  <c r="AH59" i="16"/>
  <c r="Z59" i="16"/>
  <c r="V59" i="16"/>
  <c r="L59" i="16"/>
  <c r="L67" i="16" s="1"/>
  <c r="C59" i="16"/>
  <c r="V58" i="16"/>
  <c r="AL57" i="16"/>
  <c r="Z57" i="16"/>
  <c r="V57" i="16"/>
  <c r="V61" i="16" s="1"/>
  <c r="AL56" i="16"/>
  <c r="Z56" i="16"/>
  <c r="AQ55" i="16"/>
  <c r="AL55" i="16"/>
  <c r="AH55" i="16"/>
  <c r="Z55" i="16"/>
  <c r="L52" i="16"/>
  <c r="C52" i="16"/>
  <c r="AN51" i="16"/>
  <c r="AF51" i="16"/>
  <c r="AE51" i="16"/>
  <c r="AI43" i="16" s="1"/>
  <c r="AC51" i="16"/>
  <c r="AB51" i="16"/>
  <c r="AM49" i="16"/>
  <c r="AE49" i="16"/>
  <c r="AA49" i="16"/>
  <c r="C49" i="16"/>
  <c r="AM48" i="16"/>
  <c r="AE48" i="16"/>
  <c r="AA48" i="16"/>
  <c r="AQ47" i="16"/>
  <c r="AN47" i="16"/>
  <c r="AM47" i="16"/>
  <c r="AB47" i="16"/>
  <c r="AA47" i="16"/>
  <c r="J47" i="16"/>
  <c r="AN46" i="16"/>
  <c r="AM46" i="16" s="1"/>
  <c r="AB46" i="16"/>
  <c r="AA46" i="16"/>
  <c r="U46" i="16"/>
  <c r="AR45" i="16"/>
  <c r="AN45" i="16"/>
  <c r="AM45" i="16"/>
  <c r="AB45" i="16"/>
  <c r="AA45" i="16" s="1"/>
  <c r="U45" i="16"/>
  <c r="AR44" i="16"/>
  <c r="AM44" i="16"/>
  <c r="AJ44" i="16"/>
  <c r="AI44" i="16"/>
  <c r="AE44" i="16"/>
  <c r="AA44" i="16"/>
  <c r="AV43" i="16"/>
  <c r="AR43" i="16"/>
  <c r="AN43" i="16"/>
  <c r="AM43" i="16" s="1"/>
  <c r="AJ43" i="16"/>
  <c r="AB43" i="16"/>
  <c r="AA43" i="16"/>
  <c r="U43" i="16"/>
  <c r="AV42" i="16"/>
  <c r="AR42" i="16"/>
  <c r="AN42" i="16"/>
  <c r="AM42" i="16"/>
  <c r="AJ42" i="16"/>
  <c r="AI42" i="16"/>
  <c r="AB42" i="16"/>
  <c r="AA42" i="16"/>
  <c r="AV41" i="16"/>
  <c r="AR41" i="16"/>
  <c r="AM41" i="16"/>
  <c r="AI41" i="16"/>
  <c r="AA41" i="16"/>
  <c r="AS40" i="16"/>
  <c r="AM40" i="16"/>
  <c r="AI40" i="16"/>
  <c r="AA40" i="16"/>
  <c r="N30" i="16"/>
  <c r="N29" i="16"/>
  <c r="N28" i="16"/>
  <c r="N27" i="16"/>
  <c r="X26" i="16"/>
  <c r="L28" i="16" s="1"/>
  <c r="V26" i="16"/>
  <c r="H28" i="16" s="1"/>
  <c r="N26" i="16"/>
  <c r="X25" i="16"/>
  <c r="L27" i="16" s="1"/>
  <c r="N25" i="16"/>
  <c r="W24" i="16"/>
  <c r="L26" i="16" s="1"/>
  <c r="U24" i="16"/>
  <c r="H26" i="16" s="1"/>
  <c r="N24" i="16"/>
  <c r="X23" i="16"/>
  <c r="L25" i="16" s="1"/>
  <c r="V23" i="16"/>
  <c r="H25" i="16" s="1"/>
  <c r="D25" i="16" s="1"/>
  <c r="N23" i="16"/>
  <c r="X22" i="16"/>
  <c r="L24" i="16" s="1"/>
  <c r="N22" i="16"/>
  <c r="W21" i="16"/>
  <c r="L23" i="16" s="1"/>
  <c r="U21" i="16"/>
  <c r="H23" i="16" s="1"/>
  <c r="D23" i="16" s="1"/>
  <c r="N21" i="16"/>
  <c r="J21" i="16"/>
  <c r="X20" i="16"/>
  <c r="W20" i="16"/>
  <c r="V20" i="16"/>
  <c r="U20" i="16"/>
  <c r="N20" i="16"/>
  <c r="J20" i="16"/>
  <c r="V19" i="16"/>
  <c r="H21" i="16" s="1"/>
  <c r="U18" i="16"/>
  <c r="U27" i="16" s="1"/>
  <c r="J18" i="16"/>
  <c r="G18" i="16"/>
  <c r="C44" i="16" s="1"/>
  <c r="X16" i="16"/>
  <c r="V16" i="16"/>
  <c r="V25" i="16" s="1"/>
  <c r="H27" i="16" s="1"/>
  <c r="C15" i="16"/>
  <c r="B3" i="16"/>
  <c r="CW77" i="5" l="1"/>
  <c r="DH77" i="5" s="1"/>
  <c r="DA76" i="5"/>
  <c r="DB76" i="5" s="1"/>
  <c r="H22" i="16"/>
  <c r="H22" i="17"/>
  <c r="D22" i="17" s="1"/>
  <c r="L22" i="17"/>
  <c r="H116" i="18"/>
  <c r="K65" i="18"/>
  <c r="L65" i="18" s="1"/>
  <c r="H110" i="18"/>
  <c r="AW44" i="18"/>
  <c r="AV44" i="18" s="1"/>
  <c r="AV46" i="18" s="1"/>
  <c r="AW46" i="18" s="1"/>
  <c r="D55" i="18" s="1"/>
  <c r="AW42" i="18"/>
  <c r="AW41" i="18"/>
  <c r="AW43" i="18"/>
  <c r="J30" i="17"/>
  <c r="AM51" i="17"/>
  <c r="G52" i="17" s="1"/>
  <c r="U44" i="17" s="1"/>
  <c r="G53" i="17" s="1"/>
  <c r="V61" i="17"/>
  <c r="AI46" i="17"/>
  <c r="AB48" i="17" s="1"/>
  <c r="AR47" i="17"/>
  <c r="AA51" i="17"/>
  <c r="D27" i="17"/>
  <c r="AB49" i="17"/>
  <c r="AB44" i="17"/>
  <c r="AN48" i="17"/>
  <c r="G70" i="17"/>
  <c r="C44" i="17"/>
  <c r="D20" i="17"/>
  <c r="H21" i="17"/>
  <c r="D24" i="17"/>
  <c r="D26" i="17"/>
  <c r="U27" i="17"/>
  <c r="AR40" i="17"/>
  <c r="H103" i="17"/>
  <c r="L22" i="16"/>
  <c r="AA51" i="16"/>
  <c r="AM51" i="16"/>
  <c r="AR47" i="16"/>
  <c r="AI46" i="16"/>
  <c r="AN48" i="16" s="1"/>
  <c r="G52" i="16"/>
  <c r="U44" i="16" s="1"/>
  <c r="AR40" i="16"/>
  <c r="D21" i="16"/>
  <c r="D27" i="16"/>
  <c r="D22" i="16"/>
  <c r="D26" i="16"/>
  <c r="D28" i="16"/>
  <c r="AN49" i="16"/>
  <c r="AN44" i="16"/>
  <c r="AB48" i="16"/>
  <c r="G53" i="16"/>
  <c r="G70" i="16"/>
  <c r="H103" i="16"/>
  <c r="H105" i="16" s="1"/>
  <c r="H20" i="16"/>
  <c r="J30" i="16"/>
  <c r="L60" i="16"/>
  <c r="L114" i="15"/>
  <c r="L115" i="15" s="1"/>
  <c r="H102" i="15"/>
  <c r="H101" i="15"/>
  <c r="H100" i="15"/>
  <c r="H98" i="15"/>
  <c r="J70" i="15"/>
  <c r="AL65" i="15"/>
  <c r="Z65" i="15"/>
  <c r="AQ64" i="15"/>
  <c r="AL64" i="15"/>
  <c r="Z64" i="15"/>
  <c r="AQ63" i="15"/>
  <c r="AL63" i="15"/>
  <c r="AH63" i="15"/>
  <c r="Z63" i="15"/>
  <c r="AL61" i="15"/>
  <c r="Z61" i="15"/>
  <c r="AQ60" i="15"/>
  <c r="AL60" i="15"/>
  <c r="Z60" i="15"/>
  <c r="C60" i="15"/>
  <c r="AQ59" i="15"/>
  <c r="AL59" i="15"/>
  <c r="AH59" i="15"/>
  <c r="Z59" i="15"/>
  <c r="V59" i="15"/>
  <c r="L59" i="15"/>
  <c r="L67" i="15" s="1"/>
  <c r="C59" i="15"/>
  <c r="V58" i="15"/>
  <c r="AL57" i="15"/>
  <c r="Z57" i="15"/>
  <c r="V57" i="15"/>
  <c r="AL56" i="15"/>
  <c r="Z56" i="15"/>
  <c r="AQ55" i="15"/>
  <c r="AL55" i="15"/>
  <c r="AH55" i="15"/>
  <c r="Z55" i="15"/>
  <c r="L52" i="15"/>
  <c r="C52" i="15"/>
  <c r="AN51" i="15"/>
  <c r="AF51" i="15"/>
  <c r="AE51" i="15"/>
  <c r="AI44" i="15" s="1"/>
  <c r="AC51" i="15"/>
  <c r="AB51" i="15"/>
  <c r="AM49" i="15"/>
  <c r="AE49" i="15"/>
  <c r="AA49" i="15"/>
  <c r="C49" i="15"/>
  <c r="AM48" i="15"/>
  <c r="AE48" i="15"/>
  <c r="AA48" i="15"/>
  <c r="AQ47" i="15"/>
  <c r="AN47" i="15"/>
  <c r="AM47" i="15"/>
  <c r="AB47" i="15"/>
  <c r="AA47" i="15"/>
  <c r="J47" i="15"/>
  <c r="AN46" i="15"/>
  <c r="AM46" i="15"/>
  <c r="AB46" i="15"/>
  <c r="AA46" i="15"/>
  <c r="U46" i="15"/>
  <c r="AR45" i="15"/>
  <c r="AN45" i="15"/>
  <c r="AM45" i="15"/>
  <c r="AB45" i="15"/>
  <c r="AA45" i="15"/>
  <c r="U45" i="15"/>
  <c r="AR44" i="15"/>
  <c r="AM44" i="15"/>
  <c r="AJ44" i="15"/>
  <c r="AE44" i="15"/>
  <c r="AA44" i="15"/>
  <c r="AV43" i="15"/>
  <c r="AR43" i="15"/>
  <c r="AN43" i="15"/>
  <c r="AM43" i="15" s="1"/>
  <c r="AJ43" i="15"/>
  <c r="AB43" i="15"/>
  <c r="AA43" i="15"/>
  <c r="AV42" i="15"/>
  <c r="AR42" i="15"/>
  <c r="AN42" i="15"/>
  <c r="AM42" i="15"/>
  <c r="AJ42" i="15"/>
  <c r="AB42" i="15"/>
  <c r="AA42" i="15" s="1"/>
  <c r="AV41" i="15"/>
  <c r="AR41" i="15"/>
  <c r="AM41" i="15"/>
  <c r="AA41" i="15"/>
  <c r="AS40" i="15"/>
  <c r="AM40" i="15"/>
  <c r="AI40" i="15"/>
  <c r="AA40" i="15"/>
  <c r="N30" i="15"/>
  <c r="N29" i="15"/>
  <c r="N28" i="15"/>
  <c r="N27" i="15"/>
  <c r="X26" i="15"/>
  <c r="L28" i="15" s="1"/>
  <c r="V26" i="15"/>
  <c r="H28" i="15" s="1"/>
  <c r="F28" i="15" s="1"/>
  <c r="N26" i="15"/>
  <c r="X25" i="15"/>
  <c r="L27" i="15" s="1"/>
  <c r="N25" i="15"/>
  <c r="W24" i="15"/>
  <c r="L26" i="15" s="1"/>
  <c r="U24" i="15"/>
  <c r="H26" i="15" s="1"/>
  <c r="F26" i="15" s="1"/>
  <c r="N24" i="15"/>
  <c r="X23" i="15"/>
  <c r="L25" i="15" s="1"/>
  <c r="N23" i="15"/>
  <c r="X22" i="15"/>
  <c r="L24" i="15" s="1"/>
  <c r="V22" i="15"/>
  <c r="H24" i="15" s="1"/>
  <c r="F24" i="15" s="1"/>
  <c r="N22" i="15"/>
  <c r="W21" i="15"/>
  <c r="L23" i="15" s="1"/>
  <c r="U21" i="15"/>
  <c r="H23" i="15" s="1"/>
  <c r="N21" i="15"/>
  <c r="J21" i="15"/>
  <c r="X20" i="15"/>
  <c r="W20" i="15"/>
  <c r="V20" i="15"/>
  <c r="U20" i="15"/>
  <c r="N20" i="15"/>
  <c r="J20" i="15"/>
  <c r="V19" i="15"/>
  <c r="H21" i="15" s="1"/>
  <c r="U18" i="15"/>
  <c r="U27" i="15" s="1"/>
  <c r="J18" i="15"/>
  <c r="G18" i="15"/>
  <c r="C44" i="15" s="1"/>
  <c r="X16" i="15"/>
  <c r="V16" i="15"/>
  <c r="V23" i="15" s="1"/>
  <c r="H25" i="15" s="1"/>
  <c r="F25" i="15" s="1"/>
  <c r="C15" i="15"/>
  <c r="B3" i="15"/>
  <c r="CW78" i="5" l="1"/>
  <c r="DH78" i="5" s="1"/>
  <c r="DA77" i="5"/>
  <c r="DB77" i="5" s="1"/>
  <c r="H22" i="15"/>
  <c r="F22" i="15" s="1"/>
  <c r="F21" i="15"/>
  <c r="H114" i="18"/>
  <c r="H113" i="18"/>
  <c r="AN44" i="17"/>
  <c r="AN49" i="17"/>
  <c r="AS47" i="17"/>
  <c r="AS45" i="17"/>
  <c r="AS43" i="17"/>
  <c r="AS44" i="17"/>
  <c r="AS42" i="17"/>
  <c r="D21" i="17"/>
  <c r="H109" i="17"/>
  <c r="H104" i="17"/>
  <c r="L53" i="17"/>
  <c r="N53" i="17"/>
  <c r="AV40" i="17"/>
  <c r="H105" i="17"/>
  <c r="AB44" i="16"/>
  <c r="AB49" i="16"/>
  <c r="N53" i="16"/>
  <c r="AV40" i="16"/>
  <c r="L53" i="16"/>
  <c r="AS44" i="16"/>
  <c r="AS42" i="16"/>
  <c r="AS47" i="16"/>
  <c r="AS45" i="16"/>
  <c r="AS43" i="16"/>
  <c r="H109" i="16"/>
  <c r="H104" i="16"/>
  <c r="D20" i="16"/>
  <c r="F23" i="15"/>
  <c r="D23" i="15"/>
  <c r="AM51" i="15"/>
  <c r="AR40" i="15" s="1"/>
  <c r="L22" i="15"/>
  <c r="AA51" i="15"/>
  <c r="U43" i="15" s="1"/>
  <c r="AI41" i="15"/>
  <c r="AR47" i="15"/>
  <c r="AI42" i="15"/>
  <c r="AI43" i="15"/>
  <c r="V61" i="15"/>
  <c r="D21" i="15"/>
  <c r="D24" i="15"/>
  <c r="D26" i="15"/>
  <c r="G52" i="15"/>
  <c r="U44" i="15" s="1"/>
  <c r="G53" i="15" s="1"/>
  <c r="D25" i="15"/>
  <c r="D22" i="15"/>
  <c r="D28" i="15"/>
  <c r="G70" i="15"/>
  <c r="H103" i="15"/>
  <c r="H20" i="15"/>
  <c r="F20" i="15" s="1"/>
  <c r="J30" i="15"/>
  <c r="L60" i="15"/>
  <c r="CW79" i="5" l="1"/>
  <c r="DA78" i="5"/>
  <c r="DB78" i="5" s="1"/>
  <c r="AW43" i="17"/>
  <c r="AW44" i="17"/>
  <c r="AV44" i="17" s="1"/>
  <c r="AV46" i="17" s="1"/>
  <c r="AW46" i="17" s="1"/>
  <c r="D55" i="17" s="1"/>
  <c r="AW42" i="17"/>
  <c r="AW41" i="17"/>
  <c r="H110" i="17"/>
  <c r="H116" i="17"/>
  <c r="K65" i="17"/>
  <c r="L65" i="17" s="1"/>
  <c r="H116" i="16"/>
  <c r="K65" i="16"/>
  <c r="L65" i="16" s="1"/>
  <c r="H110" i="16"/>
  <c r="AW44" i="16"/>
  <c r="AV44" i="16" s="1"/>
  <c r="AV46" i="16" s="1"/>
  <c r="AW46" i="16" s="1"/>
  <c r="D55" i="16" s="1"/>
  <c r="AW42" i="16"/>
  <c r="AW41" i="16"/>
  <c r="AW43" i="16"/>
  <c r="AI46" i="15"/>
  <c r="D20" i="15"/>
  <c r="H109" i="15"/>
  <c r="H104" i="15"/>
  <c r="H105" i="15"/>
  <c r="AS44" i="15"/>
  <c r="AS42" i="15"/>
  <c r="AS47" i="15"/>
  <c r="AS45" i="15"/>
  <c r="AS43" i="15"/>
  <c r="DA79" i="5" l="1"/>
  <c r="DB79" i="5" s="1"/>
  <c r="CW80" i="5"/>
  <c r="H113" i="17"/>
  <c r="H114" i="17"/>
  <c r="H113" i="16"/>
  <c r="H114" i="16"/>
  <c r="AN49" i="15"/>
  <c r="AN44" i="15"/>
  <c r="AB48" i="15"/>
  <c r="AN48" i="15"/>
  <c r="AB49" i="15"/>
  <c r="AB44" i="15"/>
  <c r="N31" i="15"/>
  <c r="H116" i="15"/>
  <c r="H110" i="15"/>
  <c r="K65" i="15"/>
  <c r="L65" i="15" s="1"/>
  <c r="CW81" i="5" l="1"/>
  <c r="DI81" i="5" s="1"/>
  <c r="DA80" i="5"/>
  <c r="DB80" i="5" s="1"/>
  <c r="H113" i="15"/>
  <c r="H114" i="15"/>
  <c r="H98" i="4"/>
  <c r="C59" i="4"/>
  <c r="CW82" i="5" l="1"/>
  <c r="DH82" i="5" s="1"/>
  <c r="DA81" i="5"/>
  <c r="DB81" i="5" s="1"/>
  <c r="C27" i="5"/>
  <c r="E27" i="5" s="1"/>
  <c r="I24" i="5"/>
  <c r="CW83" i="5" l="1"/>
  <c r="DI83" i="5" s="1"/>
  <c r="DA82" i="5"/>
  <c r="DB82" i="5" s="1"/>
  <c r="D89" i="5" s="1"/>
  <c r="N53" i="15"/>
  <c r="AV40" i="15"/>
  <c r="L53" i="15"/>
  <c r="G27" i="5"/>
  <c r="CW84" i="5" l="1"/>
  <c r="DI84" i="5" s="1"/>
  <c r="DA83" i="5"/>
  <c r="DB83" i="5" s="1"/>
  <c r="AW44" i="15"/>
  <c r="AV44" i="15" s="1"/>
  <c r="AV46" i="15" s="1"/>
  <c r="AW46" i="15" s="1"/>
  <c r="D55" i="15" s="1"/>
  <c r="AW42" i="15"/>
  <c r="AW41" i="15"/>
  <c r="AW43" i="15"/>
  <c r="CW85" i="5" l="1"/>
  <c r="DA84" i="5"/>
  <c r="DB84" i="5" s="1"/>
  <c r="L59" i="4"/>
  <c r="N30" i="4"/>
  <c r="N21" i="4"/>
  <c r="N22" i="4"/>
  <c r="N23" i="4"/>
  <c r="N24" i="4"/>
  <c r="N25" i="4"/>
  <c r="N26" i="4"/>
  <c r="N27" i="4"/>
  <c r="N28" i="4"/>
  <c r="N29" i="4"/>
  <c r="N20" i="4"/>
  <c r="CW86" i="5" l="1"/>
  <c r="DA85" i="5"/>
  <c r="DB85" i="5" s="1"/>
  <c r="C26" i="5"/>
  <c r="C25" i="5"/>
  <c r="G24" i="5"/>
  <c r="E24" i="5"/>
  <c r="G19" i="5"/>
  <c r="C19" i="5" s="1"/>
  <c r="E19" i="5" s="1"/>
  <c r="G20" i="5"/>
  <c r="I20" i="5" s="1"/>
  <c r="K18" i="5"/>
  <c r="I18" i="5"/>
  <c r="C18" i="5"/>
  <c r="E18" i="5" s="1"/>
  <c r="G16" i="5"/>
  <c r="I16" i="5" s="1"/>
  <c r="C17" i="5"/>
  <c r="G17" i="5" s="1"/>
  <c r="K16" i="5"/>
  <c r="E16" i="5"/>
  <c r="CW87" i="5" l="1"/>
  <c r="DA86" i="5"/>
  <c r="DB86" i="5" s="1"/>
  <c r="G25" i="5"/>
  <c r="I25" i="5"/>
  <c r="E26" i="5"/>
  <c r="I26" i="5"/>
  <c r="C20" i="5"/>
  <c r="E20" i="5" s="1"/>
  <c r="K19" i="5"/>
  <c r="K17" i="5"/>
  <c r="I17" i="5"/>
  <c r="E10" i="5"/>
  <c r="C12" i="5"/>
  <c r="E12" i="5" s="1"/>
  <c r="G10" i="5"/>
  <c r="C11" i="5"/>
  <c r="G11" i="5" s="1"/>
  <c r="CW88" i="5" l="1"/>
  <c r="DA87" i="5"/>
  <c r="DB87" i="5" s="1"/>
  <c r="L67" i="4"/>
  <c r="CW89" i="5" l="1"/>
  <c r="DA88" i="5"/>
  <c r="DB88" i="5" s="1"/>
  <c r="L60" i="4"/>
  <c r="F89" i="5" l="1"/>
  <c r="B98" i="5"/>
  <c r="CW90" i="5"/>
  <c r="DA89" i="5"/>
  <c r="DB89" i="5" s="1"/>
  <c r="L52" i="4"/>
  <c r="CW91" i="5" l="1"/>
  <c r="DA90" i="5"/>
  <c r="DB90" i="5" s="1"/>
  <c r="C52" i="4"/>
  <c r="CW92" i="5" l="1"/>
  <c r="DA91" i="5"/>
  <c r="DB91" i="5" s="1"/>
  <c r="E5" i="5"/>
  <c r="CW93" i="5" l="1"/>
  <c r="DA92" i="5"/>
  <c r="DB92" i="5" s="1"/>
  <c r="AF51" i="4"/>
  <c r="AE51" i="4"/>
  <c r="C49" i="4" s="1"/>
  <c r="CW94" i="5" l="1"/>
  <c r="DA93" i="5"/>
  <c r="DB93" i="5" s="1"/>
  <c r="AE49" i="4"/>
  <c r="AE48" i="4"/>
  <c r="AI41" i="4" s="1"/>
  <c r="AE44" i="4"/>
  <c r="CW95" i="5" l="1"/>
  <c r="DA94" i="5"/>
  <c r="DB94" i="5" s="1"/>
  <c r="H101" i="4"/>
  <c r="H100" i="4"/>
  <c r="CW96" i="5" l="1"/>
  <c r="DA95" i="5"/>
  <c r="DB95" i="5" s="1"/>
  <c r="J61" i="4"/>
  <c r="CW97" i="5" l="1"/>
  <c r="DA96" i="5"/>
  <c r="DB96" i="5" s="1"/>
  <c r="X16" i="4"/>
  <c r="V16" i="4"/>
  <c r="CW98" i="5" l="1"/>
  <c r="DA97" i="5"/>
  <c r="DB97" i="5" s="1"/>
  <c r="AQ64" i="4"/>
  <c r="AQ63" i="4"/>
  <c r="AQ60" i="4"/>
  <c r="AQ59" i="4"/>
  <c r="AQ55" i="4"/>
  <c r="AL65" i="4"/>
  <c r="AL64" i="4"/>
  <c r="AL63" i="4"/>
  <c r="AL61" i="4"/>
  <c r="AL60" i="4"/>
  <c r="AL59" i="4"/>
  <c r="AL56" i="4"/>
  <c r="AL57" i="4"/>
  <c r="AL55" i="4"/>
  <c r="V58" i="4"/>
  <c r="V59" i="4"/>
  <c r="V57" i="4"/>
  <c r="CW99" i="5" l="1"/>
  <c r="DA98" i="5"/>
  <c r="DB98" i="5" s="1"/>
  <c r="V61" i="4"/>
  <c r="DA99" i="5" l="1"/>
  <c r="DB99" i="5" s="1"/>
  <c r="AH63" i="4"/>
  <c r="AH59" i="4"/>
  <c r="AH55" i="4"/>
  <c r="Z65" i="4"/>
  <c r="Z64" i="4"/>
  <c r="Z63" i="4"/>
  <c r="Z61" i="4"/>
  <c r="Z60" i="4"/>
  <c r="Z59" i="4"/>
  <c r="Z56" i="4"/>
  <c r="Z57" i="4"/>
  <c r="Z55" i="4"/>
  <c r="AC51" i="4"/>
  <c r="AB51" i="4"/>
  <c r="AN51" i="4" l="1"/>
  <c r="AA41" i="4" l="1"/>
  <c r="AR41" i="4" l="1"/>
  <c r="AM41" i="4"/>
  <c r="J18" i="4" l="1"/>
  <c r="J70" i="4"/>
  <c r="J47" i="4"/>
  <c r="AB43" i="4" l="1"/>
  <c r="AA43" i="4" s="1"/>
  <c r="AN42" i="4"/>
  <c r="AM42" i="4" s="1"/>
  <c r="AV42" i="4" l="1"/>
  <c r="AQ47" i="4"/>
  <c r="AS40" i="4"/>
  <c r="AM47" i="4" l="1"/>
  <c r="AA47" i="4"/>
  <c r="AM40" i="4" l="1"/>
  <c r="AI40" i="4"/>
  <c r="AA40" i="4"/>
  <c r="AN47" i="4" l="1"/>
  <c r="AN46" i="4"/>
  <c r="AM46" i="4" s="1"/>
  <c r="AN45" i="4"/>
  <c r="AM45" i="4" s="1"/>
  <c r="AN43" i="4"/>
  <c r="AM43" i="4" s="1"/>
  <c r="AJ42" i="4"/>
  <c r="AI42" i="4" s="1"/>
  <c r="AJ44" i="4"/>
  <c r="AI44" i="4" s="1"/>
  <c r="AJ43" i="4"/>
  <c r="AI43" i="4" s="1"/>
  <c r="AB47" i="4"/>
  <c r="AB46" i="4"/>
  <c r="AA46" i="4" s="1"/>
  <c r="AB45" i="4"/>
  <c r="AA45" i="4" s="1"/>
  <c r="AB42" i="4"/>
  <c r="AA42" i="4" s="1"/>
  <c r="G18" i="4" l="1"/>
  <c r="C44" i="4" l="1"/>
  <c r="G117" i="4"/>
  <c r="G70" i="4"/>
  <c r="G47" i="4"/>
  <c r="L28" i="4"/>
  <c r="J20" i="4" l="1"/>
  <c r="J21" i="4"/>
  <c r="U46" i="4" l="1"/>
  <c r="U45" i="4"/>
  <c r="B3" i="4" l="1"/>
  <c r="C7" i="1" l="1"/>
  <c r="H102" i="4"/>
  <c r="H103" i="4" s="1"/>
  <c r="H104" i="4" l="1"/>
  <c r="A20" i="1"/>
  <c r="D16" i="1"/>
  <c r="H109" i="4"/>
  <c r="K65" i="4" s="1"/>
  <c r="L65" i="4" s="1"/>
  <c r="H105" i="4" l="1"/>
  <c r="H110" i="4"/>
  <c r="H113" i="4" l="1"/>
  <c r="H114" i="4"/>
  <c r="J66" i="4"/>
  <c r="H28" i="4"/>
  <c r="J30" i="4"/>
  <c r="L24" i="4"/>
  <c r="L27" i="4"/>
  <c r="L26" i="4"/>
  <c r="L25" i="4"/>
  <c r="L23" i="4"/>
  <c r="L22" i="4" l="1"/>
  <c r="F28" i="4"/>
  <c r="D28" i="4"/>
  <c r="A2" i="1"/>
  <c r="D14" i="1" l="1"/>
  <c r="D15" i="1"/>
  <c r="H26" i="4" l="1"/>
  <c r="F26" i="4" l="1"/>
  <c r="D26" i="4"/>
  <c r="D13" i="1"/>
  <c r="D12" i="1"/>
  <c r="V22" i="16" s="1"/>
  <c r="D11" i="1"/>
  <c r="H24" i="16" l="1"/>
  <c r="D24" i="16" s="1"/>
  <c r="V27" i="16"/>
  <c r="V28" i="16"/>
  <c r="H24" i="4"/>
  <c r="H31" i="16" l="1"/>
  <c r="G71" i="16"/>
  <c r="V29" i="16"/>
  <c r="V30" i="16"/>
  <c r="H29" i="16" s="1"/>
  <c r="U29" i="16"/>
  <c r="D24" i="4"/>
  <c r="F24" i="4"/>
  <c r="H23" i="4"/>
  <c r="V25" i="18" l="1"/>
  <c r="V25" i="15"/>
  <c r="D23" i="4"/>
  <c r="F23" i="4"/>
  <c r="H27" i="4"/>
  <c r="D10" i="1"/>
  <c r="D9" i="1"/>
  <c r="D8" i="1"/>
  <c r="X27" i="4" l="1"/>
  <c r="X19" i="18"/>
  <c r="X19" i="17"/>
  <c r="X19" i="16"/>
  <c r="X19" i="15"/>
  <c r="H27" i="15"/>
  <c r="V28" i="15"/>
  <c r="V27" i="15"/>
  <c r="W18" i="18"/>
  <c r="W18" i="17"/>
  <c r="W18" i="16"/>
  <c r="W18" i="15"/>
  <c r="H27" i="18"/>
  <c r="V28" i="18"/>
  <c r="V27" i="18"/>
  <c r="H25" i="4"/>
  <c r="D25" i="4" s="1"/>
  <c r="V23" i="17"/>
  <c r="F27" i="4"/>
  <c r="D27" i="4"/>
  <c r="H21" i="4"/>
  <c r="D21" i="4" s="1"/>
  <c r="H31" i="18" l="1"/>
  <c r="G71" i="18"/>
  <c r="X28" i="15"/>
  <c r="L20" i="15"/>
  <c r="W27" i="15"/>
  <c r="W27" i="17"/>
  <c r="X28" i="17"/>
  <c r="L20" i="17"/>
  <c r="H31" i="15"/>
  <c r="G71" i="15"/>
  <c r="L21" i="15"/>
  <c r="X27" i="15"/>
  <c r="H25" i="17"/>
  <c r="D25" i="17" s="1"/>
  <c r="V27" i="17"/>
  <c r="V28" i="17"/>
  <c r="V29" i="18"/>
  <c r="V30" i="18"/>
  <c r="H29" i="18" s="1"/>
  <c r="U29" i="18"/>
  <c r="F27" i="18"/>
  <c r="D27" i="18"/>
  <c r="X28" i="16"/>
  <c r="L20" i="16"/>
  <c r="W27" i="16"/>
  <c r="X28" i="18"/>
  <c r="L20" i="18"/>
  <c r="W27" i="18"/>
  <c r="V29" i="15"/>
  <c r="U29" i="15"/>
  <c r="V30" i="15"/>
  <c r="H29" i="15" s="1"/>
  <c r="F27" i="15"/>
  <c r="D27" i="15"/>
  <c r="X27" i="16"/>
  <c r="L21" i="16"/>
  <c r="L21" i="18"/>
  <c r="X27" i="18"/>
  <c r="X27" i="17"/>
  <c r="X29" i="17" s="1"/>
  <c r="L21" i="17"/>
  <c r="F25" i="4"/>
  <c r="V27" i="4"/>
  <c r="W27" i="4"/>
  <c r="X28" i="4" s="1"/>
  <c r="H118" i="4" s="1"/>
  <c r="J71" i="4" s="1"/>
  <c r="U27" i="4"/>
  <c r="H30" i="4" s="1"/>
  <c r="F21" i="4"/>
  <c r="H20" i="4"/>
  <c r="H22" i="4"/>
  <c r="F22" i="4" s="1"/>
  <c r="L21" i="4"/>
  <c r="L20" i="4"/>
  <c r="V28" i="4" l="1"/>
  <c r="H117" i="4" s="1"/>
  <c r="H119" i="4" s="1"/>
  <c r="X29" i="18"/>
  <c r="W29" i="16"/>
  <c r="W29" i="15"/>
  <c r="N31" i="16"/>
  <c r="L31" i="16"/>
  <c r="J71" i="16"/>
  <c r="H31" i="17"/>
  <c r="G71" i="17"/>
  <c r="L31" i="17"/>
  <c r="N31" i="17"/>
  <c r="J71" i="17"/>
  <c r="X29" i="16"/>
  <c r="W29" i="18"/>
  <c r="X30" i="18" s="1"/>
  <c r="L29" i="18" s="1"/>
  <c r="L31" i="18"/>
  <c r="D35" i="18" s="1"/>
  <c r="J71" i="18"/>
  <c r="U29" i="17"/>
  <c r="V29" i="17"/>
  <c r="V30" i="17"/>
  <c r="H29" i="17" s="1"/>
  <c r="X29" i="15"/>
  <c r="X30" i="15" s="1"/>
  <c r="L29" i="15" s="1"/>
  <c r="W29" i="17"/>
  <c r="X30" i="17" s="1"/>
  <c r="L29" i="17" s="1"/>
  <c r="L31" i="15"/>
  <c r="J71" i="15"/>
  <c r="N31" i="4"/>
  <c r="F20" i="4"/>
  <c r="D20" i="4"/>
  <c r="U29" i="4"/>
  <c r="V29" i="4"/>
  <c r="W29" i="4"/>
  <c r="X29" i="4"/>
  <c r="D22" i="4"/>
  <c r="L31" i="4"/>
  <c r="G71" i="4" l="1"/>
  <c r="H31" i="4"/>
  <c r="L35" i="4" s="1"/>
  <c r="X30" i="16"/>
  <c r="L29" i="16" s="1"/>
  <c r="L35" i="18"/>
  <c r="J50" i="18"/>
  <c r="J50" i="17"/>
  <c r="L35" i="17"/>
  <c r="L35" i="15"/>
  <c r="J50" i="15"/>
  <c r="D35" i="15"/>
  <c r="D35" i="17"/>
  <c r="L35" i="16"/>
  <c r="J50" i="16"/>
  <c r="D35" i="16"/>
  <c r="V30" i="4"/>
  <c r="H29" i="4" s="1"/>
  <c r="X30" i="4"/>
  <c r="L29" i="4" s="1"/>
  <c r="AV43" i="4"/>
  <c r="D35" i="4" l="1"/>
  <c r="N50" i="16"/>
  <c r="L50" i="16"/>
  <c r="L50" i="15"/>
  <c r="N50" i="15"/>
  <c r="N50" i="18"/>
  <c r="L50" i="18"/>
  <c r="N50" i="17"/>
  <c r="L50" i="17"/>
  <c r="AI46" i="4"/>
  <c r="AN49" i="4" l="1"/>
  <c r="AM49" i="4" s="1"/>
  <c r="AB49" i="4"/>
  <c r="AA49" i="4" s="1"/>
  <c r="AN48" i="4"/>
  <c r="AM48" i="4" s="1"/>
  <c r="AB44" i="4"/>
  <c r="AA44" i="4" s="1"/>
  <c r="AB48" i="4"/>
  <c r="AA48" i="4" s="1"/>
  <c r="AN44" i="4"/>
  <c r="AM44" i="4" s="1"/>
  <c r="AM51" i="4" l="1"/>
  <c r="AR40" i="4" s="1"/>
  <c r="AA51" i="4"/>
  <c r="G52" i="4" l="1"/>
  <c r="U44" i="4" s="1"/>
  <c r="AS45" i="4"/>
  <c r="AR45" i="4" s="1"/>
  <c r="AS43" i="4"/>
  <c r="AR43" i="4" s="1"/>
  <c r="AS42" i="4"/>
  <c r="AR42" i="4" s="1"/>
  <c r="AS44" i="4"/>
  <c r="AR44" i="4" s="1"/>
  <c r="G50" i="4"/>
  <c r="U43" i="4" s="1"/>
  <c r="J50" i="4" l="1"/>
  <c r="N50" i="4" s="1"/>
  <c r="AR47" i="4"/>
  <c r="AS47" i="4" s="1"/>
  <c r="G53" i="4"/>
  <c r="L50" i="4" l="1"/>
  <c r="J53" i="4"/>
  <c r="L53" i="4" s="1"/>
  <c r="N53" i="4" l="1"/>
  <c r="AV40" i="4"/>
  <c r="AW42" i="4" s="1"/>
  <c r="AW44" i="4" l="1"/>
  <c r="AV44" i="4" s="1"/>
  <c r="AW41" i="4"/>
  <c r="AV41" i="4" s="1"/>
  <c r="AW43" i="4"/>
  <c r="AV46" i="4" l="1"/>
  <c r="AW46" i="4" s="1"/>
  <c r="D55" i="4" s="1"/>
</calcChain>
</file>

<file path=xl/comments1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2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3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4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5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sharedStrings.xml><?xml version="1.0" encoding="utf-8"?>
<sst xmlns="http://schemas.openxmlformats.org/spreadsheetml/2006/main" count="1499" uniqueCount="415">
  <si>
    <t>Oxygen</t>
  </si>
  <si>
    <t>O</t>
  </si>
  <si>
    <t>Iron</t>
  </si>
  <si>
    <t>Fe</t>
  </si>
  <si>
    <t>Wuestite</t>
  </si>
  <si>
    <t>FeO</t>
  </si>
  <si>
    <t>Hematite</t>
  </si>
  <si>
    <t>Magnetite</t>
  </si>
  <si>
    <t>Hydrogen</t>
  </si>
  <si>
    <t>H</t>
  </si>
  <si>
    <t>Chlorine</t>
  </si>
  <si>
    <t>Cl</t>
  </si>
  <si>
    <t>Ferrous Chloride</t>
  </si>
  <si>
    <t>Ferric Chloride</t>
  </si>
  <si>
    <t>Ferric Oxyhydroxide</t>
  </si>
  <si>
    <t>FeO(OH)</t>
  </si>
  <si>
    <t>SBGx</t>
  </si>
  <si>
    <t>Chemical name</t>
  </si>
  <si>
    <t>Chemical formula</t>
  </si>
  <si>
    <t>FeO [%]</t>
  </si>
  <si>
    <r>
      <t>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[%]</t>
    </r>
  </si>
  <si>
    <t>RIIC [%]</t>
  </si>
  <si>
    <t>Fe₂O₃</t>
  </si>
  <si>
    <t>Fe₃O₄</t>
  </si>
  <si>
    <t>FeCl₂</t>
  </si>
  <si>
    <t>FeCl₃</t>
  </si>
  <si>
    <t>Fe(OH)₃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</si>
  <si>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= molecular mass of iron [g/mol]</t>
    </r>
  </si>
  <si>
    <r>
      <t>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10 ^ -pH</t>
    </r>
  </si>
  <si>
    <t>Ks1 = 10 ^ -(1351.9 / T[K] + 0.0992 + 0.00792 * T[K])</t>
  </si>
  <si>
    <t>Ks2 = 10 ^ -11.96</t>
  </si>
  <si>
    <r>
      <t xml:space="preserve">Quotient 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S(aq) / f</t>
    </r>
    <r>
      <rPr>
        <b/>
        <vertAlign val="subscript"/>
        <sz val="11"/>
        <color theme="1"/>
        <rFont val="Calibri"/>
        <family val="2"/>
        <scheme val="minor"/>
      </rPr>
      <t>H2S(aq)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S(aq-ges)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+ HS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+ S</t>
    </r>
    <r>
      <rPr>
        <vertAlign val="superscript"/>
        <sz val="11"/>
        <color theme="1"/>
        <rFont val="Calibri"/>
        <family val="2"/>
        <scheme val="minor"/>
      </rPr>
      <t>2-</t>
    </r>
  </si>
  <si>
    <r>
      <t xml:space="preserve">     = e((ln(H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S(g)) - 6.42) / 0.78) / 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</si>
  <si>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t>[1]: Polster, A. und Brummack, J. (2006): Verbesserung von Entschwefelungsverfahren in landwirtschaftlichen Biogasanlagen.</t>
  </si>
  <si>
    <t>Abschlussbericht der Technischen Universität Dresden, Fakultät Maschinenbau, Institut für Verfahrenstechnik, Lehrstuhl für</t>
  </si>
  <si>
    <t>Thermische Verfahrenstechnik und Umwelttechnik.</t>
  </si>
  <si>
    <t>Sources:</t>
  </si>
  <si>
    <t>https://www.teknologisk.dk/_/media/60599_Biogas%20upgrading.%20Evaluation%20of%20methods%20for%20H2S%20removal.pdf</t>
  </si>
  <si>
    <t>See p. 7</t>
  </si>
  <si>
    <t>https://www.biogas-forum-bayern.de/media/files/0002/Entschwefelung-von-Biogas-in-landwirtschaftlichen-Biogasanlagen-2013.pdf</t>
  </si>
  <si>
    <t>See p. 8f.</t>
  </si>
  <si>
    <t>https://tu-dresden.de/ing/maschinenwesen/ifvu/ressourcen/dateien/tvu/forschungsprojekte/forschung_alt/entschwefelungsverfahren/bge_in_landw_anlagen.pdf</t>
  </si>
  <si>
    <t>See pp. 26f. and 108f.</t>
  </si>
  <si>
    <t>powered by SwissBiogas.com</t>
  </si>
  <si>
    <t>Remarks:</t>
  </si>
  <si>
    <t>SBGx by SwissBiogas.com</t>
  </si>
  <si>
    <t xml:space="preserve">   → Potentially less additive waste/residue/non-fe content in the discharge</t>
  </si>
  <si>
    <t>Ferric Hydroxide</t>
  </si>
  <si>
    <t>Ferrous Hydroxide</t>
  </si>
  <si>
    <t>Fe(OH)₂</t>
  </si>
  <si>
    <t>•  Reactive Iron Ions (RII) bind the sulphur contained in substrates</t>
  </si>
  <si>
    <t>•  A higher Reactive Iron Ion Content (RIIC) in an additive means, that less additive is needed for desulphurisation</t>
  </si>
  <si>
    <t>RIIC factor [%]
= CNT Fe ion [%]</t>
  </si>
  <si>
    <t>Moisture</t>
  </si>
  <si>
    <t>Formula</t>
  </si>
  <si>
    <t>Result:</t>
  </si>
  <si>
    <t>C)</t>
  </si>
  <si>
    <t>B)</t>
  </si>
  <si>
    <t>A)</t>
  </si>
  <si>
    <t>Calculating your additive's Reactive Iron Ion Content (RIIC) and comparing it with the one of SwissBiogas.com's SBGx</t>
  </si>
  <si>
    <t>Reactive Iron Ion Content (RIIC) Calculation, Additive Dosage Comparison and Additive Dosage Calculation</t>
  </si>
  <si>
    <t>•</t>
  </si>
  <si>
    <t>Moisture [%]
SDS</t>
  </si>
  <si>
    <t>were you using SBGx.</t>
  </si>
  <si>
    <t>Based on this data, your additive's RIIC value can be established and be compared with the SBGx RIIC value.</t>
  </si>
  <si>
    <t>This document provides you with three tools focused and based on the RIIC value of your additive and compares it with SBGx's.</t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</si>
  <si>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</si>
  <si>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</si>
  <si>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(SBGx)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</si>
  <si>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(SBGx)</t>
    </r>
  </si>
  <si>
    <t>⅓ Fe²⁺ + ⅔ Fe³⁺</t>
  </si>
  <si>
    <t>Oxidation State</t>
  </si>
  <si>
    <t>Fe²⁺</t>
  </si>
  <si>
    <t>Fe³⁺</t>
  </si>
  <si>
    <t>Daily dosage</t>
  </si>
  <si>
    <t>Price add</t>
  </si>
  <si>
    <t>Price sbg</t>
  </si>
  <si>
    <t>El. power</t>
  </si>
  <si>
    <r>
      <t>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</si>
  <si>
    <t>Additive:</t>
  </si>
  <si>
    <t>SBGx:</t>
  </si>
  <si>
    <t>Total each</t>
  </si>
  <si>
    <t>Fe²⁺ : Fe³⁺ ratio</t>
  </si>
  <si>
    <t>Moisture [%]</t>
  </si>
  <si>
    <t>Oxidation state</t>
  </si>
  <si>
    <t>IUPAC name</t>
  </si>
  <si>
    <r>
      <rPr>
        <b/>
        <sz val="11"/>
        <color theme="1"/>
        <rFont val="Calibri"/>
        <family val="2"/>
        <scheme val="minor"/>
      </rPr>
      <t>Section A)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RIIC Calculator</t>
    </r>
    <r>
      <rPr>
        <sz val="11"/>
        <color theme="1"/>
        <rFont val="Calibri"/>
        <family val="2"/>
        <scheme val="minor"/>
      </rPr>
      <t>, where you can fill in your additive's iron compounds' contents and moisture.</t>
    </r>
  </si>
  <si>
    <r>
      <rPr>
        <b/>
        <sz val="11"/>
        <color theme="1"/>
        <rFont val="Calibri"/>
        <family val="2"/>
        <scheme val="minor"/>
      </rPr>
      <t>Section C)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Calculator</t>
    </r>
    <r>
      <rPr>
        <sz val="11"/>
        <color theme="1"/>
        <rFont val="Calibri"/>
        <family val="2"/>
        <scheme val="minor"/>
      </rPr>
      <t xml:space="preserve"> where you can establish your biogas reactor's required</t>
    </r>
  </si>
  <si>
    <t>Ferric Oxide Trihydrate</t>
  </si>
  <si>
    <t>Fe₂O₃·3H₂O</t>
  </si>
  <si>
    <t>kg/day</t>
  </si>
  <si>
    <t>Mass</t>
  </si>
  <si>
    <t>Kilogram [kg]</t>
  </si>
  <si>
    <t>1 Pound [lb] =</t>
  </si>
  <si>
    <t>1 Imp ton [t] =</t>
  </si>
  <si>
    <t>1 US ton [t] =</t>
  </si>
  <si>
    <t>Volume</t>
  </si>
  <si>
    <t>Litre [l]</t>
  </si>
  <si>
    <t>1 Imp gallon [gal] =</t>
  </si>
  <si>
    <t>Conversion factors</t>
  </si>
  <si>
    <t>Imperial/US</t>
  </si>
  <si>
    <t>Metric</t>
  </si>
  <si>
    <t>/metric ton</t>
  </si>
  <si>
    <t>kg/litre</t>
  </si>
  <si>
    <t>Density in kg/l</t>
  </si>
  <si>
    <t>Dosage in kg/day</t>
  </si>
  <si>
    <t>Input value for dosage</t>
  </si>
  <si>
    <t>Input value for density</t>
  </si>
  <si>
    <t>Input value for price</t>
  </si>
  <si>
    <t>Caution: There could be rows hidden</t>
  </si>
  <si>
    <t>Price per metric ton</t>
  </si>
  <si>
    <t>Input price comparison</t>
  </si>
  <si>
    <t>daily</t>
  </si>
  <si>
    <t>weekly</t>
  </si>
  <si>
    <t>monthly</t>
  </si>
  <si>
    <t>Calculation</t>
  </si>
  <si>
    <t>yearly</t>
  </si>
  <si>
    <t>liq</t>
  </si>
  <si>
    <t>input timeframe</t>
  </si>
  <si>
    <t>adjective</t>
  </si>
  <si>
    <t>Additive cost savings per</t>
  </si>
  <si>
    <t>SBGx short</t>
  </si>
  <si>
    <t>SBGx long</t>
  </si>
  <si>
    <t>RIIR [Fe²⁺ : Fe³⁺], Reactive Iron Ion Ratio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</si>
  <si>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  <r>
      <rPr>
        <b/>
        <i/>
        <sz val="11"/>
        <color theme="1"/>
        <rFont val="Calibri"/>
        <family val="2"/>
        <scheme val="minor"/>
      </rPr>
      <t xml:space="preserve"> [%]</t>
    </r>
  </si>
  <si>
    <r>
      <rPr>
        <b/>
        <sz val="11"/>
        <color theme="1"/>
        <rFont val="Calibri"/>
        <family val="2"/>
        <scheme val="minor"/>
      </rPr>
      <t>Section B)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and Cost Comparing</t>
    </r>
    <r>
      <rPr>
        <sz val="11"/>
        <color theme="1"/>
        <rFont val="Calibri"/>
        <family val="2"/>
        <scheme val="minor"/>
      </rPr>
      <t xml:space="preserve"> tool, which uses the data you already entered in section A).</t>
    </r>
  </si>
  <si>
    <t>In section B) you can additionally fill in the values for your additive's actual dosage and price, and see what they would look like,</t>
  </si>
  <si>
    <r>
      <rPr>
        <i/>
        <sz val="11"/>
        <color theme="1"/>
        <rFont val="Calibri"/>
        <family val="2"/>
        <scheme val="minor"/>
      </rPr>
      <t>Reactive Iron Ion Mass (RIIM)</t>
    </r>
    <r>
      <rPr>
        <sz val="11"/>
        <color theme="1"/>
        <rFont val="Calibri"/>
        <family val="2"/>
        <scheme val="minor"/>
      </rPr>
      <t xml:space="preserve"> to successfully desulphurise its biogas. Based on the data already entered in section A), the calculator</t>
    </r>
  </si>
  <si>
    <t>will then provide you with the optimal dosage for your additive and compare it with the equivalent dosage for the SBGx additive.</t>
  </si>
  <si>
    <t>Kilogram [kg/day]</t>
  </si>
  <si>
    <t>Metric ton (Tonne) [t/day]</t>
  </si>
  <si>
    <t>Litre [l/day]</t>
  </si>
  <si>
    <t>Pound [lb/day]</t>
  </si>
  <si>
    <t>Day</t>
  </si>
  <si>
    <t>Week</t>
  </si>
  <si>
    <t>Month</t>
  </si>
  <si>
    <t>Year</t>
  </si>
  <si>
    <t>Kilogram per litre [kg/l]</t>
  </si>
  <si>
    <t>Pound per US gallon [lb/gal]</t>
  </si>
  <si>
    <t>Kilogram [/kg]</t>
  </si>
  <si>
    <t>Metric ton (Tonne) [/t]</t>
  </si>
  <si>
    <t>Litre [/l]</t>
  </si>
  <si>
    <t>Pound [/lb]</t>
  </si>
  <si>
    <t>sys</t>
  </si>
  <si>
    <t>si</t>
  </si>
  <si>
    <t>uk/us</t>
  </si>
  <si>
    <t>United States customary units</t>
  </si>
  <si>
    <t>Preselection</t>
  </si>
  <si>
    <t>SI</t>
  </si>
  <si>
    <t>Imperial</t>
  </si>
  <si>
    <t>US</t>
  </si>
  <si>
    <t>US short ton [t/day]</t>
  </si>
  <si>
    <t>US short ton [/t]</t>
  </si>
  <si>
    <t>Imperial ton [/t]</t>
  </si>
  <si>
    <t>Imperial gallon [/gal]</t>
  </si>
  <si>
    <t>Pound per Imperial gallon [lb/gal]</t>
  </si>
  <si>
    <t>Imperial ton [t/day]</t>
  </si>
  <si>
    <t>Imperial gallon [gal/day]</t>
  </si>
  <si>
    <r>
      <t xml:space="preserve">                                 </t>
    </r>
    <r>
      <rPr>
        <b/>
        <sz val="11"/>
        <color theme="1"/>
        <rFont val="Calibri"/>
        <family val="2"/>
        <scheme val="minor"/>
      </rPr>
      <t>&lt;Click here&gt;</t>
    </r>
    <r>
      <rPr>
        <sz val="11"/>
        <color theme="1"/>
        <rFont val="Calibri"/>
        <family val="2"/>
        <scheme val="minor"/>
      </rPr>
      <t xml:space="preserve"> to select your system of measurement units</t>
    </r>
  </si>
  <si>
    <t>British Imperial system of units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</si>
  <si>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B</t>
    </r>
    <r>
      <rPr>
        <b/>
        <i/>
        <sz val="11"/>
        <color theme="1"/>
        <rFont val="Calibri"/>
        <family val="2"/>
        <scheme val="minor"/>
      </rPr>
      <t xml:space="preserve"> [%]</t>
    </r>
  </si>
  <si>
    <t>Calculation according Formula Gl. A1-10, p. 109</t>
  </si>
  <si>
    <r>
      <t xml:space="preserve">     = Concentration of dissolved sulphur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</si>
  <si>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Your_De-Sulph</t>
  </si>
  <si>
    <t>1 US gallon [gal] =</t>
  </si>
  <si>
    <t>US gallon [gal/day]</t>
  </si>
  <si>
    <t>US gallon [/gal]</t>
  </si>
  <si>
    <t>Moisture [%]
@ 105 °C</t>
  </si>
  <si>
    <r>
      <t xml:space="preserve">Your additive's name </t>
    </r>
    <r>
      <rPr>
        <sz val="11"/>
        <color theme="1"/>
        <rFont val="Calibri"/>
        <family val="2"/>
        <scheme val="minor"/>
      </rPr>
      <t>(optional)</t>
    </r>
    <r>
      <rPr>
        <b/>
        <sz val="11"/>
        <color theme="1"/>
        <rFont val="Calibri"/>
        <family val="2"/>
        <scheme val="minor"/>
      </rPr>
      <t>:</t>
    </r>
  </si>
  <si>
    <t>Anaerobe Abwasserreinigung – Ein Modell zur Berechnung und Darstellung der maßgebenden chemischen Parameter</t>
  </si>
  <si>
    <t>Feᴺ⁺ ratio value</t>
  </si>
  <si>
    <r>
      <t>fH₂S(aq) = (1 + Ks1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Ks1 * Ks2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^ 2) ^ -1</t>
    </r>
  </si>
  <si>
    <r>
      <t>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molecular mass of hydrogen sulfide [g/mol]</t>
    </r>
  </si>
  <si>
    <t>see https://en.wikipedia.org/wiki/Hydrogen_sulfide</t>
  </si>
  <si>
    <t>see: https://teesing.com/en/library/tools/ppm-mg3-converter</t>
  </si>
  <si>
    <r>
      <t>cc(mg/m</t>
    </r>
    <r>
      <rPr>
        <sz val="11"/>
        <color theme="1"/>
        <rFont val="Calibri"/>
        <family val="2"/>
      </rPr>
      <t xml:space="preserve">³, ppm) = </t>
    </r>
    <r>
      <rPr>
        <sz val="11"/>
        <color theme="1"/>
        <rFont val="Calibri"/>
        <family val="2"/>
        <scheme val="minor"/>
      </rPr>
      <t>Conversion constant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ppm</t>
    </r>
  </si>
  <si>
    <r>
      <t xml:space="preserve">Formeln S. 108 nicht korrekt: Gl A1-2, Gl A1-3. Die korrekten Formeln für </t>
    </r>
    <r>
      <rPr>
        <b/>
        <sz val="11"/>
        <color theme="1"/>
        <rFont val="Calibri"/>
        <family val="2"/>
        <scheme val="minor"/>
      </rPr>
      <t>fHS⁻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>fS²⁻</t>
    </r>
    <r>
      <rPr>
        <sz val="11"/>
        <color theme="1"/>
        <rFont val="Calibri"/>
        <family val="2"/>
        <scheme val="minor"/>
      </rPr>
      <t xml:space="preserve"> können hier gefunden werden, Seite 33:</t>
    </r>
  </si>
  <si>
    <t xml:space="preserve">Total sulphur contained in biogas reactor per day [g/day] (β = 1) </t>
  </si>
  <si>
    <t>Total M(H2S(gas)) per day [g/day]</t>
  </si>
  <si>
    <r>
      <t xml:space="preserve">     = β * M</t>
    </r>
    <r>
      <rPr>
        <vertAlign val="subscript"/>
        <sz val="11"/>
        <rFont val="Calibri"/>
        <family val="2"/>
        <scheme val="minor"/>
      </rPr>
      <t>Fe</t>
    </r>
    <r>
      <rPr>
        <sz val="11"/>
        <rFont val="Calibri"/>
        <family val="2"/>
        <scheme val="minor"/>
      </rPr>
      <t xml:space="preserve"> / </t>
    </r>
    <r>
      <rPr>
        <vertAlign val="subscript"/>
        <sz val="11"/>
        <rFont val="Calibri"/>
        <family val="2"/>
        <scheme val="minor"/>
      </rPr>
      <t>MH2S</t>
    </r>
    <r>
      <rPr>
        <sz val="11"/>
        <rFont val="Calibri"/>
        <family val="2"/>
        <scheme val="minor"/>
      </rPr>
      <t xml:space="preserve"> * (H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S(aq-ges) * V</t>
    </r>
    <r>
      <rPr>
        <vertAlign val="subscript"/>
        <sz val="11"/>
        <rFont val="Calibri"/>
        <family val="2"/>
        <scheme val="minor"/>
      </rPr>
      <t>Substrate</t>
    </r>
    <r>
      <rPr>
        <sz val="11"/>
        <rFont val="Calibri"/>
        <family val="2"/>
        <scheme val="minor"/>
      </rPr>
      <t xml:space="preserve"> + ΔH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S(g) / 1000 / cc(mg/m³, ppm) * M</t>
    </r>
    <r>
      <rPr>
        <vertAlign val="subscript"/>
        <sz val="11"/>
        <rFont val="Calibri"/>
        <family val="2"/>
        <scheme val="minor"/>
      </rPr>
      <t>H2S</t>
    </r>
    <r>
      <rPr>
        <sz val="11"/>
        <rFont val="Calibri"/>
        <family val="2"/>
        <scheme val="minor"/>
      </rPr>
      <t xml:space="preserve"> * V</t>
    </r>
    <r>
      <rPr>
        <vertAlign val="subscript"/>
        <sz val="11"/>
        <rFont val="Calibri"/>
        <family val="2"/>
        <scheme val="minor"/>
      </rPr>
      <t>Biogas</t>
    </r>
    <r>
      <rPr>
        <sz val="11"/>
        <rFont val="Calibri"/>
        <family val="2"/>
        <scheme val="minor"/>
      </rPr>
      <t>)     (See formula A2)</t>
    </r>
  </si>
  <si>
    <t>Calculation only with M(H2S(gas)) in Biogas</t>
  </si>
  <si>
    <r>
      <t>Fe = iron ions  (β * MFe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M(H2S(gas)) [g/day]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</si>
  <si>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;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</si>
  <si>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: fS²⁻ =  Ks1 * Ks2 / (H⁺)²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</si>
  <si>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>Mass(H₂S(gas)) = H₂S / 1000 / 24.45 * MH₂S * V</t>
    </r>
    <r>
      <rPr>
        <b/>
        <vertAlign val="subscript"/>
        <sz val="11"/>
        <color theme="1"/>
        <rFont val="Calibri"/>
        <family val="2"/>
        <scheme val="minor"/>
      </rPr>
      <t>Biogas</t>
    </r>
    <r>
      <rPr>
        <b/>
        <sz val="11"/>
        <color theme="1"/>
        <rFont val="Calibri"/>
        <family val="2"/>
        <scheme val="minor"/>
      </rPr>
      <t xml:space="preserve"> [g/day]</t>
    </r>
  </si>
  <si>
    <r>
      <t>Mass(H₂S(ag-ges)) = H₂S(aq-ges) * V</t>
    </r>
    <r>
      <rPr>
        <b/>
        <vertAlign val="subscript"/>
        <sz val="11"/>
        <color theme="1"/>
        <rFont val="Calibri"/>
        <family val="2"/>
        <scheme val="minor"/>
      </rPr>
      <t>Substrate</t>
    </r>
    <r>
      <rPr>
        <b/>
        <sz val="11"/>
        <color theme="1"/>
        <rFont val="Calibri"/>
        <family val="2"/>
        <scheme val="minor"/>
      </rPr>
      <t xml:space="preserve"> [g/day]</t>
    </r>
  </si>
  <si>
    <t>concentration [ppm] = 24.45 x concentration [mg/m3] ÷ molecular weight</t>
  </si>
  <si>
    <t>Selection concentration units</t>
  </si>
  <si>
    <t>[mg/m³]</t>
  </si>
  <si>
    <t>[ppm]</t>
  </si>
  <si>
    <t xml:space="preserve"> </t>
  </si>
  <si>
    <t>Daily required additive dosage in [kg/day]</t>
  </si>
  <si>
    <t>[kg/l]</t>
  </si>
  <si>
    <t>[lb/gal]</t>
  </si>
  <si>
    <t>liquid_dens</t>
  </si>
  <si>
    <t>Daily additive dosage in</t>
  </si>
  <si>
    <r>
      <t>Price</t>
    </r>
    <r>
      <rPr>
        <sz val="11"/>
        <color theme="1"/>
        <rFont val="Calibri"/>
        <family val="2"/>
        <scheme val="minor"/>
      </rPr>
      <t xml:space="preserve"> of your additive per</t>
    </r>
  </si>
  <si>
    <t>Daily costs for the use of the additives [/day]</t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</si>
  <si>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Content of the iron compound in dry matter (DM); At least one of the yellow cells must contain a value greater than 0</t>
    </r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</si>
  <si>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Data according to analysis in Nov. 2021</t>
    </r>
  </si>
  <si>
    <t>→</t>
  </si>
  <si>
    <t>←</t>
  </si>
  <si>
    <t>↔</t>
  </si>
  <si>
    <t>Volume of daily added substrate x Total content of sulfide in the reactor liquid in [g/day]</t>
  </si>
  <si>
    <t>Daily additive dosage for your reactor in [kg/day]</t>
  </si>
  <si>
    <t>Mass of hydrogen sulfide contained in the biogas in [g/day]</t>
  </si>
  <si>
    <t>◦  Temperature of reactor liquid in [°C]</t>
  </si>
  <si>
    <t>◦  Acidity (pH) of reactor liquid</t>
  </si>
  <si>
    <r>
      <rPr>
        <b/>
        <sz val="11"/>
        <color theme="1" tint="0.34998626667073579"/>
        <rFont val="Calibri"/>
        <family val="2"/>
        <scheme val="minor"/>
      </rP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system</t>
    </r>
  </si>
  <si>
    <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unit</t>
    </r>
  </si>
  <si>
    <t>RIIM * β [g/d]</t>
  </si>
  <si>
    <r>
      <t xml:space="preserve">RIIM =  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(H2S(aq-ges) * V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+ ΔH2S(g) / 1000 / cc *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V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>) [g/day]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</si>
  <si>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Factor β &gt; 1 recommended, as a high iron ion content also uses up ions for the precipitation of phosphates and carbonates.</t>
    </r>
  </si>
  <si>
    <t>optional</t>
  </si>
  <si>
    <t>•  It also means, that mass and volume of the additive are potentially smaller → Lower costs for transport and storage</t>
  </si>
  <si>
    <t>Conclusion:</t>
  </si>
  <si>
    <r>
      <t xml:space="preserve">To learn more about the </t>
    </r>
    <r>
      <rPr>
        <i/>
        <sz val="11"/>
        <color theme="1"/>
        <rFont val="Calibri"/>
        <family val="2"/>
        <scheme val="minor"/>
      </rPr>
      <t>metric RIIC</t>
    </r>
    <r>
      <rPr>
        <sz val="11"/>
        <color theme="1"/>
        <rFont val="Calibri"/>
        <family val="2"/>
        <scheme val="minor"/>
      </rPr>
      <t xml:space="preserve"> we would like to refer you to our web page at SwissBiogas.com, section </t>
    </r>
    <r>
      <rPr>
        <i/>
        <sz val="11"/>
        <color theme="1"/>
        <rFont val="Calibri"/>
        <family val="2"/>
        <scheme val="minor"/>
      </rPr>
      <t>Introduction of the</t>
    </r>
  </si>
  <si>
    <t>Reactive Iron Ion Content (RIIC).</t>
  </si>
  <si>
    <r>
      <t>β</t>
    </r>
    <r>
      <rPr>
        <vertAlign val="superscript"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>: Overdose factor for the additive dosage, empirical value.    Ries: 1.7 ≤ β ≤ 2.3    Oechsner: 3 ≤ β ≤ 5</t>
    </r>
  </si>
  <si>
    <t>Your System of measurement:</t>
  </si>
  <si>
    <r>
      <t xml:space="preserve">Unit converter: </t>
    </r>
    <r>
      <rPr>
        <i/>
        <sz val="11"/>
        <color theme="1"/>
        <rFont val="Calibri"/>
        <family val="2"/>
        <scheme val="minor"/>
      </rPr>
      <t>H₂S(gas) content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</si>
  <si>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Density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</si>
  <si>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Mass</t>
    </r>
  </si>
  <si>
    <t>Unit converter: Volume</t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</si>
  <si>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  <r>
      <rPr>
        <sz val="11"/>
        <color theme="1"/>
        <rFont val="Calibri"/>
        <family val="2"/>
        <scheme val="minor"/>
      </rPr>
      <t xml:space="preserve"> = Molar mass H₂S = 34.08 g/mol</t>
    </r>
  </si>
  <si>
    <t>Alternative</t>
  </si>
  <si>
    <t>Remark</t>
  </si>
  <si>
    <t>Additive dosage calculator information</t>
  </si>
  <si>
    <t>Basis:</t>
  </si>
  <si>
    <t>Abschlussbericht der Technischen Universität Dresden, Fakultät Maschinenbau, Institut für Verfahrenstechnik, Lehrstuhl für Thermische Verfahrenstechnik und Umwelttechnik.</t>
  </si>
  <si>
    <t>Source in German:</t>
  </si>
  <si>
    <t>https://tu-dresden.de/ing/maschinenwesen/ifvu/ressourcen/dateien/tvu/forschungsprojekte/forschung_alt/entschwefelungsverfahren/bge_in_landw_anlagen.pdf?lang=en</t>
  </si>
  <si>
    <t>[1] Polster &amp; Brummack (2006): Page 26</t>
  </si>
  <si>
    <t>[1] Polster &amp; Brummack (2006): Page 109</t>
  </si>
  <si>
    <t>https://teesing.com/en/library/tools/ppm-mg3-converter</t>
  </si>
  <si>
    <r>
      <rPr>
        <sz val="11"/>
        <rFont val="Calibri"/>
        <family val="2"/>
        <scheme val="minor"/>
      </rPr>
      <t xml:space="preserve">Source: </t>
    </r>
    <r>
      <rPr>
        <u/>
        <sz val="11"/>
        <color rgb="FF0000EE"/>
        <rFont val="Calibri"/>
        <family val="2"/>
        <scheme val="minor"/>
      </rPr>
      <t>https://swissbiogas.com/</t>
    </r>
    <r>
      <rPr>
        <sz val="11"/>
        <rFont val="Calibri"/>
        <family val="2"/>
        <scheme val="minor"/>
      </rPr>
      <t xml:space="preserve"> Resources - Download Area: </t>
    </r>
    <r>
      <rPr>
        <i/>
        <sz val="11"/>
        <rFont val="Calibri"/>
        <family val="2"/>
        <scheme val="minor"/>
      </rPr>
      <t>RIIC_calculator_web</t>
    </r>
  </si>
  <si>
    <t>https://en.wikipedia.org/wiki/Gallon</t>
  </si>
  <si>
    <t>https://en.wikipedia.org/wiki/Ton</t>
  </si>
  <si>
    <t>https://en.wikipedia.org/wiki/Hydrogen_sulfide</t>
  </si>
  <si>
    <t>Ries, T. (1993): Reduzierung der Schwefelwasserstoffbildung im Faulraum durch Zugabe von Eisenchlorid. Schriftenreihe der Siedlungswasserwirtschaft Bochum, Nr. 25.</t>
  </si>
  <si>
    <t>Ries: 1.7 ≤ β ≤ 2.3</t>
  </si>
  <si>
    <t>Oechsner: 3 ≤ β ≤ 5</t>
  </si>
  <si>
    <t>Oechsner, H. (2000): Biogas in Blockheizkraftwerken. Landesanstalt für Landwirtschaftliches Maschinen- und Bauwesen der Universität Hohenheim, Stuttgart-Hohenheim.</t>
  </si>
  <si>
    <r>
      <t>ρ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Density H₂S = 1.363 g/l</t>
    </r>
  </si>
  <si>
    <t>Result A:</t>
  </si>
  <si>
    <t>Result B:</t>
  </si>
  <si>
    <t>Calculating your biogas reactor's daily required additive dosage</t>
  </si>
  <si>
    <t>For more technical details see sheet "Tools - Info"</t>
  </si>
  <si>
    <r>
      <t xml:space="preserve">Supported systems  of measurement:  </t>
    </r>
    <r>
      <rPr>
        <i/>
        <sz val="11"/>
        <color theme="1"/>
        <rFont val="Calibri"/>
        <family val="2"/>
        <scheme val="minor"/>
      </rPr>
      <t>International system of units (SI)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British Imperial system of units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United States customary units</t>
    </r>
  </si>
  <si>
    <t>My_Fe(OH)₃_Additive</t>
  </si>
  <si>
    <t>My_FeCl₃_Additive</t>
  </si>
  <si>
    <t>My_FeO(OH)_Additive</t>
  </si>
  <si>
    <t>International System of units (SI)</t>
  </si>
  <si>
    <t>◦  Total sulfide content (S²⁻ + HS⁻ + H₂S) in reactor liquid in [g/m³]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</si>
  <si>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</si>
  <si>
    <t>= Molar mass iron (55.845 g/mol)</t>
  </si>
  <si>
    <t>= Molar mass hydrogen sulfide (34.08 g/mol)</t>
  </si>
  <si>
    <t>β</t>
  </si>
  <si>
    <t>H₂S(aq)</t>
  </si>
  <si>
    <t>= H₂S content dissolved in liquid [g/m³]</t>
  </si>
  <si>
    <t>fH₂S(aq)</t>
  </si>
  <si>
    <t>ΔH₂S(g)</t>
  </si>
  <si>
    <t>= H₂S content in biogas [ppm]</t>
  </si>
  <si>
    <t>= Daily added substrate volume [m³/day]</t>
  </si>
  <si>
    <t>= Daily produced biogas volume [m³/day]</t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</si>
  <si>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</si>
  <si>
    <t>Original formula:</t>
  </si>
  <si>
    <t>Basis formula used to calculate H₂S(aq-ges):</t>
  </si>
  <si>
    <t>Overdose factor β:</t>
  </si>
  <si>
    <r>
      <t>◦  Volume of d</t>
    </r>
    <r>
      <rPr>
        <sz val="11"/>
        <color theme="1"/>
        <rFont val="Calibri"/>
        <family val="2"/>
        <scheme val="minor"/>
      </rPr>
      <t>aily added substrate in [m³/day]</t>
    </r>
  </si>
  <si>
    <t>Converters</t>
  </si>
  <si>
    <t>Selection volume units</t>
  </si>
  <si>
    <t>[m³/day]</t>
  </si>
  <si>
    <t>[Imp gal/day]</t>
  </si>
  <si>
    <t>[US gal/day]</t>
  </si>
  <si>
    <t>[lb/Imp gal]</t>
  </si>
  <si>
    <t>[lb/US gal]</t>
  </si>
  <si>
    <t/>
  </si>
  <si>
    <t>Iron(II) oxide</t>
  </si>
  <si>
    <t>Iron(III) oxide</t>
  </si>
  <si>
    <t>Iron(III) chloride</t>
  </si>
  <si>
    <t>Iron(III) oxide-hydroxide</t>
  </si>
  <si>
    <t>•  Reactive Iron Ions (RII) bind the sulfur contained in substrates</t>
  </si>
  <si>
    <r>
      <t xml:space="preserve">     = Concentration of dissolved sulfur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</si>
  <si>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>V̇</t>
    </r>
    <r>
      <rPr>
        <vertAlign val="subscript"/>
        <sz val="11"/>
        <color theme="1"/>
        <rFont val="Calibri"/>
        <family val="2"/>
        <scheme val="minor"/>
      </rPr>
      <t>Substrate</t>
    </r>
  </si>
  <si>
    <r>
      <t>V̇</t>
    </r>
    <r>
      <rPr>
        <vertAlign val="subscript"/>
        <sz val="11"/>
        <color theme="1"/>
        <rFont val="Calibri"/>
        <family val="2"/>
        <scheme val="minor"/>
      </rPr>
      <t>Biogas</t>
    </r>
  </si>
  <si>
    <t xml:space="preserve">    → H₂S(aq-ges) = H₂S(aq) / fH₂S(aq) [g/m³]  |  H₂S(aq-ges) = S²⁻ + HS⁻ + H₂S(aq)  |  1 = fS²⁻ + fHS⁻ + fH₂S(aq)</t>
  </si>
  <si>
    <t>Formula used for standard calculation without taking</t>
  </si>
  <si>
    <t>into account the sulfur content in the liquid:</t>
  </si>
  <si>
    <t>Modified formula used by SwissBiogas.com:</t>
  </si>
  <si>
    <t>= Total required reactive iron ion mass (= RIIM) [g/day]</t>
  </si>
  <si>
    <t>Content ᴬ [%]</t>
  </si>
  <si>
    <t>Content ᴮ [%]</t>
  </si>
  <si>
    <t>β ᴬ: Overdose factor for the additive dosage, empirical value.    Ries: 1.7 ≤ β ≤ 2.3    Oechsner: 3 ≤ β ≤ 5</t>
  </si>
  <si>
    <t>ᴬ Factor β &gt; 1 recommended, as a high iron ion content leads to additional iron ions being used up for precipitation of phosphates and carbonates.</t>
  </si>
  <si>
    <t>ᴬ Content of the iron compound in dry matter (DM); At least one of the yellow cells must contain a value greater than 0</t>
  </si>
  <si>
    <t>ᴮ Data according to analysis in Nov. 2021</t>
  </si>
  <si>
    <t>Price of your additive per</t>
  </si>
  <si>
    <t>◦  Volume of daily added substrate in [m³/day]</t>
  </si>
  <si>
    <r>
      <t>cc(mg/m³, ppm) = Conversion constant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→ ppm</t>
    </r>
  </si>
  <si>
    <r>
      <t>Mass(H₂S(gas))</t>
    </r>
    <r>
      <rPr>
        <sz val="11"/>
        <rFont val="Calibri"/>
        <family val="2"/>
        <scheme val="minor"/>
      </rPr>
      <t xml:space="preserve"> = H₂S / 1000 / 24.45 * MH₂S * V</t>
    </r>
    <r>
      <rPr>
        <vertAlign val="subscript"/>
        <sz val="11"/>
        <rFont val="Calibri"/>
        <family val="2"/>
        <scheme val="minor"/>
      </rPr>
      <t>Biogas</t>
    </r>
    <r>
      <rPr>
        <sz val="11"/>
        <rFont val="Calibri"/>
        <family val="2"/>
        <scheme val="minor"/>
      </rPr>
      <t xml:space="preserve"> [g/day]</t>
    </r>
  </si>
  <si>
    <r>
      <t>Mass(H₂S(aq-ges))</t>
    </r>
    <r>
      <rPr>
        <sz val="11"/>
        <rFont val="Calibri"/>
        <family val="2"/>
        <scheme val="minor"/>
      </rPr>
      <t xml:space="preserve"> = H₂S(aq-ges) * V</t>
    </r>
    <r>
      <rPr>
        <vertAlign val="subscript"/>
        <sz val="11"/>
        <rFont val="Calibri"/>
        <family val="2"/>
        <scheme val="minor"/>
      </rPr>
      <t>Substrate</t>
    </r>
    <r>
      <rPr>
        <sz val="11"/>
        <rFont val="Calibri"/>
        <family val="2"/>
        <scheme val="minor"/>
      </rPr>
      <t xml:space="preserve"> [g/day]</t>
    </r>
  </si>
  <si>
    <t>Factor</t>
  </si>
  <si>
    <r>
      <rPr>
        <b/>
        <sz val="11"/>
        <color theme="1"/>
        <rFont val="Calibri"/>
        <family val="2"/>
        <scheme val="minor"/>
      </rPr>
      <t>H2S(aq) / fH2S(aq) = H2S(aq-ges)</t>
    </r>
    <r>
      <rPr>
        <sz val="11"/>
        <color theme="1"/>
        <rFont val="Calibri"/>
        <family val="2"/>
        <scheme val="minor"/>
      </rPr>
      <t xml:space="preserve"> = H2S(aq) + HS- + S2-</t>
    </r>
  </si>
  <si>
    <r>
      <t xml:space="preserve">     = e((ln(H2S(g)) - 6.42) / 0.78) / fH2S(aq)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</si>
  <si>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DA2C43"/>
        <rFont val="Calibri"/>
        <family val="2"/>
        <scheme val="minor"/>
      </rPr>
      <t>wrong</t>
    </r>
    <r>
      <rPr>
        <sz val="11"/>
        <color theme="1"/>
        <rFont val="Calibri"/>
        <family val="2"/>
        <scheme val="minor"/>
      </rPr>
      <t xml:space="preserve"> → fS²⁻ =  Ks1 * Ks2 / (H⁺)² * </t>
    </r>
    <r>
      <rPr>
        <b/>
        <sz val="11"/>
        <color rgb="FFDA2C43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</si>
  <si>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DA2C43"/>
        <rFont val="Calibri"/>
        <family val="2"/>
        <scheme val="minor"/>
      </rPr>
      <t>wrong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DA2C43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</si>
  <si>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t># of Fe³⁺/mol</t>
  </si>
  <si>
    <r>
      <t># of Fe²</t>
    </r>
    <r>
      <rPr>
        <sz val="11"/>
        <color theme="1"/>
        <rFont val="Calibri"/>
        <family val="2"/>
      </rPr>
      <t>⁺</t>
    </r>
    <r>
      <rPr>
        <sz val="11"/>
        <color theme="1"/>
        <rFont val="Calibri"/>
        <family val="2"/>
        <scheme val="minor"/>
      </rPr>
      <t>/mol</t>
    </r>
  </si>
  <si>
    <t>Molar mass M [g/mol]</t>
  </si>
  <si>
    <t>Std. atomic mass M [g/mol]</t>
  </si>
  <si>
    <t>Your additive's name (optional):</t>
  </si>
  <si>
    <t>Your system of measurement:</t>
  </si>
  <si>
    <t>ppm = parts per million</t>
  </si>
  <si>
    <r>
      <t>value [ppm] = mass [mg] / volume [m³] * 24.45 / M</t>
    </r>
    <r>
      <rPr>
        <vertAlign val="subscript"/>
        <sz val="11"/>
        <color theme="1"/>
        <rFont val="Calibri"/>
        <family val="2"/>
        <scheme val="minor"/>
      </rPr>
      <t>H₂S</t>
    </r>
  </si>
  <si>
    <r>
      <t>value [ppm] = mass [mg] / volume [m³] / ρ</t>
    </r>
    <r>
      <rPr>
        <vertAlign val="subscript"/>
        <sz val="11"/>
        <color theme="1"/>
        <rFont val="Calibri"/>
        <family val="2"/>
        <scheme val="minor"/>
      </rPr>
      <t>H₂S</t>
    </r>
  </si>
  <si>
    <t xml:space="preserve"> [Kilogram; kg]</t>
  </si>
  <si>
    <t>[Pound; lb]</t>
  </si>
  <si>
    <t>[Imperial ton; t]</t>
  </si>
  <si>
    <t>[US short ton; t]</t>
  </si>
  <si>
    <t>[Metric ton; t]</t>
  </si>
  <si>
    <t>[Litre; l]</t>
  </si>
  <si>
    <t>[Imp gallon; gal]</t>
  </si>
  <si>
    <t>[US gallon; gal]</t>
  </si>
  <si>
    <t>[Cubic metre; m³]</t>
  </si>
  <si>
    <t>[Kilogram; kg]</t>
  </si>
  <si>
    <t>1 Pound (lb) =</t>
  </si>
  <si>
    <t>1 US short ton (t) =</t>
  </si>
  <si>
    <t>1 Imp gallon (gal) =</t>
  </si>
  <si>
    <t>1 US gallon (gal) =</t>
  </si>
  <si>
    <t>Formula used</t>
  </si>
  <si>
    <t>1 Imperial ton (t) =</t>
  </si>
  <si>
    <t>= Overdose factor. For recommended value ranges and references see "Overdose factor β" below</t>
  </si>
  <si>
    <t>Comparison of daily costs for additives [/day]</t>
  </si>
  <si>
    <t>Comparison of the daily dosage of additives in [kg/day]</t>
  </si>
  <si>
    <r>
      <t>(Total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) * Moist.</t>
    </r>
  </si>
  <si>
    <t>- Moisture [%]</t>
  </si>
  <si>
    <t>◦  Total sulfide content (S²⁻ + HS⁻ + H₂S) in reactor liquid in [g/m³] , if data is available</t>
  </si>
  <si>
    <t>day</t>
  </si>
  <si>
    <t>sum_%</t>
  </si>
  <si>
    <t>Example:</t>
  </si>
  <si>
    <t>Standard</t>
  </si>
  <si>
    <t>= H₂S(aq) percentage of total sulfur content H₂S(aq-ges) dissolved in liquid [%]</t>
  </si>
  <si>
    <t>%</t>
  </si>
  <si>
    <t>diff_sum_vol</t>
  </si>
  <si>
    <t>%_diff_sum_vol</t>
  </si>
  <si>
    <t>Introduction of the Optimal Retention Duration Calculator.</t>
  </si>
  <si>
    <r>
      <t xml:space="preserve">The RIIC calculator concludes absolut correctly, that 90 kg of the Standard additive can be replaced with 55 kg of SBGx to precipitate </t>
    </r>
    <r>
      <rPr>
        <b/>
        <sz val="11"/>
        <color theme="1"/>
        <rFont val="Calibri"/>
        <family val="2"/>
        <scheme val="minor"/>
      </rPr>
      <t>19.86 kg of H₂S</t>
    </r>
  </si>
  <si>
    <t xml:space="preserve">  Only relevant, if retention duration in reactor is shortened</t>
  </si>
  <si>
    <t>H₂S removal rate of RAW biogas with Standard additive [%]</t>
  </si>
  <si>
    <t>Remaining H₂S content in biogas with Standard additive [ppm]</t>
  </si>
  <si>
    <t>After 40 days both experiments are terminated as the daily gains in gas volumes become negligible.</t>
  </si>
  <si>
    <t>Performance advantage of SBGx</t>
  </si>
  <si>
    <r>
      <t xml:space="preserve">Using the </t>
    </r>
    <r>
      <rPr>
        <b/>
        <sz val="11"/>
        <color theme="1"/>
        <rFont val="Calibri"/>
        <family val="2"/>
        <scheme val="minor"/>
      </rPr>
      <t>Standard</t>
    </r>
    <r>
      <rPr>
        <sz val="11"/>
        <color theme="1"/>
        <rFont val="Calibri"/>
        <family val="2"/>
        <scheme val="minor"/>
      </rPr>
      <t xml:space="preserve"> additive, the previous daily production was: 10,000 m³ of biogas, 1'500 ppm H₂S content in the raw, untreated biogas -&gt; </t>
    </r>
    <r>
      <rPr>
        <b/>
        <sz val="11"/>
        <color theme="1"/>
        <rFont val="Calibri"/>
        <family val="2"/>
        <scheme val="minor"/>
      </rPr>
      <t>Production of 20.91 kg of H₂S</t>
    </r>
  </si>
  <si>
    <r>
      <t xml:space="preserve">With 55 kg of SBGx, </t>
    </r>
    <r>
      <rPr>
        <b/>
        <sz val="11"/>
        <color theme="1"/>
        <rFont val="Calibri"/>
        <family val="2"/>
        <scheme val="minor"/>
      </rPr>
      <t>19.86 kg of H₂S</t>
    </r>
    <r>
      <rPr>
        <sz val="11"/>
        <color theme="1"/>
        <rFont val="Calibri"/>
        <family val="2"/>
        <scheme val="minor"/>
      </rPr>
      <t xml:space="preserve"> are precipitated, the exact same amount as with 90 kg of the Standard additive.</t>
    </r>
  </si>
  <si>
    <t>Underdosage consequence: H₂S content increase when neglecting increased gas and H₂S production</t>
  </si>
  <si>
    <t>RD with SBGx [day]</t>
  </si>
  <si>
    <t>¹ RD: Retention duration</t>
  </si>
  <si>
    <t>Expert tool: SBGx dosage adjustment - Increased biogas volume or shortened retention duration require increased SBGx dosage</t>
  </si>
  <si>
    <t>The higher H₂S content in the biogas is not due to a sudden lack of SBGx's precipitation strength, but to a 10% underdosing, caused by the increased gas and H₂S production.</t>
  </si>
  <si>
    <t>Input: Percentage of the biogas volume to be recovered. 100% means the total amount of biogas produced</t>
  </si>
  <si>
    <r>
      <t>With 90 kg of the Standard additive, 95% of the H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 xml:space="preserve">S accumulation could be precipitated -&gt; </t>
    </r>
    <r>
      <rPr>
        <b/>
        <sz val="11"/>
        <color theme="1"/>
        <rFont val="Calibri"/>
        <family val="2"/>
        <scheme val="minor"/>
      </rPr>
      <t>95% of 20.91 kg = 19.86 kg</t>
    </r>
    <r>
      <rPr>
        <sz val="11"/>
        <color theme="1"/>
        <rFont val="Calibri"/>
        <family val="2"/>
        <scheme val="minor"/>
      </rPr>
      <t xml:space="preserve"> -&gt; 1.05 kg of H₂S remained in 10,000 m³ gas -&gt; </t>
    </r>
    <r>
      <rPr>
        <b/>
        <u/>
        <sz val="11"/>
        <color theme="1"/>
        <rFont val="Calibri"/>
        <family val="2"/>
        <scheme val="minor"/>
      </rPr>
      <t>75 ppm H₂S content in the biogas</t>
    </r>
    <r>
      <rPr>
        <sz val="11"/>
        <color theme="1"/>
        <rFont val="Calibri"/>
        <family val="2"/>
        <scheme val="minor"/>
      </rPr>
      <t xml:space="preserve"> (75 ppm = 105 mg/m³)</t>
    </r>
  </si>
  <si>
    <r>
      <t xml:space="preserve">The challenge: Using SBGx, the H₂S accumulation is now </t>
    </r>
    <r>
      <rPr>
        <b/>
        <sz val="11"/>
        <color theme="1"/>
        <rFont val="Calibri"/>
        <family val="2"/>
        <scheme val="minor"/>
      </rPr>
      <t>23.00 kg (+10%) instead of 20.91 kg</t>
    </r>
    <r>
      <rPr>
        <sz val="11"/>
        <color theme="1"/>
        <rFont val="Calibri"/>
        <family val="2"/>
        <scheme val="minor"/>
      </rPr>
      <t xml:space="preserve"> of which only 19.86 kg  are precipitated -&gt; 3.14 kg H₂S remain in 11,000 m³ gas -&gt; </t>
    </r>
    <r>
      <rPr>
        <b/>
        <u/>
        <sz val="11"/>
        <color theme="1"/>
        <rFont val="Calibri"/>
        <family val="2"/>
        <scheme val="minor"/>
      </rPr>
      <t>204.5 ppm H₂S content in the biogas</t>
    </r>
    <r>
      <rPr>
        <sz val="11"/>
        <color theme="1"/>
        <rFont val="Calibri"/>
        <family val="2"/>
        <scheme val="minor"/>
      </rPr>
      <t xml:space="preserve"> (204.5 ppm = 285 mg/m³)</t>
    </r>
  </si>
  <si>
    <t>Standard ret. end</t>
  </si>
  <si>
    <t>SBGx ret. end</t>
  </si>
  <si>
    <t>SBGx vol. accum.</t>
  </si>
  <si>
    <t>Standard vol. accum.</t>
  </si>
  <si>
    <t>SBGx vol./day</t>
  </si>
  <si>
    <t>Standard vol./day</t>
  </si>
  <si>
    <t>TGP recovery rate at least [%]</t>
  </si>
  <si>
    <t>TGP recovery rate achieved on day</t>
  </si>
  <si>
    <t>Exact TGP recovery rate achieved</t>
  </si>
  <si>
    <t>orig_curve_1</t>
  </si>
  <si>
    <t>orig_curve_2</t>
  </si>
  <si>
    <t>SBGx advantage [%]</t>
  </si>
  <si>
    <t>Since the use of SBGx almost certainly leads to an immediate increase in biogas volume, it also automatically leads to an increased production of hydrogen sulphide.</t>
  </si>
  <si>
    <r>
      <rPr>
        <sz val="11"/>
        <color theme="1"/>
        <rFont val="Calibri"/>
        <family val="2"/>
        <scheme val="minor"/>
      </rPr>
      <t xml:space="preserve">This has the not so obvious consequence of: </t>
    </r>
    <r>
      <rPr>
        <b/>
        <sz val="11"/>
        <color theme="1"/>
        <rFont val="Calibri"/>
        <family val="2"/>
        <scheme val="minor"/>
      </rPr>
      <t>Underdosing of SBGx</t>
    </r>
  </si>
  <si>
    <r>
      <t xml:space="preserve">The question is: </t>
    </r>
    <r>
      <rPr>
        <i/>
        <sz val="11"/>
        <color theme="1"/>
        <rFont val="Calibri"/>
        <family val="2"/>
        <scheme val="minor"/>
      </rPr>
      <t>What does "too long" mean for the retention duration?</t>
    </r>
    <r>
      <rPr>
        <sz val="11"/>
        <color theme="1"/>
        <rFont val="Calibri"/>
        <family val="2"/>
        <scheme val="minor"/>
      </rPr>
      <t xml:space="preserve"> A 100% gas recovery would result in a</t>
    </r>
  </si>
  <si>
    <t>40 day retention duration. We assume that an appropriate value for the recovery rate is between 93% and 98%.</t>
  </si>
  <si>
    <t>Remark:</t>
  </si>
  <si>
    <t>Increasing gas production or shortening the retention time is a challenge if the calculation of the necessary dosage for SBGx is solely based on the dosages of previous additives.</t>
  </si>
  <si>
    <r>
      <t xml:space="preserve">In this example, using </t>
    </r>
    <r>
      <rPr>
        <b/>
        <sz val="11"/>
        <color theme="1"/>
        <rFont val="Calibri"/>
        <family val="2"/>
        <scheme val="minor"/>
      </rPr>
      <t>SBGx</t>
    </r>
    <r>
      <rPr>
        <sz val="11"/>
        <color theme="1"/>
        <rFont val="Calibri"/>
        <family val="2"/>
        <scheme val="minor"/>
      </rPr>
      <t xml:space="preserve"> results in new daily production numbers: 11'000 m³ of biogas (</t>
    </r>
    <r>
      <rPr>
        <b/>
        <sz val="11"/>
        <color theme="1"/>
        <rFont val="Calibri"/>
        <family val="2"/>
        <scheme val="minor"/>
      </rPr>
      <t>+10%</t>
    </r>
    <r>
      <rPr>
        <sz val="11"/>
        <color theme="1"/>
        <rFont val="Calibri"/>
        <family val="2"/>
        <scheme val="minor"/>
      </rPr>
      <t xml:space="preserve">), 1'500 ppm H₂S content </t>
    </r>
    <r>
      <rPr>
        <b/>
        <sz val="11"/>
        <color theme="1"/>
        <rFont val="Calibri"/>
        <family val="2"/>
        <scheme val="minor"/>
      </rPr>
      <t>(unchanged)</t>
    </r>
    <r>
      <rPr>
        <sz val="11"/>
        <color theme="1"/>
        <rFont val="Calibri"/>
        <family val="2"/>
        <scheme val="minor"/>
      </rPr>
      <t xml:space="preserve"> in the raw, untreated biogas -&gt; </t>
    </r>
    <r>
      <rPr>
        <b/>
        <sz val="11"/>
        <color theme="1"/>
        <rFont val="Calibri"/>
        <family val="2"/>
        <scheme val="minor"/>
      </rPr>
      <t>Production of 23.00 kg of H₂S (+10%)</t>
    </r>
  </si>
  <si>
    <t xml:space="preserve">The final decision has to be made by the biogas plant operator, of course. </t>
  </si>
  <si>
    <t>It doesn't make economic sense to keep substrates in a reactor for too long, as this prevents the refilling</t>
  </si>
  <si>
    <t>of fresh substrate into the reactor.</t>
  </si>
  <si>
    <t>The shapes of the two curves, representing the gas production rates, suggest that the optimal retention</t>
  </si>
  <si>
    <t>duration of substrates in a reactor is much less than 40 days and also depends on the additives used.</t>
  </si>
  <si>
    <r>
      <t xml:space="preserve">with the respective additives within the 40-day period: </t>
    </r>
    <r>
      <rPr>
        <b/>
        <sz val="11"/>
        <color theme="1"/>
        <rFont val="Calibri"/>
        <family val="2"/>
        <scheme val="minor"/>
      </rPr>
      <t>Total Gas Potential of an Additive = TGP(Additive)</t>
    </r>
    <r>
      <rPr>
        <sz val="11"/>
        <color theme="1"/>
        <rFont val="Calibri"/>
        <family val="2"/>
        <scheme val="minor"/>
      </rPr>
      <t>.</t>
    </r>
  </si>
  <si>
    <t>First day with daily gas incr. below [%]</t>
  </si>
  <si>
    <t>Alternatively:</t>
  </si>
  <si>
    <t>A new example to illustrate the reason for underdosing of SBGx:</t>
  </si>
  <si>
    <t>sbgx_vol_lbl</t>
  </si>
  <si>
    <t>std_vol_lbl</t>
  </si>
  <si>
    <t>The following tool allows calculating the "sudden too high H₂S content" effect due to underdosing caused by a volume increase in the biogas production and, as a consequece, a production increase of the H₂S amount:</t>
  </si>
  <si>
    <t>sbgx_vol_acc_lbl</t>
  </si>
  <si>
    <t>Total new H₂S content: Volume increase + RD shortening [ppm]</t>
  </si>
  <si>
    <t>RD with Standard additive [day]</t>
  </si>
  <si>
    <t>Gas vol. increase w/o RD ¹ change [%]</t>
  </si>
  <si>
    <r>
      <t>SBGx vol. accum. [m</t>
    </r>
    <r>
      <rPr>
        <sz val="11"/>
        <color theme="1"/>
        <rFont val="Calibri"/>
        <family val="2"/>
      </rPr>
      <t>³]</t>
    </r>
  </si>
  <si>
    <t>= IF(ISBLANK(D84), 1304 / 8696 * 100, D84)</t>
  </si>
  <si>
    <t>= IF(ISBLANK(C84), 10000, C84)</t>
  </si>
  <si>
    <t>Rec.: Increase of SBGx dosage by [%]</t>
  </si>
  <si>
    <t>Rec.: Decrease of substrate by [%]</t>
  </si>
  <si>
    <t>or, alternatively the short-term solution:</t>
  </si>
  <si>
    <r>
      <t>TGP(SBGx) [m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]</t>
    </r>
  </si>
  <si>
    <t>TGP recovery rate[%]</t>
  </si>
  <si>
    <t>Additional parameter settings, optional:</t>
  </si>
  <si>
    <t>In an experiment with additives (Standard, SBGx), the biogas produtions perform as shown in the graphs.</t>
  </si>
  <si>
    <t>TPG(SBGx) advantage [%]</t>
  </si>
  <si>
    <t xml:space="preserve">   [80, …, 100]   (blank = default = 95)</t>
  </si>
  <si>
    <t xml:space="preserve">   [1'000, …, 40'000]   (blank = default = 10'000)</t>
  </si>
  <si>
    <t xml:space="preserve">   [0.0, …, 100.0]   (blank = default = 15.0)</t>
  </si>
  <si>
    <t>Expert tool to compare and optimise the retention duration</t>
  </si>
  <si>
    <t>TGP(Standard) reached [day]</t>
  </si>
  <si>
    <t>chart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</si>
</sst>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0"/>
    <numFmt numFmtId="167" formatCode="#,##0.0000"/>
    <numFmt numFmtId="168" formatCode="0.0000"/>
  </numFmts>
  <fonts count="144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3257E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rgb="FF0000EE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name val="Calibri"/>
      <family val="2"/>
      <scheme val="minor"/>
    </font>
    <font>
      <sz val="11"/>
      <color theme="1"/>
      <name val="FreeSans"/>
      <family val="2"/>
    </font>
    <font>
      <b/>
      <i/>
      <sz val="9"/>
      <color theme="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color indexed="81"/>
      <name val="Calibri"/>
      <family val="2"/>
      <scheme val="minor"/>
    </font>
    <font>
      <b/>
      <i/>
      <sz val="11"/>
      <color indexed="81"/>
      <name val="Calibri"/>
      <family val="2"/>
      <scheme val="minor"/>
    </font>
    <font>
      <sz val="11"/>
      <color rgb="FFC00000"/>
      <name val="Calibri"/>
      <family val="2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DA2C4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B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rgb="FFE78587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0F0FF"/>
        <bgColor rgb="FFFFFBCC"/>
      </patternFill>
    </fill>
    <fill>
      <patternFill patternType="solid">
        <fgColor rgb="FFEEEEEE"/>
        <bgColor rgb="FFEEEEE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rgb="FFFFFF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95" fillId="0" borderId="0"/>
    <xf numFmtId="0" fontId="96" fillId="0" borderId="0"/>
    <xf numFmtId="0" fontId="93" fillId="7" borderId="0"/>
    <xf numFmtId="0" fontId="89" fillId="5" borderId="0"/>
    <xf numFmtId="0" fontId="98" fillId="8" borderId="0"/>
    <xf numFmtId="0" fontId="99" fillId="8" borderId="1"/>
    <xf numFmtId="0" fontId="87" fillId="0" borderId="0"/>
    <xf numFmtId="0" fontId="88" fillId="2" borderId="0"/>
    <xf numFmtId="0" fontId="88" fillId="3" borderId="0"/>
    <xf numFmtId="0" fontId="87" fillId="4" borderId="0"/>
    <xf numFmtId="0" fontId="90" fillId="6" borderId="0"/>
    <xf numFmtId="0" fontId="91" fillId="0" borderId="0"/>
    <xf numFmtId="0" fontId="92" fillId="0" borderId="0"/>
    <xf numFmtId="0" fontId="94" fillId="0" borderId="0"/>
    <xf numFmtId="0" fontId="97" fillId="0" borderId="0"/>
    <xf numFmtId="0" fontId="86" fillId="0" borderId="0"/>
    <xf numFmtId="0" fontId="86" fillId="0" borderId="0"/>
    <xf numFmtId="0" fontId="89" fillId="0" borderId="0"/>
    <xf numFmtId="9" fontId="86" fillId="0" borderId="0" applyFont="0" applyFill="0" applyBorder="0" applyAlignment="0" applyProtection="0"/>
  </cellStyleXfs>
  <cellXfs count="729">
    <xf numFmtId="0" fontId="0" fillId="0" borderId="0" xfId="0"/>
    <xf numFmtId="0" fontId="85" fillId="0" borderId="0" xfId="0" applyFont="1" applyProtection="1"/>
    <xf numFmtId="0" fontId="85" fillId="0" borderId="0" xfId="0" applyFont="1" applyAlignment="1" applyProtection="1">
      <alignment horizontal="right"/>
    </xf>
    <xf numFmtId="0" fontId="100" fillId="0" borderId="0" xfId="0" applyFont="1" applyAlignment="1" applyProtection="1">
      <alignment horizontal="right"/>
    </xf>
    <xf numFmtId="0" fontId="102" fillId="9" borderId="4" xfId="0" applyFont="1" applyFill="1" applyBorder="1" applyAlignment="1" applyProtection="1">
      <alignment horizontal="right"/>
    </xf>
    <xf numFmtId="0" fontId="102" fillId="12" borderId="4" xfId="0" applyFont="1" applyFill="1" applyBorder="1" applyAlignment="1" applyProtection="1">
      <alignment horizontal="right" wrapText="1"/>
    </xf>
    <xf numFmtId="0" fontId="85" fillId="9" borderId="5" xfId="0" applyFont="1" applyFill="1" applyBorder="1" applyProtection="1"/>
    <xf numFmtId="0" fontId="109" fillId="0" borderId="0" xfId="15" applyFont="1" applyAlignment="1" applyProtection="1">
      <alignment vertical="center"/>
    </xf>
    <xf numFmtId="0" fontId="100" fillId="0" borderId="0" xfId="0" applyFont="1" applyFill="1" applyBorder="1" applyAlignment="1" applyProtection="1"/>
    <xf numFmtId="0" fontId="115" fillId="0" borderId="0" xfId="0" applyFont="1" applyAlignment="1" applyProtection="1"/>
    <xf numFmtId="0" fontId="115" fillId="0" borderId="0" xfId="0" applyFont="1" applyProtection="1"/>
    <xf numFmtId="0" fontId="85" fillId="11" borderId="6" xfId="0" applyFont="1" applyFill="1" applyBorder="1" applyProtection="1">
      <protection locked="0"/>
    </xf>
    <xf numFmtId="0" fontId="83" fillId="9" borderId="3" xfId="0" applyFont="1" applyFill="1" applyBorder="1" applyAlignment="1" applyProtection="1">
      <alignment horizontal="right"/>
    </xf>
    <xf numFmtId="2" fontId="85" fillId="11" borderId="6" xfId="0" applyNumberFormat="1" applyFont="1" applyFill="1" applyBorder="1" applyProtection="1">
      <protection locked="0"/>
    </xf>
    <xf numFmtId="0" fontId="111" fillId="0" borderId="0" xfId="0" applyFont="1" applyFill="1" applyBorder="1" applyAlignment="1" applyProtection="1"/>
    <xf numFmtId="2" fontId="111" fillId="0" borderId="0" xfId="0" applyNumberFormat="1" applyFont="1" applyFill="1" applyBorder="1" applyAlignment="1" applyProtection="1"/>
    <xf numFmtId="0" fontId="117" fillId="0" borderId="0" xfId="0" applyFont="1" applyAlignment="1" applyProtection="1"/>
    <xf numFmtId="0" fontId="100" fillId="18" borderId="11" xfId="0" applyFont="1" applyFill="1" applyBorder="1" applyAlignment="1" applyProtection="1"/>
    <xf numFmtId="0" fontId="114" fillId="0" borderId="0" xfId="0" applyNumberFormat="1" applyFont="1" applyAlignment="1" applyProtection="1"/>
    <xf numFmtId="0" fontId="113" fillId="0" borderId="0" xfId="0" applyFont="1" applyFill="1" applyBorder="1" applyAlignment="1" applyProtection="1">
      <alignment horizontal="right"/>
    </xf>
    <xf numFmtId="2" fontId="116" fillId="0" borderId="0" xfId="0" applyNumberFormat="1" applyFont="1" applyFill="1" applyBorder="1" applyAlignment="1" applyProtection="1"/>
    <xf numFmtId="0" fontId="110" fillId="0" borderId="0" xfId="0" applyFont="1" applyFill="1" applyBorder="1" applyAlignment="1" applyProtection="1"/>
    <xf numFmtId="0" fontId="102" fillId="9" borderId="4" xfId="0" applyFont="1" applyFill="1" applyBorder="1" applyAlignment="1" applyProtection="1">
      <alignment horizontal="right" wrapText="1"/>
    </xf>
    <xf numFmtId="0" fontId="104" fillId="20" borderId="0" xfId="0" applyFont="1" applyFill="1" applyBorder="1" applyAlignment="1" applyProtection="1"/>
    <xf numFmtId="0" fontId="100" fillId="20" borderId="0" xfId="0" applyFont="1" applyFill="1" applyBorder="1" applyAlignment="1" applyProtection="1"/>
    <xf numFmtId="0" fontId="104" fillId="21" borderId="0" xfId="0" applyFont="1" applyFill="1" applyBorder="1" applyAlignment="1" applyProtection="1"/>
    <xf numFmtId="0" fontId="104" fillId="21" borderId="0" xfId="0" applyFont="1" applyFill="1" applyAlignment="1" applyProtection="1"/>
    <xf numFmtId="0" fontId="114" fillId="20" borderId="0" xfId="0" applyFont="1" applyFill="1" applyBorder="1" applyAlignment="1" applyProtection="1"/>
    <xf numFmtId="0" fontId="118" fillId="0" borderId="0" xfId="0" applyFont="1" applyFill="1" applyBorder="1" applyAlignment="1" applyProtection="1"/>
    <xf numFmtId="2" fontId="111" fillId="20" borderId="6" xfId="0" applyNumberFormat="1" applyFont="1" applyFill="1" applyBorder="1" applyAlignment="1" applyProtection="1"/>
    <xf numFmtId="2" fontId="111" fillId="9" borderId="11" xfId="0" applyNumberFormat="1" applyFont="1" applyFill="1" applyBorder="1" applyAlignment="1" applyProtection="1"/>
    <xf numFmtId="165" fontId="105" fillId="20" borderId="0" xfId="0" applyNumberFormat="1" applyFont="1" applyFill="1" applyBorder="1" applyAlignment="1" applyProtection="1"/>
    <xf numFmtId="0" fontId="111" fillId="0" borderId="0" xfId="0" applyFont="1" applyFill="1" applyBorder="1" applyAlignment="1" applyProtection="1">
      <alignment horizontal="right"/>
    </xf>
    <xf numFmtId="0" fontId="104" fillId="18" borderId="3" xfId="0" applyFont="1" applyFill="1" applyBorder="1" applyAlignment="1" applyProtection="1"/>
    <xf numFmtId="0" fontId="112" fillId="18" borderId="7" xfId="0" applyFont="1" applyFill="1" applyBorder="1" applyAlignment="1" applyProtection="1"/>
    <xf numFmtId="0" fontId="104" fillId="18" borderId="4" xfId="0" applyFont="1" applyFill="1" applyBorder="1" applyAlignment="1" applyProtection="1">
      <alignment horizontal="right"/>
    </xf>
    <xf numFmtId="0" fontId="112" fillId="18" borderId="4" xfId="0" applyFont="1" applyFill="1" applyBorder="1" applyAlignment="1" applyProtection="1">
      <alignment horizontal="right"/>
    </xf>
    <xf numFmtId="0" fontId="104" fillId="0" borderId="0" xfId="0" applyFont="1" applyAlignment="1" applyProtection="1"/>
    <xf numFmtId="0" fontId="104" fillId="18" borderId="3" xfId="0" applyFont="1" applyFill="1" applyBorder="1" applyAlignment="1" applyProtection="1">
      <alignment horizontal="right"/>
    </xf>
    <xf numFmtId="2" fontId="111" fillId="9" borderId="17" xfId="0" applyNumberFormat="1" applyFont="1" applyFill="1" applyBorder="1" applyAlignment="1" applyProtection="1"/>
    <xf numFmtId="0" fontId="104" fillId="19" borderId="18" xfId="0" applyFont="1" applyFill="1" applyBorder="1" applyProtection="1"/>
    <xf numFmtId="0" fontId="104" fillId="19" borderId="12" xfId="0" applyFont="1" applyFill="1" applyBorder="1" applyProtection="1"/>
    <xf numFmtId="0" fontId="100" fillId="19" borderId="15" xfId="0" applyFont="1" applyFill="1" applyBorder="1" applyAlignment="1" applyProtection="1">
      <alignment horizontal="left"/>
    </xf>
    <xf numFmtId="0" fontId="102" fillId="0" borderId="3" xfId="0" applyFont="1" applyBorder="1" applyProtection="1"/>
    <xf numFmtId="0" fontId="102" fillId="0" borderId="3" xfId="0" applyFont="1" applyFill="1" applyBorder="1" applyAlignment="1" applyProtection="1"/>
    <xf numFmtId="0" fontId="102" fillId="0" borderId="4" xfId="0" applyFont="1" applyFill="1" applyBorder="1" applyAlignment="1" applyProtection="1"/>
    <xf numFmtId="0" fontId="102" fillId="0" borderId="4" xfId="0" applyNumberFormat="1" applyFont="1" applyFill="1" applyBorder="1" applyAlignment="1" applyProtection="1"/>
    <xf numFmtId="0" fontId="100" fillId="0" borderId="4" xfId="0" applyFont="1" applyBorder="1" applyAlignment="1" applyProtection="1">
      <alignment horizontal="right"/>
    </xf>
    <xf numFmtId="0" fontId="110" fillId="0" borderId="0" xfId="0" applyFont="1" applyFill="1" applyBorder="1" applyAlignment="1" applyProtection="1">
      <alignment vertical="center"/>
    </xf>
    <xf numFmtId="0" fontId="110" fillId="0" borderId="0" xfId="0" applyFont="1" applyFill="1" applyBorder="1" applyAlignment="1" applyProtection="1">
      <alignment vertical="top"/>
    </xf>
    <xf numFmtId="0" fontId="100" fillId="20" borderId="5" xfId="0" applyFont="1" applyFill="1" applyBorder="1" applyAlignment="1" applyProtection="1"/>
    <xf numFmtId="2" fontId="100" fillId="20" borderId="6" xfId="0" applyNumberFormat="1" applyFont="1" applyFill="1" applyBorder="1" applyAlignment="1" applyProtection="1"/>
    <xf numFmtId="0" fontId="100" fillId="21" borderId="5" xfId="0" applyFont="1" applyFill="1" applyBorder="1" applyAlignment="1" applyProtection="1"/>
    <xf numFmtId="0" fontId="100" fillId="21" borderId="0" xfId="0" applyFont="1" applyFill="1" applyBorder="1" applyAlignment="1" applyProtection="1"/>
    <xf numFmtId="0" fontId="105" fillId="18" borderId="7" xfId="0" applyFont="1" applyFill="1" applyBorder="1" applyAlignment="1" applyProtection="1"/>
    <xf numFmtId="2" fontId="105" fillId="18" borderId="7" xfId="0" applyNumberFormat="1" applyFont="1" applyFill="1" applyBorder="1" applyAlignment="1" applyProtection="1"/>
    <xf numFmtId="0" fontId="111" fillId="18" borderId="7" xfId="0" applyFont="1" applyFill="1" applyBorder="1" applyAlignment="1" applyProtection="1"/>
    <xf numFmtId="0" fontId="100" fillId="18" borderId="7" xfId="0" applyFont="1" applyFill="1" applyBorder="1" applyAlignment="1" applyProtection="1"/>
    <xf numFmtId="0" fontId="111" fillId="18" borderId="3" xfId="0" applyFont="1" applyFill="1" applyBorder="1" applyAlignment="1" applyProtection="1">
      <alignment horizontal="right"/>
    </xf>
    <xf numFmtId="4" fontId="100" fillId="21" borderId="5" xfId="0" applyNumberFormat="1" applyFont="1" applyFill="1" applyBorder="1" applyAlignment="1" applyProtection="1">
      <alignment vertical="center"/>
    </xf>
    <xf numFmtId="0" fontId="120" fillId="11" borderId="17" xfId="0" applyFont="1" applyFill="1" applyBorder="1" applyAlignment="1" applyProtection="1"/>
    <xf numFmtId="0" fontId="111" fillId="11" borderId="5" xfId="0" applyFont="1" applyFill="1" applyBorder="1" applyAlignment="1" applyProtection="1">
      <protection locked="0"/>
    </xf>
    <xf numFmtId="165" fontId="105" fillId="21" borderId="0" xfId="0" applyNumberFormat="1" applyFont="1" applyFill="1" applyBorder="1" applyAlignment="1" applyProtection="1"/>
    <xf numFmtId="0" fontId="104" fillId="18" borderId="19" xfId="0" applyFont="1" applyFill="1" applyBorder="1" applyAlignment="1" applyProtection="1">
      <alignment horizontal="right"/>
    </xf>
    <xf numFmtId="0" fontId="112" fillId="18" borderId="3" xfId="0" applyFont="1" applyFill="1" applyBorder="1" applyAlignment="1" applyProtection="1">
      <alignment horizontal="right"/>
    </xf>
    <xf numFmtId="2" fontId="111" fillId="21" borderId="5" xfId="0" applyNumberFormat="1" applyFont="1" applyFill="1" applyBorder="1" applyAlignment="1" applyProtection="1"/>
    <xf numFmtId="0" fontId="100" fillId="21" borderId="17" xfId="0" applyFont="1" applyFill="1" applyBorder="1" applyAlignment="1" applyProtection="1"/>
    <xf numFmtId="2" fontId="100" fillId="21" borderId="5" xfId="0" applyNumberFormat="1" applyFont="1" applyFill="1" applyBorder="1" applyAlignment="1" applyProtection="1"/>
    <xf numFmtId="0" fontId="100" fillId="21" borderId="0" xfId="0" applyFont="1" applyFill="1" applyBorder="1" applyAlignment="1" applyProtection="1">
      <alignment horizontal="right"/>
    </xf>
    <xf numFmtId="3" fontId="105" fillId="21" borderId="12" xfId="0" applyNumberFormat="1" applyFont="1" applyFill="1" applyBorder="1" applyAlignment="1" applyProtection="1"/>
    <xf numFmtId="4" fontId="100" fillId="21" borderId="12" xfId="0" applyNumberFormat="1" applyFont="1" applyFill="1" applyBorder="1" applyAlignment="1" applyProtection="1">
      <alignment vertical="center"/>
    </xf>
    <xf numFmtId="4" fontId="100" fillId="11" borderId="12" xfId="0" applyNumberFormat="1" applyFont="1" applyFill="1" applyBorder="1" applyAlignment="1" applyProtection="1"/>
    <xf numFmtId="3" fontId="100" fillId="18" borderId="5" xfId="0" applyNumberFormat="1" applyFont="1" applyFill="1" applyBorder="1" applyAlignment="1" applyProtection="1"/>
    <xf numFmtId="164" fontId="121" fillId="11" borderId="5" xfId="0" applyNumberFormat="1" applyFont="1" applyFill="1" applyBorder="1" applyAlignment="1" applyProtection="1">
      <alignment horizontal="right"/>
    </xf>
    <xf numFmtId="0" fontId="100" fillId="0" borderId="0" xfId="0" applyFont="1" applyBorder="1" applyAlignment="1" applyProtection="1"/>
    <xf numFmtId="0" fontId="100" fillId="0" borderId="7" xfId="0" applyFont="1" applyFill="1" applyBorder="1" applyAlignment="1" applyProtection="1"/>
    <xf numFmtId="0" fontId="122" fillId="21" borderId="0" xfId="0" applyFont="1" applyFill="1" applyBorder="1" applyAlignment="1" applyProtection="1"/>
    <xf numFmtId="4" fontId="100" fillId="20" borderId="5" xfId="0" applyNumberFormat="1" applyFont="1" applyFill="1" applyBorder="1" applyAlignment="1" applyProtection="1">
      <alignment vertical="center"/>
    </xf>
    <xf numFmtId="0" fontId="110" fillId="0" borderId="0" xfId="0" applyFont="1" applyAlignment="1" applyProtection="1">
      <alignment vertical="center"/>
    </xf>
    <xf numFmtId="0" fontId="110" fillId="0" borderId="0" xfId="0" applyFont="1" applyAlignment="1" applyProtection="1"/>
    <xf numFmtId="0" fontId="124" fillId="0" borderId="0" xfId="0" applyFont="1" applyAlignment="1" applyProtection="1"/>
    <xf numFmtId="0" fontId="124" fillId="21" borderId="0" xfId="0" applyFont="1" applyFill="1" applyBorder="1" applyAlignment="1" applyProtection="1"/>
    <xf numFmtId="0" fontId="124" fillId="0" borderId="0" xfId="0" applyNumberFormat="1" applyFont="1" applyAlignment="1" applyProtection="1"/>
    <xf numFmtId="0" fontId="124" fillId="0" borderId="0" xfId="0" applyNumberFormat="1" applyFont="1" applyAlignment="1" applyProtection="1">
      <alignment horizontal="left"/>
    </xf>
    <xf numFmtId="2" fontId="111" fillId="20" borderId="6" xfId="0" applyNumberFormat="1" applyFont="1" applyFill="1" applyBorder="1" applyAlignment="1" applyProtection="1">
      <alignment horizontal="right"/>
    </xf>
    <xf numFmtId="2" fontId="111" fillId="21" borderId="5" xfId="0" applyNumberFormat="1" applyFont="1" applyFill="1" applyBorder="1" applyAlignment="1" applyProtection="1">
      <alignment horizontal="right"/>
    </xf>
    <xf numFmtId="0" fontId="100" fillId="0" borderId="11" xfId="0" applyFont="1" applyFill="1" applyBorder="1" applyAlignment="1" applyProtection="1"/>
    <xf numFmtId="0" fontId="81" fillId="0" borderId="0" xfId="0" applyFont="1" applyAlignment="1" applyProtection="1"/>
    <xf numFmtId="0" fontId="81" fillId="19" borderId="0" xfId="0" applyFont="1" applyFill="1" applyAlignment="1" applyProtection="1"/>
    <xf numFmtId="0" fontId="81" fillId="0" borderId="0" xfId="0" applyFont="1" applyAlignment="1" applyProtection="1">
      <alignment wrapText="1"/>
    </xf>
    <xf numFmtId="0" fontId="81" fillId="19" borderId="3" xfId="0" applyFont="1" applyFill="1" applyBorder="1" applyAlignment="1" applyProtection="1"/>
    <xf numFmtId="0" fontId="81" fillId="0" borderId="19" xfId="0" applyFont="1" applyBorder="1" applyAlignment="1" applyProtection="1"/>
    <xf numFmtId="0" fontId="81" fillId="0" borderId="3" xfId="0" applyFont="1" applyBorder="1" applyAlignment="1" applyProtection="1"/>
    <xf numFmtId="0" fontId="81" fillId="19" borderId="5" xfId="0" applyFont="1" applyFill="1" applyBorder="1" applyAlignment="1" applyProtection="1"/>
    <xf numFmtId="0" fontId="81" fillId="0" borderId="17" xfId="0" applyFont="1" applyBorder="1" applyAlignment="1" applyProtection="1"/>
    <xf numFmtId="0" fontId="81" fillId="0" borderId="5" xfId="0" applyFont="1" applyBorder="1" applyAlignment="1" applyProtection="1"/>
    <xf numFmtId="0" fontId="81" fillId="0" borderId="7" xfId="0" applyFont="1" applyBorder="1" applyAlignment="1" applyProtection="1"/>
    <xf numFmtId="0" fontId="81" fillId="0" borderId="7" xfId="0" applyFont="1" applyBorder="1" applyAlignment="1" applyProtection="1">
      <alignment wrapText="1"/>
    </xf>
    <xf numFmtId="0" fontId="81" fillId="0" borderId="0" xfId="0" applyFont="1" applyBorder="1" applyAlignment="1" applyProtection="1"/>
    <xf numFmtId="0" fontId="81" fillId="19" borderId="3" xfId="0" applyNumberFormat="1" applyFont="1" applyFill="1" applyBorder="1" applyProtection="1"/>
    <xf numFmtId="0" fontId="81" fillId="19" borderId="7" xfId="0" applyNumberFormat="1" applyFont="1" applyFill="1" applyBorder="1" applyAlignment="1" applyProtection="1">
      <alignment horizontal="right"/>
    </xf>
    <xf numFmtId="0" fontId="81" fillId="19" borderId="3" xfId="0" applyNumberFormat="1" applyFont="1" applyFill="1" applyBorder="1" applyAlignment="1" applyProtection="1"/>
    <xf numFmtId="0" fontId="81" fillId="19" borderId="7" xfId="0" applyNumberFormat="1" applyFont="1" applyFill="1" applyBorder="1" applyAlignment="1" applyProtection="1"/>
    <xf numFmtId="0" fontId="81" fillId="19" borderId="6" xfId="0" applyFont="1" applyFill="1" applyBorder="1" applyAlignment="1" applyProtection="1">
      <alignment vertical="center"/>
    </xf>
    <xf numFmtId="0" fontId="81" fillId="19" borderId="3" xfId="0" applyFont="1" applyFill="1" applyBorder="1" applyAlignment="1" applyProtection="1">
      <alignment vertical="center"/>
    </xf>
    <xf numFmtId="0" fontId="81" fillId="19" borderId="7" xfId="0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/>
    <xf numFmtId="0" fontId="81" fillId="21" borderId="0" xfId="0" applyFont="1" applyFill="1" applyBorder="1" applyAlignment="1" applyProtection="1"/>
    <xf numFmtId="0" fontId="81" fillId="19" borderId="15" xfId="0" applyFont="1" applyFill="1" applyBorder="1" applyAlignment="1" applyProtection="1"/>
    <xf numFmtId="0" fontId="81" fillId="19" borderId="16" xfId="0" applyNumberFormat="1" applyFont="1" applyFill="1" applyBorder="1" applyAlignment="1" applyProtection="1"/>
    <xf numFmtId="0" fontId="81" fillId="19" borderId="15" xfId="0" applyNumberFormat="1" applyFont="1" applyFill="1" applyBorder="1" applyAlignment="1" applyProtection="1"/>
    <xf numFmtId="0" fontId="81" fillId="19" borderId="0" xfId="0" applyNumberFormat="1" applyFont="1" applyFill="1" applyAlignment="1" applyProtection="1"/>
    <xf numFmtId="0" fontId="81" fillId="12" borderId="5" xfId="0" applyFont="1" applyFill="1" applyBorder="1" applyAlignment="1" applyProtection="1"/>
    <xf numFmtId="0" fontId="81" fillId="9" borderId="5" xfId="0" applyFont="1" applyFill="1" applyBorder="1" applyAlignment="1" applyProtection="1"/>
    <xf numFmtId="2" fontId="81" fillId="22" borderId="5" xfId="0" quotePrefix="1" applyNumberFormat="1" applyFont="1" applyFill="1" applyBorder="1" applyAlignment="1" applyProtection="1"/>
    <xf numFmtId="2" fontId="81" fillId="22" borderId="17" xfId="0" quotePrefix="1" applyNumberFormat="1" applyFont="1" applyFill="1" applyBorder="1" applyAlignment="1" applyProtection="1"/>
    <xf numFmtId="2" fontId="81" fillId="22" borderId="5" xfId="0" applyNumberFormat="1" applyFont="1" applyFill="1" applyBorder="1" applyAlignment="1" applyProtection="1"/>
    <xf numFmtId="2" fontId="81" fillId="22" borderId="17" xfId="0" applyNumberFormat="1" applyFont="1" applyFill="1" applyBorder="1" applyAlignment="1" applyProtection="1"/>
    <xf numFmtId="2" fontId="81" fillId="21" borderId="5" xfId="0" applyNumberFormat="1" applyFont="1" applyFill="1" applyBorder="1" applyAlignment="1" applyProtection="1"/>
    <xf numFmtId="2" fontId="81" fillId="21" borderId="17" xfId="0" applyNumberFormat="1" applyFont="1" applyFill="1" applyBorder="1" applyAlignment="1" applyProtection="1"/>
    <xf numFmtId="0" fontId="81" fillId="19" borderId="6" xfId="0" applyFont="1" applyFill="1" applyBorder="1" applyAlignment="1" applyProtection="1"/>
    <xf numFmtId="0" fontId="81" fillId="19" borderId="11" xfId="0" applyFont="1" applyFill="1" applyBorder="1" applyAlignment="1" applyProtection="1"/>
    <xf numFmtId="0" fontId="81" fillId="19" borderId="8" xfId="0" applyFont="1" applyFill="1" applyBorder="1" applyAlignment="1" applyProtection="1">
      <alignment vertical="center"/>
    </xf>
    <xf numFmtId="0" fontId="81" fillId="19" borderId="8" xfId="0" applyFont="1" applyFill="1" applyBorder="1" applyAlignment="1" applyProtection="1"/>
    <xf numFmtId="0" fontId="81" fillId="19" borderId="13" xfId="0" applyNumberFormat="1" applyFont="1" applyFill="1" applyBorder="1" applyAlignment="1" applyProtection="1"/>
    <xf numFmtId="0" fontId="81" fillId="19" borderId="8" xfId="0" applyNumberFormat="1" applyFont="1" applyFill="1" applyBorder="1" applyAlignment="1" applyProtection="1"/>
    <xf numFmtId="0" fontId="81" fillId="0" borderId="11" xfId="0" applyFont="1" applyFill="1" applyBorder="1" applyAlignment="1" applyProtection="1"/>
    <xf numFmtId="2" fontId="81" fillId="20" borderId="13" xfId="0" applyNumberFormat="1" applyFont="1" applyFill="1" applyBorder="1" applyAlignment="1" applyProtection="1"/>
    <xf numFmtId="0" fontId="81" fillId="9" borderId="11" xfId="0" quotePrefix="1" applyFont="1" applyFill="1" applyBorder="1" applyAlignment="1" applyProtection="1"/>
    <xf numFmtId="0" fontId="81" fillId="9" borderId="0" xfId="0" applyFont="1" applyFill="1" applyBorder="1" applyAlignment="1" applyProtection="1"/>
    <xf numFmtId="0" fontId="81" fillId="19" borderId="5" xfId="0" applyFont="1" applyFill="1" applyBorder="1" applyAlignment="1" applyProtection="1">
      <alignment vertical="center"/>
    </xf>
    <xf numFmtId="0" fontId="81" fillId="19" borderId="17" xfId="0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vertical="center"/>
    </xf>
    <xf numFmtId="0" fontId="81" fillId="20" borderId="0" xfId="0" applyFont="1" applyFill="1" applyBorder="1" applyAlignment="1" applyProtection="1"/>
    <xf numFmtId="2" fontId="81" fillId="20" borderId="0" xfId="0" applyNumberFormat="1" applyFont="1" applyFill="1" applyBorder="1" applyAlignment="1" applyProtection="1"/>
    <xf numFmtId="2" fontId="81" fillId="0" borderId="0" xfId="0" applyNumberFormat="1" applyFont="1" applyFill="1" applyBorder="1" applyAlignment="1" applyProtection="1"/>
    <xf numFmtId="0" fontId="81" fillId="25" borderId="0" xfId="0" applyFont="1" applyFill="1" applyBorder="1" applyAlignment="1" applyProtection="1"/>
    <xf numFmtId="0" fontId="81" fillId="0" borderId="0" xfId="0" applyFont="1" applyProtection="1"/>
    <xf numFmtId="0" fontId="81" fillId="0" borderId="4" xfId="0" applyFont="1" applyBorder="1" applyAlignment="1" applyProtection="1">
      <alignment horizontal="right"/>
    </xf>
    <xf numFmtId="0" fontId="81" fillId="0" borderId="4" xfId="0" applyFont="1" applyFill="1" applyBorder="1" applyAlignment="1" applyProtection="1"/>
    <xf numFmtId="0" fontId="81" fillId="19" borderId="12" xfId="0" applyFont="1" applyFill="1" applyBorder="1" applyProtection="1"/>
    <xf numFmtId="0" fontId="81" fillId="19" borderId="15" xfId="0" applyFont="1" applyFill="1" applyBorder="1" applyAlignment="1" applyProtection="1">
      <alignment horizontal="left"/>
    </xf>
    <xf numFmtId="0" fontId="81" fillId="0" borderId="6" xfId="0" applyNumberFormat="1" applyFont="1" applyBorder="1" applyProtection="1"/>
    <xf numFmtId="0" fontId="81" fillId="0" borderId="6" xfId="0" applyFont="1" applyFill="1" applyBorder="1" applyAlignment="1" applyProtection="1"/>
    <xf numFmtId="0" fontId="81" fillId="0" borderId="6" xfId="0" applyNumberFormat="1" applyFont="1" applyFill="1" applyBorder="1" applyAlignment="1" applyProtection="1"/>
    <xf numFmtId="0" fontId="81" fillId="0" borderId="7" xfId="0" applyFont="1" applyFill="1" applyBorder="1" applyAlignment="1" applyProtection="1"/>
    <xf numFmtId="0" fontId="81" fillId="23" borderId="5" xfId="0" applyFont="1" applyFill="1" applyBorder="1" applyProtection="1"/>
    <xf numFmtId="0" fontId="81" fillId="19" borderId="0" xfId="0" applyFont="1" applyFill="1" applyBorder="1" applyAlignment="1" applyProtection="1"/>
    <xf numFmtId="0" fontId="81" fillId="0" borderId="0" xfId="0" applyFont="1" applyFill="1" applyBorder="1" applyAlignment="1" applyProtection="1">
      <alignment horizontal="right"/>
    </xf>
    <xf numFmtId="0" fontId="81" fillId="0" borderId="12" xfId="0" applyFont="1" applyFill="1" applyBorder="1" applyAlignment="1" applyProtection="1"/>
    <xf numFmtId="0" fontId="81" fillId="9" borderId="7" xfId="0" applyFont="1" applyFill="1" applyBorder="1" applyAlignment="1" applyProtection="1"/>
    <xf numFmtId="0" fontId="81" fillId="19" borderId="19" xfId="0" applyFont="1" applyFill="1" applyBorder="1" applyProtection="1"/>
    <xf numFmtId="0" fontId="81" fillId="19" borderId="3" xfId="0" applyFont="1" applyFill="1" applyBorder="1" applyAlignment="1" applyProtection="1">
      <alignment horizontal="left"/>
    </xf>
    <xf numFmtId="0" fontId="81" fillId="0" borderId="0" xfId="0" applyFont="1" applyFill="1" applyProtection="1"/>
    <xf numFmtId="0" fontId="81" fillId="0" borderId="6" xfId="0" applyNumberFormat="1" applyFont="1" applyFill="1" applyBorder="1" applyProtection="1"/>
    <xf numFmtId="0" fontId="81" fillId="18" borderId="7" xfId="0" applyFont="1" applyFill="1" applyBorder="1" applyAlignment="1" applyProtection="1"/>
    <xf numFmtId="0" fontId="81" fillId="18" borderId="11" xfId="0" applyFont="1" applyFill="1" applyBorder="1" applyAlignment="1" applyProtection="1"/>
    <xf numFmtId="0" fontId="81" fillId="0" borderId="0" xfId="0" applyFont="1" applyAlignment="1" applyProtection="1">
      <alignment horizontal="left"/>
    </xf>
    <xf numFmtId="0" fontId="81" fillId="0" borderId="0" xfId="0" applyFont="1" applyAlignment="1" applyProtection="1">
      <alignment horizontal="right"/>
    </xf>
    <xf numFmtId="0" fontId="81" fillId="9" borderId="11" xfId="0" applyFont="1" applyFill="1" applyBorder="1" applyAlignment="1" applyProtection="1"/>
    <xf numFmtId="164" fontId="81" fillId="21" borderId="5" xfId="0" applyNumberFormat="1" applyFont="1" applyFill="1" applyBorder="1" applyAlignment="1" applyProtection="1">
      <alignment horizontal="right"/>
    </xf>
    <xf numFmtId="164" fontId="81" fillId="21" borderId="12" xfId="0" applyNumberFormat="1" applyFont="1" applyFill="1" applyBorder="1" applyAlignment="1" applyProtection="1">
      <alignment horizontal="right"/>
    </xf>
    <xf numFmtId="0" fontId="81" fillId="19" borderId="3" xfId="0" applyFont="1" applyFill="1" applyBorder="1" applyProtection="1"/>
    <xf numFmtId="0" fontId="81" fillId="0" borderId="4" xfId="0" applyFont="1" applyBorder="1" applyProtection="1"/>
    <xf numFmtId="0" fontId="81" fillId="0" borderId="0" xfId="0" applyFont="1" applyFill="1" applyBorder="1" applyProtection="1"/>
    <xf numFmtId="0" fontId="81" fillId="9" borderId="0" xfId="0" applyFont="1" applyFill="1" applyProtection="1"/>
    <xf numFmtId="0" fontId="81" fillId="0" borderId="4" xfId="0" applyFont="1" applyBorder="1" applyAlignment="1" applyProtection="1"/>
    <xf numFmtId="0" fontId="81" fillId="9" borderId="5" xfId="0" applyFont="1" applyFill="1" applyBorder="1" applyProtection="1"/>
    <xf numFmtId="0" fontId="81" fillId="0" borderId="6" xfId="0" applyFont="1" applyBorder="1" applyAlignment="1" applyProtection="1"/>
    <xf numFmtId="0" fontId="81" fillId="0" borderId="7" xfId="0" applyFont="1" applyFill="1" applyBorder="1" applyAlignment="1" applyProtection="1">
      <alignment horizontal="right"/>
    </xf>
    <xf numFmtId="0" fontId="81" fillId="9" borderId="13" xfId="0" applyFont="1" applyFill="1" applyBorder="1" applyProtection="1"/>
    <xf numFmtId="0" fontId="81" fillId="9" borderId="0" xfId="0" applyFont="1" applyFill="1" applyAlignment="1" applyProtection="1"/>
    <xf numFmtId="0" fontId="81" fillId="0" borderId="8" xfId="0" applyFont="1" applyBorder="1" applyAlignment="1" applyProtection="1"/>
    <xf numFmtId="0" fontId="81" fillId="0" borderId="0" xfId="0" applyFont="1" applyBorder="1" applyAlignment="1" applyProtection="1">
      <alignment vertical="center"/>
    </xf>
    <xf numFmtId="0" fontId="81" fillId="0" borderId="0" xfId="0" applyFont="1" applyAlignment="1" applyProtection="1">
      <alignment vertical="center"/>
    </xf>
    <xf numFmtId="165" fontId="81" fillId="17" borderId="5" xfId="0" applyNumberFormat="1" applyFont="1" applyFill="1" applyBorder="1" applyAlignment="1" applyProtection="1"/>
    <xf numFmtId="3" fontId="81" fillId="17" borderId="5" xfId="0" applyNumberFormat="1" applyFont="1" applyFill="1" applyBorder="1" applyAlignment="1" applyProtection="1"/>
    <xf numFmtId="165" fontId="81" fillId="11" borderId="5" xfId="0" applyNumberFormat="1" applyFont="1" applyFill="1" applyBorder="1" applyAlignment="1" applyProtection="1"/>
    <xf numFmtId="4" fontId="81" fillId="11" borderId="5" xfId="0" applyNumberFormat="1" applyFont="1" applyFill="1" applyBorder="1" applyAlignment="1" applyProtection="1"/>
    <xf numFmtId="3" fontId="81" fillId="0" borderId="0" xfId="0" applyNumberFormat="1" applyFont="1" applyBorder="1" applyAlignment="1" applyProtection="1">
      <alignment vertical="center"/>
    </xf>
    <xf numFmtId="0" fontId="81" fillId="0" borderId="0" xfId="0" quotePrefix="1" applyFont="1" applyFill="1" applyBorder="1" applyAlignment="1" applyProtection="1"/>
    <xf numFmtId="0" fontId="81" fillId="21" borderId="0" xfId="0" applyFont="1" applyFill="1" applyAlignment="1" applyProtection="1"/>
    <xf numFmtId="0" fontId="81" fillId="0" borderId="0" xfId="0" applyFont="1" applyFill="1" applyAlignment="1" applyProtection="1"/>
    <xf numFmtId="0" fontId="81" fillId="0" borderId="0" xfId="0" applyFont="1" applyAlignment="1" applyProtection="1">
      <alignment horizontal="left" vertical="center"/>
    </xf>
    <xf numFmtId="0" fontId="81" fillId="15" borderId="2" xfId="0" applyFont="1" applyFill="1" applyBorder="1" applyAlignment="1" applyProtection="1">
      <alignment vertical="center"/>
    </xf>
    <xf numFmtId="0" fontId="81" fillId="0" borderId="0" xfId="0" applyNumberFormat="1" applyFont="1" applyAlignment="1" applyProtection="1">
      <alignment vertical="center"/>
    </xf>
    <xf numFmtId="0" fontId="81" fillId="16" borderId="2" xfId="0" applyFont="1" applyFill="1" applyBorder="1" applyAlignment="1" applyProtection="1">
      <alignment vertical="center"/>
    </xf>
    <xf numFmtId="0" fontId="81" fillId="19" borderId="0" xfId="0" applyFont="1" applyFill="1" applyBorder="1" applyAlignment="1" applyProtection="1">
      <alignment vertical="center"/>
    </xf>
    <xf numFmtId="0" fontId="81" fillId="19" borderId="0" xfId="0" applyFont="1" applyFill="1" applyAlignment="1" applyProtection="1">
      <alignment vertical="center"/>
    </xf>
    <xf numFmtId="0" fontId="81" fillId="0" borderId="0" xfId="0" quotePrefix="1" applyFont="1" applyBorder="1" applyAlignment="1" applyProtection="1">
      <alignment vertical="center"/>
    </xf>
    <xf numFmtId="0" fontId="81" fillId="0" borderId="0" xfId="0" applyFont="1" applyFill="1" applyAlignment="1" applyProtection="1">
      <alignment vertical="center"/>
    </xf>
    <xf numFmtId="0" fontId="81" fillId="0" borderId="10" xfId="0" applyFont="1" applyBorder="1" applyAlignment="1" applyProtection="1"/>
    <xf numFmtId="3" fontId="81" fillId="5" borderId="2" xfId="0" applyNumberFormat="1" applyFont="1" applyFill="1" applyBorder="1" applyAlignment="1" applyProtection="1">
      <alignment vertical="center"/>
    </xf>
    <xf numFmtId="0" fontId="81" fillId="0" borderId="0" xfId="0" applyFont="1" applyAlignment="1" applyProtection="1">
      <alignment horizontal="left" vertical="center" wrapText="1"/>
    </xf>
    <xf numFmtId="0" fontId="81" fillId="0" borderId="0" xfId="0" applyFont="1" applyAlignment="1" applyProtection="1">
      <alignment vertical="center" wrapText="1"/>
    </xf>
    <xf numFmtId="0" fontId="126" fillId="0" borderId="0" xfId="15" applyFont="1" applyAlignment="1" applyProtection="1">
      <alignment vertical="center"/>
    </xf>
    <xf numFmtId="0" fontId="110" fillId="0" borderId="0" xfId="0" applyFont="1" applyAlignment="1"/>
    <xf numFmtId="0" fontId="110" fillId="21" borderId="0" xfId="0" applyFont="1" applyFill="1" applyAlignment="1" applyProtection="1">
      <alignment horizontal="right"/>
    </xf>
    <xf numFmtId="0" fontId="80" fillId="9" borderId="11" xfId="0" applyFont="1" applyFill="1" applyBorder="1" applyAlignment="1" applyProtection="1"/>
    <xf numFmtId="0" fontId="114" fillId="0" borderId="0" xfId="0" applyFont="1" applyAlignment="1" applyProtection="1"/>
    <xf numFmtId="3" fontId="78" fillId="0" borderId="0" xfId="0" applyNumberFormat="1" applyFont="1" applyBorder="1" applyAlignment="1" applyProtection="1">
      <alignment vertical="center"/>
    </xf>
    <xf numFmtId="0" fontId="77" fillId="0" borderId="0" xfId="0" applyFont="1" applyFill="1" applyAlignment="1" applyProtection="1">
      <alignment vertical="center"/>
    </xf>
    <xf numFmtId="4" fontId="81" fillId="0" borderId="0" xfId="0" applyNumberFormat="1" applyFont="1" applyFill="1" applyAlignment="1" applyProtection="1">
      <alignment vertical="center"/>
    </xf>
    <xf numFmtId="0" fontId="77" fillId="0" borderId="0" xfId="0" applyFont="1" applyAlignment="1" applyProtection="1">
      <alignment vertical="center"/>
    </xf>
    <xf numFmtId="3" fontId="81" fillId="0" borderId="0" xfId="0" applyNumberFormat="1" applyFont="1" applyFill="1" applyAlignment="1" applyProtection="1"/>
    <xf numFmtId="0" fontId="78" fillId="0" borderId="0" xfId="0" applyFont="1" applyFill="1" applyAlignment="1" applyProtection="1">
      <alignment horizontal="right"/>
    </xf>
    <xf numFmtId="0" fontId="77" fillId="0" borderId="0" xfId="0" applyFont="1" applyAlignment="1" applyProtection="1"/>
    <xf numFmtId="0" fontId="77" fillId="0" borderId="0" xfId="0" applyFont="1" applyBorder="1" applyAlignment="1" applyProtection="1">
      <alignment vertical="center"/>
    </xf>
    <xf numFmtId="0" fontId="77" fillId="0" borderId="0" xfId="0" applyFont="1" applyBorder="1" applyAlignment="1" applyProtection="1"/>
    <xf numFmtId="0" fontId="102" fillId="0" borderId="0" xfId="0" applyFont="1" applyAlignment="1" applyProtection="1"/>
    <xf numFmtId="0" fontId="102" fillId="0" borderId="0" xfId="0" applyFont="1" applyAlignment="1" applyProtection="1">
      <alignment vertical="center"/>
    </xf>
    <xf numFmtId="0" fontId="76" fillId="0" borderId="0" xfId="0" applyFont="1" applyAlignment="1" applyProtection="1"/>
    <xf numFmtId="0" fontId="76" fillId="0" borderId="0" xfId="0" applyFont="1" applyAlignment="1" applyProtection="1">
      <alignment vertical="center"/>
    </xf>
    <xf numFmtId="0" fontId="76" fillId="0" borderId="0" xfId="0" applyFont="1" applyAlignment="1" applyProtection="1">
      <alignment horizontal="left" vertical="center"/>
    </xf>
    <xf numFmtId="0" fontId="76" fillId="0" borderId="0" xfId="0" applyFont="1" applyBorder="1" applyAlignment="1" applyProtection="1">
      <alignment vertical="center"/>
    </xf>
    <xf numFmtId="0" fontId="76" fillId="0" borderId="0" xfId="0" applyFont="1" applyBorder="1" applyAlignment="1" applyProtection="1"/>
    <xf numFmtId="0" fontId="76" fillId="0" borderId="0" xfId="0" applyFont="1" applyFill="1" applyAlignment="1" applyProtection="1">
      <alignment horizontal="right"/>
    </xf>
    <xf numFmtId="0" fontId="76" fillId="0" borderId="7" xfId="0" applyFont="1" applyBorder="1" applyAlignment="1" applyProtection="1">
      <alignment vertical="center"/>
    </xf>
    <xf numFmtId="0" fontId="76" fillId="0" borderId="7" xfId="0" applyFont="1" applyBorder="1" applyAlignment="1" applyProtection="1"/>
    <xf numFmtId="0" fontId="75" fillId="19" borderId="0" xfId="0" applyFont="1" applyFill="1" applyBorder="1" applyAlignment="1" applyProtection="1">
      <alignment vertical="center"/>
    </xf>
    <xf numFmtId="0" fontId="109" fillId="19" borderId="0" xfId="15" applyFont="1" applyFill="1"/>
    <xf numFmtId="0" fontId="74" fillId="0" borderId="0" xfId="0" applyFont="1" applyAlignment="1" applyProtection="1"/>
    <xf numFmtId="0" fontId="111" fillId="0" borderId="0" xfId="0" applyFont="1" applyAlignment="1" applyProtection="1"/>
    <xf numFmtId="0" fontId="72" fillId="0" borderId="0" xfId="0" applyFont="1" applyAlignment="1" applyProtection="1"/>
    <xf numFmtId="4" fontId="72" fillId="0" borderId="0" xfId="0" applyNumberFormat="1" applyFont="1" applyAlignment="1" applyProtection="1"/>
    <xf numFmtId="10" fontId="72" fillId="0" borderId="0" xfId="0" applyNumberFormat="1" applyFont="1" applyAlignment="1" applyProtection="1"/>
    <xf numFmtId="0" fontId="71" fillId="0" borderId="0" xfId="0" applyFont="1" applyAlignment="1" applyProtection="1"/>
    <xf numFmtId="3" fontId="71" fillId="15" borderId="6" xfId="0" applyNumberFormat="1" applyFont="1" applyFill="1" applyBorder="1" applyAlignment="1" applyProtection="1">
      <alignment vertical="center"/>
    </xf>
    <xf numFmtId="0" fontId="100" fillId="0" borderId="0" xfId="0" applyFont="1" applyAlignment="1" applyProtection="1"/>
    <xf numFmtId="0" fontId="70" fillId="0" borderId="0" xfId="0" applyFont="1" applyAlignment="1" applyProtection="1">
      <alignment vertical="center"/>
    </xf>
    <xf numFmtId="4" fontId="70" fillId="15" borderId="6" xfId="0" applyNumberFormat="1" applyFont="1" applyFill="1" applyBorder="1" applyAlignment="1" applyProtection="1">
      <alignment vertical="center"/>
    </xf>
    <xf numFmtId="4" fontId="81" fillId="15" borderId="6" xfId="0" applyNumberFormat="1" applyFont="1" applyFill="1" applyBorder="1" applyAlignment="1" applyProtection="1">
      <alignment vertical="center"/>
    </xf>
    <xf numFmtId="0" fontId="100" fillId="0" borderId="0" xfId="0" applyFont="1" applyFill="1" applyAlignment="1" applyProtection="1">
      <alignment vertical="center"/>
    </xf>
    <xf numFmtId="0" fontId="102" fillId="0" borderId="10" xfId="0" applyFont="1" applyFill="1" applyBorder="1" applyAlignment="1" applyProtection="1">
      <alignment vertical="center"/>
    </xf>
    <xf numFmtId="0" fontId="100" fillId="0" borderId="9" xfId="0" applyFont="1" applyFill="1" applyBorder="1" applyAlignment="1" applyProtection="1">
      <alignment vertical="center"/>
    </xf>
    <xf numFmtId="0" fontId="81" fillId="0" borderId="9" xfId="0" applyFont="1" applyFill="1" applyBorder="1" applyAlignment="1" applyProtection="1"/>
    <xf numFmtId="0" fontId="111" fillId="0" borderId="0" xfId="0" quotePrefix="1" applyFont="1" applyFill="1" applyAlignment="1" applyProtection="1">
      <alignment vertical="center"/>
    </xf>
    <xf numFmtId="0" fontId="71" fillId="0" borderId="0" xfId="0" applyFont="1" applyFill="1" applyAlignment="1" applyProtection="1">
      <alignment horizontal="right"/>
    </xf>
    <xf numFmtId="0" fontId="78" fillId="0" borderId="0" xfId="0" applyFont="1" applyBorder="1" applyAlignment="1" applyProtection="1">
      <alignment vertical="center"/>
    </xf>
    <xf numFmtId="0" fontId="71" fillId="0" borderId="0" xfId="0" applyFont="1" applyBorder="1" applyAlignment="1" applyProtection="1">
      <alignment vertical="center"/>
    </xf>
    <xf numFmtId="0" fontId="69" fillId="0" borderId="0" xfId="0" applyFont="1" applyBorder="1" applyAlignment="1" applyProtection="1">
      <alignment vertical="center"/>
    </xf>
    <xf numFmtId="0" fontId="104" fillId="0" borderId="0" xfId="0" applyFont="1" applyBorder="1" applyAlignment="1" applyProtection="1">
      <alignment vertical="center"/>
    </xf>
    <xf numFmtId="0" fontId="102" fillId="0" borderId="0" xfId="0" applyFont="1" applyBorder="1" applyAlignment="1" applyProtection="1"/>
    <xf numFmtId="0" fontId="81" fillId="0" borderId="20" xfId="0" applyFont="1" applyBorder="1" applyAlignment="1" applyProtection="1"/>
    <xf numFmtId="0" fontId="100" fillId="18" borderId="5" xfId="0" applyFont="1" applyFill="1" applyBorder="1" applyAlignment="1" applyProtection="1"/>
    <xf numFmtId="3" fontId="81" fillId="15" borderId="2" xfId="0" applyNumberFormat="1" applyFont="1" applyFill="1" applyBorder="1" applyAlignment="1" applyProtection="1">
      <alignment vertical="center"/>
    </xf>
    <xf numFmtId="0" fontId="69" fillId="18" borderId="11" xfId="0" applyFont="1" applyFill="1" applyBorder="1" applyAlignment="1" applyProtection="1">
      <alignment horizontal="right"/>
    </xf>
    <xf numFmtId="0" fontId="100" fillId="0" borderId="10" xfId="0" quotePrefix="1" applyFont="1" applyBorder="1" applyAlignment="1" applyProtection="1">
      <alignment vertical="center"/>
    </xf>
    <xf numFmtId="0" fontId="125" fillId="0" borderId="0" xfId="0" applyFont="1" applyAlignment="1" applyProtection="1"/>
    <xf numFmtId="0" fontId="129" fillId="0" borderId="0" xfId="0" applyFont="1" applyAlignment="1" applyProtection="1"/>
    <xf numFmtId="3" fontId="100" fillId="24" borderId="17" xfId="0" applyNumberFormat="1" applyFont="1" applyFill="1" applyBorder="1" applyAlignment="1" applyProtection="1"/>
    <xf numFmtId="0" fontId="110" fillId="24" borderId="5" xfId="0" applyFont="1" applyFill="1" applyBorder="1" applyAlignment="1" applyProtection="1"/>
    <xf numFmtId="3" fontId="81" fillId="26" borderId="5" xfId="0" applyNumberFormat="1" applyFont="1" applyFill="1" applyBorder="1" applyAlignment="1" applyProtection="1"/>
    <xf numFmtId="0" fontId="68" fillId="18" borderId="5" xfId="0" applyFont="1" applyFill="1" applyBorder="1" applyAlignment="1" applyProtection="1">
      <alignment horizontal="right"/>
    </xf>
    <xf numFmtId="0" fontId="127" fillId="0" borderId="0" xfId="0" applyFont="1" applyAlignment="1" applyProtection="1"/>
    <xf numFmtId="0" fontId="67" fillId="0" borderId="0" xfId="0" applyFont="1" applyAlignment="1" applyProtection="1"/>
    <xf numFmtId="0" fontId="67" fillId="0" borderId="0" xfId="0" applyFont="1" applyAlignment="1" applyProtection="1">
      <alignment vertical="center"/>
    </xf>
    <xf numFmtId="0" fontId="67" fillId="16" borderId="6" xfId="0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horizontal="right"/>
    </xf>
    <xf numFmtId="3" fontId="81" fillId="0" borderId="0" xfId="0" applyNumberFormat="1" applyFont="1" applyFill="1" applyBorder="1" applyAlignment="1" applyProtection="1"/>
    <xf numFmtId="0" fontId="69" fillId="0" borderId="0" xfId="0" applyFont="1" applyFill="1" applyBorder="1" applyAlignment="1" applyProtection="1"/>
    <xf numFmtId="166" fontId="81" fillId="0" borderId="0" xfId="0" applyNumberFormat="1" applyFont="1" applyFill="1" applyBorder="1" applyAlignment="1" applyProtection="1"/>
    <xf numFmtId="3" fontId="79" fillId="0" borderId="0" xfId="0" applyNumberFormat="1" applyFont="1" applyFill="1" applyBorder="1" applyAlignment="1" applyProtection="1"/>
    <xf numFmtId="3" fontId="111" fillId="0" borderId="0" xfId="0" applyNumberFormat="1" applyFont="1" applyFill="1" applyBorder="1" applyAlignment="1" applyProtection="1"/>
    <xf numFmtId="0" fontId="66" fillId="19" borderId="12" xfId="0" applyFont="1" applyFill="1" applyBorder="1" applyProtection="1"/>
    <xf numFmtId="0" fontId="66" fillId="19" borderId="15" xfId="0" applyFont="1" applyFill="1" applyBorder="1" applyAlignment="1" applyProtection="1">
      <alignment horizontal="left"/>
    </xf>
    <xf numFmtId="0" fontId="66" fillId="19" borderId="13" xfId="0" applyFont="1" applyFill="1" applyBorder="1" applyAlignment="1" applyProtection="1">
      <alignment horizontal="left"/>
    </xf>
    <xf numFmtId="0" fontId="66" fillId="0" borderId="0" xfId="0" applyFont="1" applyFill="1" applyBorder="1" applyProtection="1"/>
    <xf numFmtId="0" fontId="65" fillId="0" borderId="4" xfId="0" applyFont="1" applyBorder="1" applyAlignment="1" applyProtection="1">
      <alignment horizontal="right"/>
    </xf>
    <xf numFmtId="0" fontId="65" fillId="0" borderId="6" xfId="0" applyNumberFormat="1" applyFont="1" applyBorder="1" applyProtection="1"/>
    <xf numFmtId="0" fontId="65" fillId="0" borderId="6" xfId="0" applyNumberFormat="1" applyFont="1" applyFill="1" applyBorder="1" applyProtection="1"/>
    <xf numFmtId="0" fontId="105" fillId="9" borderId="11" xfId="0" applyFont="1" applyFill="1" applyBorder="1" applyAlignment="1" applyProtection="1"/>
    <xf numFmtId="0" fontId="65" fillId="9" borderId="7" xfId="0" applyFont="1" applyFill="1" applyBorder="1" applyAlignment="1" applyProtection="1"/>
    <xf numFmtId="0" fontId="65" fillId="9" borderId="11" xfId="0" applyFont="1" applyFill="1" applyBorder="1" applyAlignment="1" applyProtection="1"/>
    <xf numFmtId="0" fontId="104" fillId="24" borderId="7" xfId="0" applyFont="1" applyFill="1" applyBorder="1" applyAlignment="1" applyProtection="1">
      <alignment horizontal="right"/>
    </xf>
    <xf numFmtId="0" fontId="121" fillId="11" borderId="17" xfId="0" applyFont="1" applyFill="1" applyBorder="1" applyAlignment="1" applyProtection="1"/>
    <xf numFmtId="0" fontId="81" fillId="20" borderId="0" xfId="0" applyFont="1" applyFill="1" applyAlignment="1" applyProtection="1">
      <alignment horizontal="right"/>
    </xf>
    <xf numFmtId="166" fontId="127" fillId="0" borderId="0" xfId="0" applyNumberFormat="1" applyFont="1" applyFill="1" applyBorder="1" applyAlignment="1" applyProtection="1"/>
    <xf numFmtId="0" fontId="130" fillId="0" borderId="0" xfId="0" applyFont="1" applyFill="1" applyBorder="1" applyAlignment="1" applyProtection="1">
      <alignment horizontal="right"/>
    </xf>
    <xf numFmtId="0" fontId="122" fillId="0" borderId="0" xfId="0" applyFont="1" applyAlignment="1" applyProtection="1"/>
    <xf numFmtId="0" fontId="104" fillId="24" borderId="3" xfId="0" applyFont="1" applyFill="1" applyBorder="1" applyAlignment="1" applyProtection="1">
      <alignment horizontal="right"/>
    </xf>
    <xf numFmtId="4" fontId="111" fillId="11" borderId="5" xfId="0" applyNumberFormat="1" applyFont="1" applyFill="1" applyBorder="1" applyAlignment="1" applyProtection="1">
      <protection locked="0"/>
    </xf>
    <xf numFmtId="3" fontId="64" fillId="0" borderId="0" xfId="0" applyNumberFormat="1" applyFont="1" applyBorder="1" applyAlignment="1" applyProtection="1">
      <alignment vertical="center"/>
    </xf>
    <xf numFmtId="165" fontId="105" fillId="20" borderId="4" xfId="0" applyNumberFormat="1" applyFont="1" applyFill="1" applyBorder="1" applyAlignment="1" applyProtection="1"/>
    <xf numFmtId="165" fontId="105" fillId="21" borderId="3" xfId="0" applyNumberFormat="1" applyFont="1" applyFill="1" applyBorder="1" applyAlignment="1" applyProtection="1"/>
    <xf numFmtId="0" fontId="63" fillId="9" borderId="11" xfId="0" applyFont="1" applyFill="1" applyBorder="1" applyAlignment="1" applyProtection="1"/>
    <xf numFmtId="0" fontId="111" fillId="0" borderId="0" xfId="0" applyNumberFormat="1" applyFont="1" applyAlignment="1" applyProtection="1">
      <alignment horizontal="left"/>
    </xf>
    <xf numFmtId="0" fontId="100" fillId="0" borderId="0" xfId="0" applyFont="1" applyFill="1" applyBorder="1" applyAlignment="1" applyProtection="1">
      <alignment vertical="center"/>
    </xf>
    <xf numFmtId="0" fontId="60" fillId="0" borderId="0" xfId="0" applyFont="1" applyAlignment="1" applyProtection="1"/>
    <xf numFmtId="0" fontId="81" fillId="21" borderId="0" xfId="0" applyFont="1" applyFill="1" applyBorder="1" applyAlignment="1" applyProtection="1">
      <alignment horizontal="right"/>
    </xf>
    <xf numFmtId="0" fontId="110" fillId="0" borderId="0" xfId="0" applyFont="1" applyFill="1" applyAlignment="1" applyProtection="1"/>
    <xf numFmtId="0" fontId="59" fillId="0" borderId="0" xfId="0" applyFont="1" applyAlignment="1" applyProtection="1"/>
    <xf numFmtId="0" fontId="58" fillId="0" borderId="0" xfId="0" applyFont="1" applyFill="1" applyBorder="1" applyAlignment="1" applyProtection="1">
      <alignment horizontal="right"/>
    </xf>
    <xf numFmtId="2" fontId="134" fillId="0" borderId="0" xfId="0" applyNumberFormat="1" applyFont="1" applyFill="1" applyBorder="1" applyAlignment="1" applyProtection="1"/>
    <xf numFmtId="0" fontId="57" fillId="0" borderId="0" xfId="0" applyFont="1" applyFill="1" applyBorder="1" applyAlignment="1" applyProtection="1"/>
    <xf numFmtId="0" fontId="57" fillId="0" borderId="0" xfId="0" applyFont="1" applyAlignment="1" applyProtection="1"/>
    <xf numFmtId="165" fontId="105" fillId="20" borderId="5" xfId="0" applyNumberFormat="1" applyFont="1" applyFill="1" applyBorder="1" applyAlignment="1" applyProtection="1"/>
    <xf numFmtId="0" fontId="104" fillId="18" borderId="0" xfId="0" applyFont="1" applyFill="1" applyAlignment="1">
      <alignment horizontal="right"/>
    </xf>
    <xf numFmtId="0" fontId="104" fillId="18" borderId="3" xfId="0" applyFont="1" applyFill="1" applyBorder="1" applyAlignment="1">
      <alignment horizontal="right"/>
    </xf>
    <xf numFmtId="0" fontId="100" fillId="0" borderId="0" xfId="0" applyFont="1"/>
    <xf numFmtId="0" fontId="104" fillId="18" borderId="7" xfId="0" applyFont="1" applyFill="1" applyBorder="1" applyProtection="1"/>
    <xf numFmtId="0" fontId="104" fillId="18" borderId="3" xfId="0" applyFont="1" applyFill="1" applyBorder="1" applyAlignment="1" applyProtection="1">
      <alignment horizontal="left"/>
    </xf>
    <xf numFmtId="0" fontId="56" fillId="0" borderId="0" xfId="0" applyFont="1" applyBorder="1" applyAlignment="1" applyProtection="1">
      <alignment horizontal="right"/>
    </xf>
    <xf numFmtId="0" fontId="55" fillId="0" borderId="0" xfId="0" applyFont="1" applyFill="1" applyBorder="1" applyAlignment="1" applyProtection="1"/>
    <xf numFmtId="0" fontId="110" fillId="0" borderId="0" xfId="0" applyFont="1" applyFill="1" applyAlignment="1" applyProtection="1">
      <protection locked="0"/>
    </xf>
    <xf numFmtId="2" fontId="81" fillId="10" borderId="6" xfId="0" quotePrefix="1" applyNumberFormat="1" applyFont="1" applyFill="1" applyBorder="1" applyAlignment="1" applyProtection="1"/>
    <xf numFmtId="2" fontId="81" fillId="11" borderId="6" xfId="0" applyNumberFormat="1" applyFont="1" applyFill="1" applyBorder="1" applyAlignment="1" applyProtection="1"/>
    <xf numFmtId="2" fontId="81" fillId="11" borderId="14" xfId="0" applyNumberFormat="1" applyFont="1" applyFill="1" applyBorder="1" applyAlignment="1" applyProtection="1"/>
    <xf numFmtId="0" fontId="111" fillId="11" borderId="5" xfId="0" applyFont="1" applyFill="1" applyBorder="1" applyAlignment="1" applyProtection="1"/>
    <xf numFmtId="4" fontId="65" fillId="11" borderId="6" xfId="0" applyNumberFormat="1" applyFont="1" applyFill="1" applyBorder="1" applyAlignment="1" applyProtection="1"/>
    <xf numFmtId="4" fontId="81" fillId="11" borderId="6" xfId="0" applyNumberFormat="1" applyFont="1" applyFill="1" applyBorder="1" applyAlignment="1" applyProtection="1">
      <alignment horizontal="right"/>
    </xf>
    <xf numFmtId="0" fontId="81" fillId="11" borderId="6" xfId="0" applyFont="1" applyFill="1" applyBorder="1" applyAlignment="1" applyProtection="1">
      <alignment horizontal="right"/>
    </xf>
    <xf numFmtId="3" fontId="81" fillId="17" borderId="17" xfId="0" applyNumberFormat="1" applyFont="1" applyFill="1" applyBorder="1" applyAlignment="1" applyProtection="1"/>
    <xf numFmtId="165" fontId="81" fillId="17" borderId="17" xfId="0" applyNumberFormat="1" applyFont="1" applyFill="1" applyBorder="1" applyAlignment="1" applyProtection="1"/>
    <xf numFmtId="165" fontId="81" fillId="11" borderId="17" xfId="0" applyNumberFormat="1" applyFont="1" applyFill="1" applyBorder="1" applyAlignment="1" applyProtection="1"/>
    <xf numFmtId="4" fontId="81" fillId="11" borderId="17" xfId="0" applyNumberFormat="1" applyFont="1" applyFill="1" applyBorder="1" applyAlignment="1" applyProtection="1"/>
    <xf numFmtId="166" fontId="70" fillId="11" borderId="17" xfId="0" applyNumberFormat="1" applyFont="1" applyFill="1" applyBorder="1" applyAlignment="1" applyProtection="1"/>
    <xf numFmtId="0" fontId="73" fillId="0" borderId="0" xfId="0" applyFont="1" applyAlignment="1" applyProtection="1">
      <alignment vertical="center"/>
    </xf>
    <xf numFmtId="0" fontId="114" fillId="0" borderId="7" xfId="0" applyFont="1" applyBorder="1" applyAlignment="1" applyProtection="1"/>
    <xf numFmtId="0" fontId="81" fillId="0" borderId="0" xfId="0" applyNumberFormat="1" applyFont="1" applyFill="1" applyBorder="1" applyAlignment="1" applyProtection="1"/>
    <xf numFmtId="0" fontId="81" fillId="0" borderId="0" xfId="0" applyNumberFormat="1" applyFont="1" applyAlignment="1" applyProtection="1">
      <alignment wrapText="1"/>
    </xf>
    <xf numFmtId="0" fontId="54" fillId="9" borderId="3" xfId="0" applyFont="1" applyFill="1" applyBorder="1" applyProtection="1"/>
    <xf numFmtId="0" fontId="53" fillId="9" borderId="11" xfId="0" quotePrefix="1" applyFont="1" applyFill="1" applyBorder="1" applyAlignment="1" applyProtection="1"/>
    <xf numFmtId="0" fontId="53" fillId="9" borderId="11" xfId="0" applyFont="1" applyFill="1" applyBorder="1" applyAlignment="1" applyProtection="1"/>
    <xf numFmtId="0" fontId="81" fillId="14" borderId="2" xfId="0" applyNumberFormat="1" applyFont="1" applyFill="1" applyBorder="1" applyAlignment="1" applyProtection="1">
      <alignment horizontal="right" vertical="center"/>
    </xf>
    <xf numFmtId="0" fontId="52" fillId="9" borderId="7" xfId="0" applyFont="1" applyFill="1" applyBorder="1" applyAlignment="1" applyProtection="1"/>
    <xf numFmtId="0" fontId="51" fillId="0" borderId="0" xfId="0" applyFont="1" applyAlignment="1" applyProtection="1">
      <alignment vertical="center"/>
    </xf>
    <xf numFmtId="0" fontId="51" fillId="9" borderId="7" xfId="0" applyFont="1" applyFill="1" applyBorder="1" applyAlignment="1" applyProtection="1"/>
    <xf numFmtId="0" fontId="51" fillId="16" borderId="6" xfId="0" applyFont="1" applyFill="1" applyBorder="1" applyAlignment="1" applyProtection="1">
      <alignment vertical="center"/>
    </xf>
    <xf numFmtId="0" fontId="76" fillId="0" borderId="0" xfId="0" applyFont="1" applyProtection="1"/>
    <xf numFmtId="0" fontId="77" fillId="0" borderId="0" xfId="0" applyFont="1" applyProtection="1"/>
    <xf numFmtId="0" fontId="0" fillId="0" borderId="0" xfId="0" applyProtection="1"/>
    <xf numFmtId="0" fontId="0" fillId="16" borderId="6" xfId="0" applyFill="1" applyBorder="1" applyProtection="1"/>
    <xf numFmtId="0" fontId="109" fillId="19" borderId="0" xfId="15" applyFont="1" applyFill="1" applyProtection="1"/>
    <xf numFmtId="0" fontId="49" fillId="9" borderId="11" xfId="0" applyFont="1" applyFill="1" applyBorder="1" applyAlignment="1" applyProtection="1"/>
    <xf numFmtId="4" fontId="111" fillId="20" borderId="5" xfId="0" applyNumberFormat="1" applyFont="1" applyFill="1" applyBorder="1" applyAlignment="1" applyProtection="1"/>
    <xf numFmtId="0" fontId="81" fillId="11" borderId="5" xfId="0" applyFont="1" applyFill="1" applyBorder="1" applyAlignment="1" applyProtection="1"/>
    <xf numFmtId="0" fontId="48" fillId="11" borderId="6" xfId="0" applyFont="1" applyFill="1" applyBorder="1" applyAlignment="1" applyProtection="1"/>
    <xf numFmtId="4" fontId="49" fillId="11" borderId="6" xfId="0" applyNumberFormat="1" applyFont="1" applyFill="1" applyBorder="1" applyAlignment="1" applyProtection="1"/>
    <xf numFmtId="0" fontId="81" fillId="11" borderId="5" xfId="0" applyFont="1" applyFill="1" applyBorder="1" applyAlignment="1" applyProtection="1"/>
    <xf numFmtId="0" fontId="46" fillId="9" borderId="7" xfId="0" applyFont="1" applyFill="1" applyBorder="1" applyAlignment="1" applyProtection="1"/>
    <xf numFmtId="0" fontId="46" fillId="9" borderId="11" xfId="0" applyFont="1" applyFill="1" applyBorder="1" applyAlignment="1" applyProtection="1"/>
    <xf numFmtId="0" fontId="45" fillId="9" borderId="11" xfId="0" applyFont="1" applyFill="1" applyBorder="1" applyAlignment="1" applyProtection="1"/>
    <xf numFmtId="0" fontId="45" fillId="0" borderId="0" xfId="0" applyFont="1"/>
    <xf numFmtId="0" fontId="45" fillId="0" borderId="0" xfId="0" applyFont="1" applyAlignment="1" applyProtection="1"/>
    <xf numFmtId="0" fontId="45" fillId="19" borderId="0" xfId="0" applyFont="1" applyFill="1" applyAlignment="1" applyProtection="1"/>
    <xf numFmtId="0" fontId="45" fillId="0" borderId="0" xfId="0" applyFont="1" applyAlignment="1" applyProtection="1">
      <alignment wrapText="1"/>
    </xf>
    <xf numFmtId="0" fontId="45" fillId="19" borderId="3" xfId="0" applyFont="1" applyFill="1" applyBorder="1" applyAlignment="1" applyProtection="1"/>
    <xf numFmtId="0" fontId="45" fillId="0" borderId="19" xfId="0" applyFont="1" applyBorder="1" applyAlignment="1" applyProtection="1"/>
    <xf numFmtId="0" fontId="45" fillId="0" borderId="3" xfId="0" applyFont="1" applyBorder="1" applyAlignment="1" applyProtection="1"/>
    <xf numFmtId="0" fontId="45" fillId="19" borderId="5" xfId="0" applyFont="1" applyFill="1" applyBorder="1" applyAlignment="1" applyProtection="1"/>
    <xf numFmtId="0" fontId="45" fillId="0" borderId="17" xfId="0" applyFont="1" applyBorder="1" applyAlignment="1" applyProtection="1"/>
    <xf numFmtId="0" fontId="45" fillId="0" borderId="5" xfId="0" applyFont="1" applyBorder="1" applyAlignment="1" applyProtection="1"/>
    <xf numFmtId="0" fontId="45" fillId="0" borderId="0" xfId="0" applyNumberFormat="1" applyFont="1" applyAlignment="1" applyProtection="1">
      <alignment wrapText="1"/>
    </xf>
    <xf numFmtId="0" fontId="45" fillId="0" borderId="7" xfId="0" applyFont="1" applyBorder="1" applyAlignment="1" applyProtection="1"/>
    <xf numFmtId="0" fontId="45" fillId="0" borderId="7" xfId="0" applyFont="1" applyBorder="1" applyAlignment="1" applyProtection="1">
      <alignment wrapText="1"/>
    </xf>
    <xf numFmtId="0" fontId="45" fillId="0" borderId="0" xfId="0" applyFont="1" applyBorder="1" applyAlignment="1" applyProtection="1"/>
    <xf numFmtId="0" fontId="45" fillId="19" borderId="3" xfId="0" applyNumberFormat="1" applyFont="1" applyFill="1" applyBorder="1" applyProtection="1"/>
    <xf numFmtId="0" fontId="45" fillId="19" borderId="7" xfId="0" applyNumberFormat="1" applyFont="1" applyFill="1" applyBorder="1" applyAlignment="1" applyProtection="1">
      <alignment horizontal="right"/>
    </xf>
    <xf numFmtId="0" fontId="45" fillId="19" borderId="3" xfId="0" applyNumberFormat="1" applyFont="1" applyFill="1" applyBorder="1" applyAlignment="1" applyProtection="1"/>
    <xf numFmtId="0" fontId="45" fillId="19" borderId="6" xfId="0" applyFont="1" applyFill="1" applyBorder="1" applyAlignment="1" applyProtection="1">
      <alignment vertical="center"/>
    </xf>
    <xf numFmtId="0" fontId="45" fillId="19" borderId="3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/>
    <xf numFmtId="0" fontId="45" fillId="21" borderId="0" xfId="0" applyFont="1" applyFill="1" applyBorder="1" applyAlignment="1" applyProtection="1"/>
    <xf numFmtId="0" fontId="45" fillId="0" borderId="0" xfId="0" applyNumberFormat="1" applyFont="1" applyFill="1" applyBorder="1" applyAlignment="1" applyProtection="1"/>
    <xf numFmtId="0" fontId="45" fillId="19" borderId="15" xfId="0" applyFont="1" applyFill="1" applyBorder="1" applyAlignment="1" applyProtection="1"/>
    <xf numFmtId="0" fontId="45" fillId="19" borderId="16" xfId="0" applyNumberFormat="1" applyFont="1" applyFill="1" applyBorder="1" applyAlignment="1" applyProtection="1"/>
    <xf numFmtId="0" fontId="45" fillId="19" borderId="15" xfId="0" applyNumberFormat="1" applyFont="1" applyFill="1" applyBorder="1" applyAlignment="1" applyProtection="1"/>
    <xf numFmtId="0" fontId="45" fillId="0" borderId="0" xfId="0" applyFont="1" applyAlignment="1"/>
    <xf numFmtId="0" fontId="45" fillId="12" borderId="5" xfId="0" applyFont="1" applyFill="1" applyBorder="1" applyAlignment="1" applyProtection="1"/>
    <xf numFmtId="0" fontId="45" fillId="9" borderId="5" xfId="0" applyFont="1" applyFill="1" applyBorder="1" applyAlignment="1" applyProtection="1"/>
    <xf numFmtId="2" fontId="45" fillId="10" borderId="6" xfId="0" quotePrefix="1" applyNumberFormat="1" applyFont="1" applyFill="1" applyBorder="1" applyAlignment="1" applyProtection="1">
      <protection locked="0"/>
    </xf>
    <xf numFmtId="2" fontId="45" fillId="22" borderId="5" xfId="0" quotePrefix="1" applyNumberFormat="1" applyFont="1" applyFill="1" applyBorder="1" applyAlignment="1" applyProtection="1"/>
    <xf numFmtId="2" fontId="45" fillId="22" borderId="17" xfId="0" quotePrefix="1" applyNumberFormat="1" applyFont="1" applyFill="1" applyBorder="1" applyAlignment="1" applyProtection="1"/>
    <xf numFmtId="2" fontId="45" fillId="22" borderId="5" xfId="0" applyNumberFormat="1" applyFont="1" applyFill="1" applyBorder="1" applyAlignment="1" applyProtection="1"/>
    <xf numFmtId="2" fontId="45" fillId="22" borderId="17" xfId="0" applyNumberFormat="1" applyFont="1" applyFill="1" applyBorder="1" applyAlignment="1" applyProtection="1"/>
    <xf numFmtId="2" fontId="45" fillId="21" borderId="5" xfId="0" applyNumberFormat="1" applyFont="1" applyFill="1" applyBorder="1" applyAlignment="1" applyProtection="1"/>
    <xf numFmtId="2" fontId="45" fillId="21" borderId="17" xfId="0" applyNumberFormat="1" applyFont="1" applyFill="1" applyBorder="1" applyAlignment="1" applyProtection="1"/>
    <xf numFmtId="2" fontId="45" fillId="11" borderId="6" xfId="0" applyNumberFormat="1" applyFont="1" applyFill="1" applyBorder="1" applyAlignment="1" applyProtection="1">
      <protection locked="0"/>
    </xf>
    <xf numFmtId="0" fontId="45" fillId="19" borderId="6" xfId="0" applyFont="1" applyFill="1" applyBorder="1" applyAlignment="1" applyProtection="1"/>
    <xf numFmtId="0" fontId="45" fillId="19" borderId="8" xfId="0" applyFont="1" applyFill="1" applyBorder="1" applyAlignment="1" applyProtection="1"/>
    <xf numFmtId="0" fontId="45" fillId="19" borderId="13" xfId="0" applyNumberFormat="1" applyFont="1" applyFill="1" applyBorder="1" applyAlignment="1" applyProtection="1"/>
    <xf numFmtId="0" fontId="45" fillId="0" borderId="11" xfId="0" applyFont="1" applyFill="1" applyBorder="1" applyAlignment="1" applyProtection="1"/>
    <xf numFmtId="2" fontId="45" fillId="20" borderId="13" xfId="0" applyNumberFormat="1" applyFont="1" applyFill="1" applyBorder="1" applyAlignment="1" applyProtection="1"/>
    <xf numFmtId="0" fontId="45" fillId="9" borderId="0" xfId="0" applyFont="1" applyFill="1" applyBorder="1" applyAlignment="1" applyProtection="1"/>
    <xf numFmtId="2" fontId="45" fillId="11" borderId="14" xfId="0" applyNumberFormat="1" applyFont="1" applyFill="1" applyBorder="1" applyAlignment="1" applyProtection="1">
      <protection locked="0"/>
    </xf>
    <xf numFmtId="0" fontId="45" fillId="19" borderId="5" xfId="0" applyFont="1" applyFill="1" applyBorder="1" applyAlignment="1" applyProtection="1">
      <alignment vertical="center"/>
    </xf>
    <xf numFmtId="0" fontId="45" fillId="19" borderId="17" xfId="0" applyFont="1" applyFill="1" applyBorder="1" applyAlignment="1" applyProtection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Fill="1" applyBorder="1" applyAlignment="1" applyProtection="1">
      <alignment vertical="center"/>
    </xf>
    <xf numFmtId="0" fontId="45" fillId="20" borderId="0" xfId="0" applyFont="1" applyFill="1" applyBorder="1" applyAlignment="1" applyProtection="1"/>
    <xf numFmtId="2" fontId="45" fillId="20" borderId="0" xfId="0" applyNumberFormat="1" applyFont="1" applyFill="1" applyBorder="1" applyAlignment="1" applyProtection="1"/>
    <xf numFmtId="2" fontId="45" fillId="0" borderId="0" xfId="0" applyNumberFormat="1" applyFont="1" applyFill="1" applyBorder="1" applyAlignment="1" applyProtection="1"/>
    <xf numFmtId="0" fontId="45" fillId="25" borderId="0" xfId="0" applyFont="1" applyFill="1" applyBorder="1" applyAlignment="1" applyProtection="1"/>
    <xf numFmtId="0" fontId="45" fillId="19" borderId="13" xfId="0" applyFont="1" applyFill="1" applyBorder="1" applyAlignment="1" applyProtection="1">
      <alignment horizontal="left"/>
    </xf>
    <xf numFmtId="0" fontId="45" fillId="0" borderId="0" xfId="0" applyFont="1" applyProtection="1"/>
    <xf numFmtId="0" fontId="45" fillId="0" borderId="4" xfId="0" applyFont="1" applyBorder="1" applyAlignment="1" applyProtection="1">
      <alignment horizontal="right"/>
    </xf>
    <xf numFmtId="0" fontId="45" fillId="0" borderId="4" xfId="0" applyFont="1" applyFill="1" applyBorder="1" applyAlignment="1" applyProtection="1"/>
    <xf numFmtId="0" fontId="45" fillId="19" borderId="12" xfId="0" applyFont="1" applyFill="1" applyBorder="1" applyProtection="1"/>
    <xf numFmtId="0" fontId="45" fillId="19" borderId="15" xfId="0" applyFont="1" applyFill="1" applyBorder="1" applyAlignment="1" applyProtection="1">
      <alignment horizontal="left"/>
    </xf>
    <xf numFmtId="0" fontId="45" fillId="0" borderId="6" xfId="0" applyNumberFormat="1" applyFont="1" applyBorder="1" applyProtection="1"/>
    <xf numFmtId="0" fontId="45" fillId="0" borderId="6" xfId="0" applyFont="1" applyFill="1" applyBorder="1" applyAlignment="1" applyProtection="1"/>
    <xf numFmtId="0" fontId="45" fillId="0" borderId="6" xfId="0" applyNumberFormat="1" applyFont="1" applyFill="1" applyBorder="1" applyAlignment="1" applyProtection="1"/>
    <xf numFmtId="0" fontId="45" fillId="0" borderId="7" xfId="0" applyFont="1" applyFill="1" applyBorder="1" applyAlignment="1" applyProtection="1"/>
    <xf numFmtId="0" fontId="45" fillId="23" borderId="5" xfId="0" applyFont="1" applyFill="1" applyBorder="1" applyProtection="1"/>
    <xf numFmtId="0" fontId="45" fillId="19" borderId="0" xfId="0" applyFont="1" applyFill="1" applyBorder="1" applyAlignment="1" applyProtection="1"/>
    <xf numFmtId="0" fontId="45" fillId="0" borderId="0" xfId="0" applyFont="1" applyFill="1" applyBorder="1" applyProtection="1"/>
    <xf numFmtId="0" fontId="45" fillId="11" borderId="5" xfId="0" applyFont="1" applyFill="1" applyBorder="1" applyAlignment="1" applyProtection="1">
      <protection locked="0"/>
    </xf>
    <xf numFmtId="2" fontId="136" fillId="0" borderId="0" xfId="0" applyNumberFormat="1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45" fillId="0" borderId="12" xfId="0" applyFont="1" applyFill="1" applyBorder="1" applyAlignment="1" applyProtection="1"/>
    <xf numFmtId="0" fontId="45" fillId="9" borderId="7" xfId="0" applyFont="1" applyFill="1" applyBorder="1" applyAlignment="1" applyProtection="1"/>
    <xf numFmtId="4" fontId="45" fillId="11" borderId="6" xfId="0" applyNumberFormat="1" applyFont="1" applyFill="1" applyBorder="1" applyAlignment="1" applyProtection="1">
      <protection locked="0"/>
    </xf>
    <xf numFmtId="0" fontId="45" fillId="19" borderId="19" xfId="0" applyFont="1" applyFill="1" applyBorder="1" applyProtection="1"/>
    <xf numFmtId="0" fontId="45" fillId="19" borderId="3" xfId="0" applyFont="1" applyFill="1" applyBorder="1" applyAlignment="1" applyProtection="1">
      <alignment horizontal="left"/>
    </xf>
    <xf numFmtId="0" fontId="45" fillId="0" borderId="0" xfId="0" applyFont="1" applyFill="1" applyProtection="1"/>
    <xf numFmtId="0" fontId="45" fillId="0" borderId="6" xfId="0" applyNumberFormat="1" applyFont="1" applyFill="1" applyBorder="1" applyProtection="1"/>
    <xf numFmtId="0" fontId="45" fillId="18" borderId="7" xfId="0" applyFont="1" applyFill="1" applyBorder="1" applyAlignment="1" applyProtection="1"/>
    <xf numFmtId="0" fontId="45" fillId="18" borderId="11" xfId="0" applyFont="1" applyFill="1" applyBorder="1" applyAlignment="1" applyProtection="1"/>
    <xf numFmtId="0" fontId="45" fillId="0" borderId="0" xfId="0" applyFont="1" applyAlignment="1" applyProtection="1">
      <alignment horizontal="left"/>
    </xf>
    <xf numFmtId="0" fontId="45" fillId="0" borderId="0" xfId="0" applyFont="1" applyAlignment="1" applyProtection="1">
      <alignment horizontal="right"/>
    </xf>
    <xf numFmtId="4" fontId="45" fillId="11" borderId="6" xfId="0" applyNumberFormat="1" applyFont="1" applyFill="1" applyBorder="1" applyAlignment="1" applyProtection="1">
      <alignment horizontal="right"/>
      <protection locked="0"/>
    </xf>
    <xf numFmtId="164" fontId="45" fillId="21" borderId="5" xfId="0" applyNumberFormat="1" applyFont="1" applyFill="1" applyBorder="1" applyAlignment="1" applyProtection="1">
      <alignment horizontal="right"/>
    </xf>
    <xf numFmtId="164" fontId="45" fillId="21" borderId="12" xfId="0" applyNumberFormat="1" applyFont="1" applyFill="1" applyBorder="1" applyAlignment="1" applyProtection="1">
      <alignment horizontal="right"/>
    </xf>
    <xf numFmtId="0" fontId="45" fillId="19" borderId="3" xfId="0" applyFont="1" applyFill="1" applyBorder="1" applyProtection="1"/>
    <xf numFmtId="0" fontId="45" fillId="0" borderId="4" xfId="0" applyFont="1" applyBorder="1" applyProtection="1"/>
    <xf numFmtId="0" fontId="45" fillId="0" borderId="0" xfId="0" quotePrefix="1" applyFont="1" applyFill="1" applyBorder="1" applyAlignment="1" applyProtection="1"/>
    <xf numFmtId="0" fontId="45" fillId="21" borderId="0" xfId="0" applyFont="1" applyFill="1" applyBorder="1" applyAlignment="1" applyProtection="1">
      <alignment horizontal="right"/>
    </xf>
    <xf numFmtId="0" fontId="45" fillId="11" borderId="6" xfId="0" applyFont="1" applyFill="1" applyBorder="1" applyAlignment="1" applyProtection="1">
      <alignment horizontal="right"/>
      <protection locked="0"/>
    </xf>
    <xf numFmtId="0" fontId="45" fillId="9" borderId="0" xfId="0" applyFont="1" applyFill="1" applyProtection="1"/>
    <xf numFmtId="0" fontId="45" fillId="0" borderId="7" xfId="0" applyFont="1" applyFill="1" applyBorder="1" applyAlignment="1" applyProtection="1">
      <alignment horizontal="right"/>
    </xf>
    <xf numFmtId="0" fontId="45" fillId="0" borderId="8" xfId="0" applyFont="1" applyBorder="1" applyAlignment="1" applyProtection="1"/>
    <xf numFmtId="0" fontId="45" fillId="9" borderId="3" xfId="0" applyFont="1" applyFill="1" applyBorder="1" applyProtection="1"/>
    <xf numFmtId="0" fontId="45" fillId="0" borderId="4" xfId="0" applyFont="1" applyBorder="1" applyAlignment="1" applyProtection="1"/>
    <xf numFmtId="0" fontId="45" fillId="0" borderId="0" xfId="0" applyFont="1" applyBorder="1" applyAlignment="1" applyProtection="1">
      <alignment horizontal="right"/>
    </xf>
    <xf numFmtId="0" fontId="45" fillId="9" borderId="5" xfId="0" applyFont="1" applyFill="1" applyBorder="1" applyProtection="1"/>
    <xf numFmtId="0" fontId="45" fillId="0" borderId="6" xfId="0" applyFont="1" applyBorder="1" applyAlignment="1" applyProtection="1"/>
    <xf numFmtId="3" fontId="45" fillId="17" borderId="17" xfId="0" applyNumberFormat="1" applyFont="1" applyFill="1" applyBorder="1" applyAlignment="1" applyProtection="1">
      <protection locked="0"/>
    </xf>
    <xf numFmtId="3" fontId="45" fillId="17" borderId="5" xfId="0" applyNumberFormat="1" applyFont="1" applyFill="1" applyBorder="1" applyAlignment="1" applyProtection="1"/>
    <xf numFmtId="0" fontId="45" fillId="9" borderId="13" xfId="0" applyFont="1" applyFill="1" applyBorder="1" applyProtection="1"/>
    <xf numFmtId="0" fontId="45" fillId="9" borderId="0" xfId="0" applyFont="1" applyFill="1" applyAlignment="1" applyProtection="1"/>
    <xf numFmtId="165" fontId="45" fillId="17" borderId="17" xfId="0" applyNumberFormat="1" applyFont="1" applyFill="1" applyBorder="1" applyAlignment="1" applyProtection="1">
      <protection locked="0"/>
    </xf>
    <xf numFmtId="3" fontId="45" fillId="0" borderId="0" xfId="0" applyNumberFormat="1" applyFont="1" applyFill="1" applyBorder="1" applyAlignment="1" applyProtection="1"/>
    <xf numFmtId="165" fontId="45" fillId="17" borderId="5" xfId="0" applyNumberFormat="1" applyFont="1" applyFill="1" applyBorder="1" applyAlignment="1" applyProtection="1"/>
    <xf numFmtId="166" fontId="45" fillId="0" borderId="0" xfId="0" applyNumberFormat="1" applyFont="1" applyFill="1" applyBorder="1" applyAlignment="1" applyProtection="1"/>
    <xf numFmtId="165" fontId="45" fillId="11" borderId="17" xfId="0" applyNumberFormat="1" applyFont="1" applyFill="1" applyBorder="1" applyAlignment="1" applyProtection="1">
      <protection locked="0"/>
    </xf>
    <xf numFmtId="165" fontId="45" fillId="11" borderId="5" xfId="0" applyNumberFormat="1" applyFont="1" applyFill="1" applyBorder="1" applyAlignment="1" applyProtection="1"/>
    <xf numFmtId="4" fontId="45" fillId="11" borderId="17" xfId="0" applyNumberFormat="1" applyFont="1" applyFill="1" applyBorder="1" applyAlignment="1" applyProtection="1">
      <protection locked="0"/>
    </xf>
    <xf numFmtId="4" fontId="45" fillId="11" borderId="5" xfId="0" applyNumberFormat="1" applyFont="1" applyFill="1" applyBorder="1" applyAlignment="1" applyProtection="1"/>
    <xf numFmtId="0" fontId="45" fillId="0" borderId="0" xfId="0" applyFont="1" applyFill="1" applyAlignment="1" applyProtection="1"/>
    <xf numFmtId="3" fontId="45" fillId="0" borderId="0" xfId="0" applyNumberFormat="1" applyFont="1" applyFill="1" applyAlignment="1" applyProtection="1"/>
    <xf numFmtId="166" fontId="45" fillId="11" borderId="17" xfId="0" applyNumberFormat="1" applyFont="1" applyFill="1" applyBorder="1" applyAlignment="1" applyProtection="1">
      <protection locked="0"/>
    </xf>
    <xf numFmtId="0" fontId="45" fillId="0" borderId="0" xfId="0" applyFont="1" applyFill="1" applyAlignment="1" applyProtection="1">
      <alignment horizontal="right"/>
    </xf>
    <xf numFmtId="0" fontId="45" fillId="18" borderId="11" xfId="0" applyFont="1" applyFill="1" applyBorder="1" applyAlignment="1" applyProtection="1">
      <alignment horizontal="right"/>
    </xf>
    <xf numFmtId="0" fontId="45" fillId="18" borderId="5" xfId="0" applyFont="1" applyFill="1" applyBorder="1" applyAlignment="1" applyProtection="1">
      <alignment horizontal="right"/>
    </xf>
    <xf numFmtId="3" fontId="45" fillId="26" borderId="5" xfId="0" applyNumberFormat="1" applyFont="1" applyFill="1" applyBorder="1" applyAlignment="1" applyProtection="1"/>
    <xf numFmtId="0" fontId="45" fillId="21" borderId="0" xfId="0" applyFont="1" applyFill="1" applyAlignment="1" applyProtection="1"/>
    <xf numFmtId="4" fontId="45" fillId="0" borderId="0" xfId="0" applyNumberFormat="1" applyFont="1" applyAlignment="1" applyProtection="1"/>
    <xf numFmtId="10" fontId="45" fillId="0" borderId="0" xfId="0" applyNumberFormat="1" applyFont="1" applyAlignment="1" applyProtection="1"/>
    <xf numFmtId="0" fontId="45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45" fillId="0" borderId="7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5" fillId="16" borderId="6" xfId="0" applyFont="1" applyFill="1" applyBorder="1"/>
    <xf numFmtId="0" fontId="45" fillId="16" borderId="6" xfId="0" applyFont="1" applyFill="1" applyBorder="1" applyAlignment="1" applyProtection="1">
      <alignment vertical="center"/>
    </xf>
    <xf numFmtId="0" fontId="45" fillId="14" borderId="2" xfId="0" applyNumberFormat="1" applyFont="1" applyFill="1" applyBorder="1" applyAlignment="1" applyProtection="1">
      <alignment horizontal="right" vertical="center"/>
    </xf>
    <xf numFmtId="3" fontId="45" fillId="0" borderId="0" xfId="0" applyNumberFormat="1" applyFont="1" applyBorder="1" applyAlignment="1" applyProtection="1">
      <alignment vertical="center"/>
    </xf>
    <xf numFmtId="0" fontId="45" fillId="15" borderId="2" xfId="0" applyFont="1" applyFill="1" applyBorder="1" applyAlignment="1" applyProtection="1">
      <alignment vertical="center"/>
    </xf>
    <xf numFmtId="0" fontId="45" fillId="0" borderId="0" xfId="0" applyNumberFormat="1" applyFont="1" applyAlignment="1" applyProtection="1">
      <alignment vertical="center"/>
    </xf>
    <xf numFmtId="0" fontId="45" fillId="16" borderId="2" xfId="0" applyFont="1" applyFill="1" applyBorder="1" applyAlignment="1" applyProtection="1">
      <alignment vertical="center"/>
    </xf>
    <xf numFmtId="0" fontId="45" fillId="19" borderId="0" xfId="0" applyFont="1" applyFill="1" applyBorder="1" applyAlignment="1" applyProtection="1">
      <alignment vertical="center"/>
    </xf>
    <xf numFmtId="0" fontId="45" fillId="19" borderId="0" xfId="0" applyFont="1" applyFill="1" applyAlignment="1" applyProtection="1">
      <alignment vertical="center"/>
    </xf>
    <xf numFmtId="0" fontId="45" fillId="0" borderId="20" xfId="0" applyFont="1" applyBorder="1" applyAlignment="1" applyProtection="1"/>
    <xf numFmtId="0" fontId="45" fillId="0" borderId="0" xfId="0" quotePrefix="1" applyFont="1" applyBorder="1" applyAlignment="1" applyProtection="1">
      <alignment vertical="center"/>
    </xf>
    <xf numFmtId="0" fontId="45" fillId="0" borderId="0" xfId="0" applyFont="1" applyFill="1" applyAlignment="1" applyProtection="1">
      <alignment vertical="center"/>
    </xf>
    <xf numFmtId="4" fontId="45" fillId="0" borderId="0" xfId="0" applyNumberFormat="1" applyFont="1" applyFill="1" applyAlignment="1" applyProtection="1">
      <alignment vertical="center"/>
    </xf>
    <xf numFmtId="3" fontId="45" fillId="5" borderId="2" xfId="0" applyNumberFormat="1" applyFont="1" applyFill="1" applyBorder="1" applyAlignment="1" applyProtection="1">
      <alignment vertical="center"/>
    </xf>
    <xf numFmtId="0" fontId="45" fillId="0" borderId="9" xfId="0" applyFont="1" applyFill="1" applyBorder="1" applyAlignment="1" applyProtection="1"/>
    <xf numFmtId="0" fontId="45" fillId="0" borderId="0" xfId="0" applyFont="1" applyAlignment="1" applyProtection="1">
      <alignment horizontal="left" vertical="center" wrapText="1"/>
    </xf>
    <xf numFmtId="0" fontId="45" fillId="0" borderId="0" xfId="0" applyFont="1" applyAlignment="1" applyProtection="1">
      <alignment vertical="center" wrapText="1"/>
    </xf>
    <xf numFmtId="0" fontId="44" fillId="0" borderId="0" xfId="0" applyFont="1" applyProtection="1"/>
    <xf numFmtId="0" fontId="102" fillId="12" borderId="3" xfId="0" applyFont="1" applyFill="1" applyBorder="1" applyProtection="1"/>
    <xf numFmtId="0" fontId="102" fillId="12" borderId="4" xfId="0" applyFont="1" applyFill="1" applyBorder="1" applyAlignment="1" applyProtection="1">
      <alignment wrapText="1"/>
    </xf>
    <xf numFmtId="0" fontId="85" fillId="12" borderId="5" xfId="0" applyFont="1" applyFill="1" applyBorder="1" applyProtection="1"/>
    <xf numFmtId="0" fontId="85" fillId="0" borderId="6" xfId="0" applyFont="1" applyBorder="1" applyProtection="1"/>
    <xf numFmtId="0" fontId="85" fillId="0" borderId="6" xfId="0" applyFont="1" applyBorder="1" applyAlignment="1" applyProtection="1"/>
    <xf numFmtId="0" fontId="85" fillId="0" borderId="6" xfId="0" applyFont="1" applyFill="1" applyBorder="1" applyProtection="1"/>
    <xf numFmtId="0" fontId="85" fillId="13" borderId="6" xfId="0" applyFont="1" applyFill="1" applyBorder="1" applyProtection="1"/>
    <xf numFmtId="2" fontId="85" fillId="13" borderId="6" xfId="0" applyNumberFormat="1" applyFont="1" applyFill="1" applyBorder="1" applyProtection="1"/>
    <xf numFmtId="0" fontId="84" fillId="9" borderId="5" xfId="0" applyFont="1" applyFill="1" applyBorder="1" applyProtection="1"/>
    <xf numFmtId="0" fontId="82" fillId="9" borderId="5" xfId="0" applyFont="1" applyFill="1" applyBorder="1" applyProtection="1"/>
    <xf numFmtId="0" fontId="43" fillId="0" borderId="6" xfId="0" applyFont="1" applyBorder="1" applyProtection="1"/>
    <xf numFmtId="0" fontId="85" fillId="0" borderId="0" xfId="0" applyFont="1" applyFill="1" applyProtection="1"/>
    <xf numFmtId="0" fontId="45" fillId="19" borderId="5" xfId="0" applyNumberFormat="1" applyFont="1" applyFill="1" applyBorder="1" applyAlignment="1" applyProtection="1"/>
    <xf numFmtId="3" fontId="100" fillId="15" borderId="2" xfId="0" applyNumberFormat="1" applyFont="1" applyFill="1" applyBorder="1" applyAlignment="1" applyProtection="1">
      <alignment vertical="center"/>
    </xf>
    <xf numFmtId="4" fontId="45" fillId="0" borderId="0" xfId="0" applyNumberFormat="1" applyFont="1" applyFill="1" applyBorder="1" applyAlignment="1" applyProtection="1">
      <alignment vertical="center"/>
    </xf>
    <xf numFmtId="0" fontId="45" fillId="0" borderId="0" xfId="0" applyNumberFormat="1" applyFont="1"/>
    <xf numFmtId="0" fontId="45" fillId="0" borderId="0" xfId="0" applyNumberFormat="1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horizontal="right"/>
    </xf>
    <xf numFmtId="0" fontId="45" fillId="0" borderId="0" xfId="0" applyNumberFormat="1" applyFont="1" applyAlignment="1" applyProtection="1"/>
    <xf numFmtId="0" fontId="45" fillId="0" borderId="0" xfId="0" applyNumberFormat="1" applyFont="1" applyFill="1" applyAlignment="1" applyProtection="1">
      <alignment vertical="center"/>
    </xf>
    <xf numFmtId="0" fontId="45" fillId="0" borderId="0" xfId="0" applyNumberFormat="1" applyFont="1" applyFill="1" applyAlignment="1" applyProtection="1"/>
    <xf numFmtId="0" fontId="45" fillId="15" borderId="6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horizontal="right"/>
    </xf>
    <xf numFmtId="0" fontId="105" fillId="19" borderId="9" xfId="0" applyFont="1" applyFill="1" applyBorder="1" applyAlignment="1" applyProtection="1"/>
    <xf numFmtId="0" fontId="45" fillId="19" borderId="9" xfId="0" applyFont="1" applyFill="1" applyBorder="1" applyAlignment="1" applyProtection="1"/>
    <xf numFmtId="0" fontId="45" fillId="19" borderId="22" xfId="0" applyFont="1" applyFill="1" applyBorder="1" applyAlignment="1" applyProtection="1"/>
    <xf numFmtId="0" fontId="105" fillId="19" borderId="9" xfId="0" quotePrefix="1" applyFont="1" applyFill="1" applyBorder="1" applyAlignment="1" applyProtection="1">
      <alignment vertical="center"/>
    </xf>
    <xf numFmtId="0" fontId="100" fillId="19" borderId="9" xfId="0" applyFont="1" applyFill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0" fillId="0" borderId="0" xfId="0" quotePrefix="1" applyFont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vertical="center"/>
    </xf>
    <xf numFmtId="0" fontId="42" fillId="0" borderId="8" xfId="0" applyFont="1" applyFill="1" applyBorder="1" applyAlignment="1" applyProtection="1">
      <alignment vertical="center"/>
    </xf>
    <xf numFmtId="0" fontId="45" fillId="0" borderId="8" xfId="0" applyFont="1" applyFill="1" applyBorder="1" applyAlignment="1" applyProtection="1">
      <alignment vertical="center"/>
    </xf>
    <xf numFmtId="0" fontId="41" fillId="0" borderId="0" xfId="0" applyFont="1" applyFill="1" applyBorder="1" applyProtection="1"/>
    <xf numFmtId="0" fontId="85" fillId="0" borderId="0" xfId="0" applyNumberFormat="1" applyFont="1" applyProtection="1"/>
    <xf numFmtId="0" fontId="39" fillId="0" borderId="0" xfId="0" applyNumberFormat="1" applyFont="1" applyProtection="1"/>
    <xf numFmtId="0" fontId="39" fillId="9" borderId="4" xfId="0" applyFont="1" applyFill="1" applyBorder="1" applyAlignment="1" applyProtection="1">
      <alignment horizontal="right"/>
    </xf>
    <xf numFmtId="0" fontId="39" fillId="9" borderId="4" xfId="0" applyFont="1" applyFill="1" applyBorder="1" applyAlignment="1" applyProtection="1">
      <alignment horizontal="right" wrapText="1"/>
    </xf>
    <xf numFmtId="2" fontId="85" fillId="0" borderId="6" xfId="0" applyNumberFormat="1" applyFont="1" applyFill="1" applyBorder="1" applyProtection="1"/>
    <xf numFmtId="0" fontId="102" fillId="18" borderId="3" xfId="0" applyFont="1" applyFill="1" applyBorder="1" applyAlignment="1" applyProtection="1"/>
    <xf numFmtId="0" fontId="135" fillId="18" borderId="7" xfId="0" applyFont="1" applyFill="1" applyBorder="1" applyAlignment="1" applyProtection="1"/>
    <xf numFmtId="0" fontId="102" fillId="18" borderId="4" xfId="0" applyFont="1" applyFill="1" applyBorder="1" applyAlignment="1" applyProtection="1">
      <alignment horizontal="right"/>
    </xf>
    <xf numFmtId="0" fontId="135" fillId="18" borderId="4" xfId="0" applyFont="1" applyFill="1" applyBorder="1" applyAlignment="1" applyProtection="1">
      <alignment horizontal="right"/>
    </xf>
    <xf numFmtId="0" fontId="102" fillId="18" borderId="3" xfId="0" applyFont="1" applyFill="1" applyBorder="1" applyAlignment="1" applyProtection="1">
      <alignment horizontal="right"/>
    </xf>
    <xf numFmtId="0" fontId="102" fillId="18" borderId="19" xfId="0" applyFont="1" applyFill="1" applyBorder="1" applyAlignment="1" applyProtection="1">
      <alignment horizontal="right"/>
    </xf>
    <xf numFmtId="0" fontId="135" fillId="18" borderId="3" xfId="0" applyFont="1" applyFill="1" applyBorder="1" applyAlignment="1" applyProtection="1">
      <alignment horizontal="right"/>
    </xf>
    <xf numFmtId="0" fontId="38" fillId="0" borderId="0" xfId="0" applyFont="1" applyFill="1" applyBorder="1" applyAlignment="1" applyProtection="1"/>
    <xf numFmtId="0" fontId="37" fillId="0" borderId="0" xfId="0" applyFont="1" applyFill="1" applyBorder="1" applyAlignment="1" applyProtection="1"/>
    <xf numFmtId="0" fontId="109" fillId="0" borderId="0" xfId="15" applyFont="1" applyBorder="1" applyAlignment="1" applyProtection="1">
      <alignment horizontal="right"/>
    </xf>
    <xf numFmtId="0" fontId="109" fillId="0" borderId="0" xfId="15" applyFont="1" applyAlignment="1" applyProtection="1">
      <alignment horizontal="right"/>
    </xf>
    <xf numFmtId="0" fontId="121" fillId="20" borderId="0" xfId="0" applyFont="1" applyFill="1" applyBorder="1" applyAlignment="1" applyProtection="1">
      <alignment horizontal="right"/>
    </xf>
    <xf numFmtId="0" fontId="121" fillId="20" borderId="0" xfId="0" applyFont="1" applyFill="1" applyAlignment="1" applyProtection="1">
      <alignment horizontal="right"/>
    </xf>
    <xf numFmtId="0" fontId="36" fillId="19" borderId="8" xfId="0" applyFont="1" applyFill="1" applyBorder="1" applyAlignment="1" applyProtection="1">
      <alignment vertical="center"/>
    </xf>
    <xf numFmtId="2" fontId="138" fillId="20" borderId="6" xfId="0" applyNumberFormat="1" applyFont="1" applyFill="1" applyBorder="1" applyAlignment="1" applyProtection="1"/>
    <xf numFmtId="2" fontId="138" fillId="21" borderId="5" xfId="0" applyNumberFormat="1" applyFont="1" applyFill="1" applyBorder="1" applyAlignment="1" applyProtection="1"/>
    <xf numFmtId="0" fontId="35" fillId="9" borderId="11" xfId="0" quotePrefix="1" applyFont="1" applyFill="1" applyBorder="1" applyAlignment="1" applyProtection="1"/>
    <xf numFmtId="0" fontId="34" fillId="9" borderId="11" xfId="0" quotePrefix="1" applyFont="1" applyFill="1" applyBorder="1" applyAlignment="1" applyProtection="1"/>
    <xf numFmtId="0" fontId="111" fillId="0" borderId="0" xfId="0" applyFont="1" applyBorder="1"/>
    <xf numFmtId="165" fontId="139" fillId="27" borderId="0" xfId="0" applyNumberFormat="1" applyFont="1" applyFill="1" applyProtection="1"/>
    <xf numFmtId="0" fontId="111" fillId="27" borderId="0" xfId="0" applyFont="1" applyFill="1"/>
    <xf numFmtId="168" fontId="139" fillId="27" borderId="0" xfId="0" applyNumberFormat="1" applyFont="1" applyFill="1" applyAlignment="1"/>
    <xf numFmtId="0" fontId="111" fillId="0" borderId="0" xfId="0" applyFont="1"/>
    <xf numFmtId="0" fontId="105" fillId="0" borderId="0" xfId="0" applyFont="1"/>
    <xf numFmtId="0" fontId="111" fillId="0" borderId="3" xfId="0" applyFont="1" applyBorder="1"/>
    <xf numFmtId="165" fontId="111" fillId="11" borderId="6" xfId="0" applyNumberFormat="1" applyFont="1" applyFill="1" applyBorder="1" applyProtection="1">
      <protection locked="0"/>
    </xf>
    <xf numFmtId="0" fontId="111" fillId="0" borderId="5" xfId="0" applyFont="1" applyBorder="1"/>
    <xf numFmtId="3" fontId="111" fillId="11" borderId="6" xfId="0" applyNumberFormat="1" applyFont="1" applyFill="1" applyBorder="1" applyProtection="1">
      <protection locked="0"/>
    </xf>
    <xf numFmtId="0" fontId="111" fillId="0" borderId="7" xfId="0" applyFont="1" applyBorder="1"/>
    <xf numFmtId="0" fontId="111" fillId="0" borderId="11" xfId="0" applyFont="1" applyBorder="1"/>
    <xf numFmtId="168" fontId="111" fillId="0" borderId="0" xfId="0" applyNumberFormat="1" applyFont="1" applyBorder="1" applyAlignment="1">
      <alignment horizontal="left"/>
    </xf>
    <xf numFmtId="0" fontId="105" fillId="9" borderId="5" xfId="0" applyFont="1" applyFill="1" applyBorder="1"/>
    <xf numFmtId="0" fontId="105" fillId="9" borderId="11" xfId="0" applyFont="1" applyFill="1" applyBorder="1"/>
    <xf numFmtId="0" fontId="111" fillId="9" borderId="11" xfId="0" applyFont="1" applyFill="1" applyBorder="1"/>
    <xf numFmtId="0" fontId="111" fillId="9" borderId="5" xfId="0" applyFont="1" applyFill="1" applyBorder="1"/>
    <xf numFmtId="165" fontId="105" fillId="9" borderId="6" xfId="0" applyNumberFormat="1" applyFont="1" applyFill="1" applyBorder="1"/>
    <xf numFmtId="0" fontId="109" fillId="0" borderId="0" xfId="15" applyFont="1" applyProtection="1"/>
    <xf numFmtId="0" fontId="33" fillId="0" borderId="0" xfId="0" applyFont="1"/>
    <xf numFmtId="0" fontId="33" fillId="18" borderId="4" xfId="0" applyFont="1" applyFill="1" applyBorder="1" applyAlignment="1">
      <alignment horizontal="center"/>
    </xf>
    <xf numFmtId="0" fontId="33" fillId="9" borderId="17" xfId="0" applyFont="1" applyFill="1" applyBorder="1" applyAlignment="1" applyProtection="1">
      <alignment horizontal="center"/>
    </xf>
    <xf numFmtId="0" fontId="33" fillId="9" borderId="5" xfId="0" applyFont="1" applyFill="1" applyBorder="1" applyAlignment="1" applyProtection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Border="1"/>
    <xf numFmtId="0" fontId="33" fillId="0" borderId="7" xfId="0" applyFont="1" applyBorder="1"/>
    <xf numFmtId="166" fontId="33" fillId="11" borderId="17" xfId="0" applyNumberFormat="1" applyFont="1" applyFill="1" applyBorder="1" applyAlignment="1" applyProtection="1">
      <protection locked="0"/>
    </xf>
    <xf numFmtId="166" fontId="33" fillId="9" borderId="11" xfId="0" applyNumberFormat="1" applyFont="1" applyFill="1" applyBorder="1"/>
    <xf numFmtId="166" fontId="33" fillId="9" borderId="5" xfId="0" applyNumberFormat="1" applyFont="1" applyFill="1" applyBorder="1"/>
    <xf numFmtId="166" fontId="33" fillId="11" borderId="6" xfId="0" applyNumberFormat="1" applyFont="1" applyFill="1" applyBorder="1" applyAlignment="1" applyProtection="1">
      <protection locked="0"/>
    </xf>
    <xf numFmtId="0" fontId="33" fillId="9" borderId="0" xfId="0" applyFont="1" applyFill="1" applyBorder="1" applyProtection="1"/>
    <xf numFmtId="0" fontId="33" fillId="9" borderId="15" xfId="0" applyFont="1" applyFill="1" applyBorder="1" applyAlignment="1" applyProtection="1">
      <alignment horizontal="left"/>
    </xf>
    <xf numFmtId="167" fontId="33" fillId="9" borderId="15" xfId="0" applyNumberFormat="1" applyFont="1" applyFill="1" applyBorder="1" applyAlignment="1" applyProtection="1">
      <alignment horizontal="left"/>
    </xf>
    <xf numFmtId="0" fontId="33" fillId="9" borderId="7" xfId="0" applyFont="1" applyFill="1" applyBorder="1" applyProtection="1"/>
    <xf numFmtId="0" fontId="33" fillId="9" borderId="3" xfId="0" applyFont="1" applyFill="1" applyBorder="1" applyAlignment="1" applyProtection="1">
      <alignment horizontal="left"/>
    </xf>
    <xf numFmtId="0" fontId="33" fillId="0" borderId="0" xfId="0" applyFont="1" applyProtection="1"/>
    <xf numFmtId="166" fontId="33" fillId="9" borderId="17" xfId="0" applyNumberFormat="1" applyFont="1" applyFill="1" applyBorder="1"/>
    <xf numFmtId="0" fontId="33" fillId="0" borderId="0" xfId="0" applyFont="1" applyAlignment="1" applyProtection="1">
      <alignment vertical="center"/>
    </xf>
    <xf numFmtId="0" fontId="33" fillId="0" borderId="0" xfId="0" applyFont="1" applyAlignment="1"/>
    <xf numFmtId="0" fontId="33" fillId="0" borderId="0" xfId="0" quotePrefix="1" applyFont="1" applyAlignment="1"/>
    <xf numFmtId="0" fontId="33" fillId="0" borderId="21" xfId="0" applyFont="1" applyBorder="1"/>
    <xf numFmtId="0" fontId="140" fillId="0" borderId="0" xfId="0" applyFont="1"/>
    <xf numFmtId="168" fontId="111" fillId="27" borderId="0" xfId="0" applyNumberFormat="1" applyFont="1" applyFill="1" applyAlignment="1">
      <alignment horizontal="center"/>
    </xf>
    <xf numFmtId="0" fontId="141" fillId="0" borderId="0" xfId="0" applyFont="1"/>
    <xf numFmtId="0" fontId="32" fillId="0" borderId="0" xfId="0" applyFont="1"/>
    <xf numFmtId="0" fontId="100" fillId="0" borderId="0" xfId="0" applyFont="1" applyBorder="1"/>
    <xf numFmtId="164" fontId="100" fillId="0" borderId="0" xfId="19" applyNumberFormat="1" applyFont="1" applyBorder="1"/>
    <xf numFmtId="0" fontId="100" fillId="0" borderId="0" xfId="0" applyFont="1" applyBorder="1" applyAlignment="1">
      <alignment horizontal="right"/>
    </xf>
    <xf numFmtId="0" fontId="33" fillId="9" borderId="17" xfId="0" applyFont="1" applyFill="1" applyBorder="1"/>
    <xf numFmtId="3" fontId="100" fillId="9" borderId="5" xfId="0" applyNumberFormat="1" applyFont="1" applyFill="1" applyBorder="1" applyAlignment="1">
      <alignment horizontal="right"/>
    </xf>
    <xf numFmtId="0" fontId="33" fillId="9" borderId="11" xfId="0" applyFont="1" applyFill="1" applyBorder="1"/>
    <xf numFmtId="0" fontId="33" fillId="9" borderId="5" xfId="0" applyFont="1" applyFill="1" applyBorder="1" applyAlignment="1">
      <alignment horizontal="right"/>
    </xf>
    <xf numFmtId="0" fontId="100" fillId="9" borderId="5" xfId="0" applyFont="1" applyFill="1" applyBorder="1"/>
    <xf numFmtId="164" fontId="100" fillId="9" borderId="5" xfId="19" applyNumberFormat="1" applyFont="1" applyFill="1" applyBorder="1" applyAlignment="1">
      <alignment horizontal="right"/>
    </xf>
    <xf numFmtId="0" fontId="33" fillId="18" borderId="7" xfId="0" applyFont="1" applyFill="1" applyBorder="1"/>
    <xf numFmtId="0" fontId="102" fillId="18" borderId="3" xfId="0" applyFont="1" applyFill="1" applyBorder="1" applyAlignment="1">
      <alignment horizontal="right"/>
    </xf>
    <xf numFmtId="0" fontId="33" fillId="0" borderId="0" xfId="0" applyFont="1" applyFill="1" applyBorder="1"/>
    <xf numFmtId="0" fontId="31" fillId="0" borderId="0" xfId="0" applyFont="1"/>
    <xf numFmtId="0" fontId="30" fillId="0" borderId="0" xfId="0" applyFont="1"/>
    <xf numFmtId="0" fontId="29" fillId="0" borderId="0" xfId="0" applyFont="1"/>
    <xf numFmtId="0" fontId="102" fillId="0" borderId="0" xfId="0" applyFont="1"/>
    <xf numFmtId="0" fontId="28" fillId="0" borderId="0" xfId="0" applyFont="1"/>
    <xf numFmtId="0" fontId="33" fillId="0" borderId="0" xfId="0" applyFont="1" applyFill="1"/>
    <xf numFmtId="0" fontId="100" fillId="0" borderId="0" xfId="0" applyFont="1" applyFill="1"/>
    <xf numFmtId="0" fontId="33" fillId="0" borderId="0" xfId="0" applyFont="1" applyFill="1" applyAlignment="1">
      <alignment horizontal="left" vertical="center" wrapText="1"/>
    </xf>
    <xf numFmtId="0" fontId="112" fillId="9" borderId="11" xfId="0" applyFont="1" applyFill="1" applyBorder="1"/>
    <xf numFmtId="0" fontId="135" fillId="9" borderId="11" xfId="0" applyFont="1" applyFill="1" applyBorder="1"/>
    <xf numFmtId="0" fontId="135" fillId="9" borderId="5" xfId="0" applyFont="1" applyFill="1" applyBorder="1"/>
    <xf numFmtId="165" fontId="112" fillId="9" borderId="6" xfId="0" applyNumberFormat="1" applyFont="1" applyFill="1" applyBorder="1"/>
    <xf numFmtId="0" fontId="27" fillId="0" borderId="0" xfId="0" applyFont="1"/>
    <xf numFmtId="0" fontId="26" fillId="0" borderId="0" xfId="0" applyFont="1"/>
    <xf numFmtId="0" fontId="109" fillId="0" borderId="0" xfId="15" applyFont="1" applyProtection="1"/>
    <xf numFmtId="0" fontId="25" fillId="0" borderId="0" xfId="0" applyFont="1"/>
    <xf numFmtId="0" fontId="25" fillId="0" borderId="7" xfId="0" applyFont="1" applyBorder="1" applyAlignment="1" applyProtection="1"/>
    <xf numFmtId="0" fontId="25" fillId="18" borderId="4" xfId="0" applyFont="1" applyFill="1" applyBorder="1" applyAlignment="1">
      <alignment horizontal="center"/>
    </xf>
    <xf numFmtId="0" fontId="25" fillId="9" borderId="7" xfId="0" applyFont="1" applyFill="1" applyBorder="1"/>
    <xf numFmtId="0" fontId="25" fillId="9" borderId="3" xfId="0" applyFont="1" applyFill="1" applyBorder="1"/>
    <xf numFmtId="0" fontId="25" fillId="0" borderId="0" xfId="0" applyFont="1" applyAlignment="1" applyProtection="1"/>
    <xf numFmtId="4" fontId="25" fillId="11" borderId="17" xfId="0" applyNumberFormat="1" applyFont="1" applyFill="1" applyBorder="1" applyAlignment="1" applyProtection="1">
      <protection locked="0"/>
    </xf>
    <xf numFmtId="0" fontId="25" fillId="9" borderId="17" xfId="0" applyFont="1" applyFill="1" applyBorder="1" applyAlignment="1" applyProtection="1">
      <alignment horizontal="center"/>
    </xf>
    <xf numFmtId="4" fontId="25" fillId="9" borderId="5" xfId="0" applyNumberFormat="1" applyFont="1" applyFill="1" applyBorder="1" applyAlignment="1" applyProtection="1"/>
    <xf numFmtId="166" fontId="25" fillId="0" borderId="0" xfId="0" applyNumberFormat="1" applyFont="1"/>
    <xf numFmtId="4" fontId="25" fillId="9" borderId="11" xfId="0" applyNumberFormat="1" applyFont="1" applyFill="1" applyBorder="1" applyAlignment="1" applyProtection="1"/>
    <xf numFmtId="0" fontId="25" fillId="9" borderId="5" xfId="0" applyFont="1" applyFill="1" applyBorder="1" applyAlignment="1" applyProtection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Border="1"/>
    <xf numFmtId="0" fontId="102" fillId="24" borderId="3" xfId="0" applyFont="1" applyFill="1" applyBorder="1" applyAlignment="1">
      <alignment horizontal="right"/>
    </xf>
    <xf numFmtId="0" fontId="102" fillId="24" borderId="19" xfId="0" applyFont="1" applyFill="1" applyBorder="1" applyAlignment="1">
      <alignment horizontal="right"/>
    </xf>
    <xf numFmtId="0" fontId="100" fillId="9" borderId="5" xfId="0" applyFont="1" applyFill="1" applyBorder="1" applyAlignment="1">
      <alignment horizontal="right"/>
    </xf>
    <xf numFmtId="0" fontId="100" fillId="9" borderId="17" xfId="0" applyFont="1" applyFill="1" applyBorder="1"/>
    <xf numFmtId="0" fontId="24" fillId="0" borderId="0" xfId="0" applyFont="1"/>
    <xf numFmtId="0" fontId="23" fillId="0" borderId="0" xfId="0" applyFont="1"/>
    <xf numFmtId="0" fontId="23" fillId="0" borderId="3" xfId="0" applyFont="1" applyBorder="1"/>
    <xf numFmtId="0" fontId="22" fillId="0" borderId="0" xfId="0" applyFont="1"/>
    <xf numFmtId="0" fontId="0" fillId="0" borderId="0" xfId="0" applyFont="1"/>
    <xf numFmtId="0" fontId="21" fillId="9" borderId="3" xfId="0" applyFont="1" applyFill="1" applyBorder="1"/>
    <xf numFmtId="0" fontId="20" fillId="9" borderId="5" xfId="0" applyFont="1" applyFill="1" applyBorder="1"/>
    <xf numFmtId="0" fontId="19" fillId="0" borderId="0" xfId="0" applyFont="1"/>
    <xf numFmtId="0" fontId="111" fillId="0" borderId="0" xfId="0" applyFont="1" applyAlignment="1">
      <alignment horizontal="left" vertical="center" wrapText="1"/>
    </xf>
    <xf numFmtId="0" fontId="105" fillId="0" borderId="0" xfId="0" applyFont="1" applyAlignment="1">
      <alignment horizontal="right" vertical="center" wrapText="1"/>
    </xf>
    <xf numFmtId="166" fontId="105" fillId="0" borderId="0" xfId="0" applyNumberFormat="1" applyFont="1" applyAlignment="1">
      <alignment horizontal="right" vertical="center" wrapText="1"/>
    </xf>
    <xf numFmtId="166" fontId="105" fillId="0" borderId="7" xfId="0" applyNumberFormat="1" applyFont="1" applyBorder="1" applyAlignment="1">
      <alignment horizontal="right" vertical="center" wrapText="1"/>
    </xf>
    <xf numFmtId="0" fontId="19" fillId="0" borderId="0" xfId="0" applyFont="1" applyFill="1"/>
    <xf numFmtId="0" fontId="111" fillId="0" borderId="0" xfId="0" applyFont="1" applyAlignment="1">
      <alignment horizontal="right" vertical="center" wrapText="1"/>
    </xf>
    <xf numFmtId="166" fontId="111" fillId="0" borderId="0" xfId="0" applyNumberFormat="1" applyFont="1" applyAlignment="1">
      <alignment horizontal="right" vertical="center" wrapText="1"/>
    </xf>
    <xf numFmtId="0" fontId="111" fillId="0" borderId="7" xfId="0" applyFont="1" applyBorder="1" applyAlignment="1">
      <alignment horizontal="right" vertical="center" wrapText="1"/>
    </xf>
    <xf numFmtId="166" fontId="111" fillId="0" borderId="7" xfId="0" applyNumberFormat="1" applyFont="1" applyBorder="1" applyAlignment="1">
      <alignment horizontal="right" vertical="center" wrapText="1"/>
    </xf>
    <xf numFmtId="0" fontId="111" fillId="0" borderId="7" xfId="0" applyFont="1" applyBorder="1" applyAlignment="1">
      <alignment horizontal="left" vertical="center" wrapText="1"/>
    </xf>
    <xf numFmtId="0" fontId="105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right"/>
    </xf>
    <xf numFmtId="4" fontId="18" fillId="0" borderId="0" xfId="0" applyNumberFormat="1" applyFont="1"/>
    <xf numFmtId="0" fontId="18" fillId="0" borderId="0" xfId="0" applyFont="1" applyFill="1" applyBorder="1"/>
    <xf numFmtId="0" fontId="18" fillId="0" borderId="0" xfId="0" applyFont="1" applyAlignment="1">
      <alignment horizontal="left" vertical="center" wrapText="1"/>
    </xf>
    <xf numFmtId="0" fontId="114" fillId="0" borderId="0" xfId="0" applyFont="1" applyAlignment="1">
      <alignment horizontal="right" vertical="center" wrapText="1"/>
    </xf>
    <xf numFmtId="0" fontId="115" fillId="0" borderId="0" xfId="0" applyFont="1" applyAlignment="1">
      <alignment horizontal="right" vertical="center" wrapText="1"/>
    </xf>
    <xf numFmtId="0" fontId="143" fillId="0" borderId="0" xfId="0" applyFont="1" applyAlignment="1">
      <alignment horizontal="right" vertical="center" wrapText="1"/>
    </xf>
    <xf numFmtId="0" fontId="17" fillId="0" borderId="0" xfId="0" applyFont="1"/>
    <xf numFmtId="0" fontId="143" fillId="0" borderId="7" xfId="0" applyFont="1" applyBorder="1" applyAlignment="1">
      <alignment horizontal="right" vertical="center" wrapText="1"/>
    </xf>
    <xf numFmtId="166" fontId="18" fillId="0" borderId="0" xfId="0" applyNumberFormat="1" applyFont="1"/>
    <xf numFmtId="167" fontId="111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Font="1" applyAlignment="1">
      <alignment horizontal="right"/>
    </xf>
    <xf numFmtId="0" fontId="143" fillId="0" borderId="0" xfId="0" applyFont="1" applyBorder="1" applyAlignment="1">
      <alignment horizontal="right" vertical="center" wrapText="1"/>
    </xf>
    <xf numFmtId="0" fontId="15" fillId="0" borderId="0" xfId="0" applyFont="1"/>
    <xf numFmtId="0" fontId="15" fillId="0" borderId="0" xfId="0" quotePrefix="1" applyFont="1"/>
    <xf numFmtId="0" fontId="14" fillId="0" borderId="0" xfId="0" applyFont="1"/>
    <xf numFmtId="0" fontId="14" fillId="0" borderId="3" xfId="0" applyFont="1" applyBorder="1" applyAlignment="1"/>
    <xf numFmtId="0" fontId="111" fillId="9" borderId="4" xfId="0" applyFont="1" applyFill="1" applyBorder="1" applyAlignment="1">
      <alignment horizontal="right"/>
    </xf>
    <xf numFmtId="0" fontId="33" fillId="9" borderId="5" xfId="0" applyFont="1" applyFill="1" applyBorder="1"/>
    <xf numFmtId="0" fontId="100" fillId="9" borderId="4" xfId="0" applyFont="1" applyFill="1" applyBorder="1" applyAlignment="1">
      <alignment horizontal="right"/>
    </xf>
    <xf numFmtId="0" fontId="100" fillId="9" borderId="3" xfId="0" applyFont="1" applyFill="1" applyBorder="1"/>
    <xf numFmtId="0" fontId="116" fillId="0" borderId="0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right"/>
    </xf>
    <xf numFmtId="0" fontId="10" fillId="11" borderId="6" xfId="0" applyFont="1" applyFill="1" applyBorder="1" applyAlignment="1" applyProtection="1">
      <protection locked="0"/>
    </xf>
    <xf numFmtId="4" fontId="3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right"/>
    </xf>
    <xf numFmtId="165" fontId="18" fillId="0" borderId="0" xfId="0" applyNumberFormat="1" applyFont="1"/>
    <xf numFmtId="0" fontId="105" fillId="9" borderId="6" xfId="0" applyFont="1" applyFill="1" applyBorder="1" applyAlignment="1" applyProtection="1">
      <alignment horizontal="right"/>
    </xf>
    <xf numFmtId="0" fontId="33" fillId="0" borderId="0" xfId="0" applyFont="1" applyProtection="1">
      <protection locked="0"/>
    </xf>
    <xf numFmtId="0" fontId="8" fillId="0" borderId="0" xfId="0" applyFont="1"/>
    <xf numFmtId="0" fontId="7" fillId="0" borderId="0" xfId="0" applyFont="1"/>
    <xf numFmtId="0" fontId="7" fillId="9" borderId="7" xfId="0" applyFont="1" applyFill="1" applyBorder="1"/>
    <xf numFmtId="0" fontId="33" fillId="9" borderId="7" xfId="0" applyFont="1" applyFill="1" applyBorder="1"/>
    <xf numFmtId="0" fontId="33" fillId="9" borderId="3" xfId="0" applyFont="1" applyFill="1" applyBorder="1"/>
    <xf numFmtId="164" fontId="33" fillId="11" borderId="6" xfId="0" applyNumberFormat="1" applyFont="1" applyFill="1" applyBorder="1" applyProtection="1">
      <protection locked="0"/>
    </xf>
    <xf numFmtId="3" fontId="7" fillId="11" borderId="6" xfId="0" applyNumberFormat="1" applyFont="1" applyFill="1" applyBorder="1" applyProtection="1">
      <protection locked="0"/>
    </xf>
    <xf numFmtId="0" fontId="33" fillId="15" borderId="6" xfId="0" applyFont="1" applyFill="1" applyBorder="1"/>
    <xf numFmtId="0" fontId="18" fillId="15" borderId="6" xfId="0" applyFont="1" applyFill="1" applyBorder="1"/>
    <xf numFmtId="0" fontId="7" fillId="0" borderId="0" xfId="0" applyFont="1" applyAlignment="1">
      <alignment horizontal="right"/>
    </xf>
    <xf numFmtId="165" fontId="111" fillId="15" borderId="6" xfId="0" applyNumberFormat="1" applyFont="1" applyFill="1" applyBorder="1" applyProtection="1"/>
    <xf numFmtId="0" fontId="6" fillId="0" borderId="0" xfId="0" applyFont="1"/>
    <xf numFmtId="0" fontId="5" fillId="0" borderId="0" xfId="0" applyFont="1" applyAlignment="1">
      <alignment horizontal="right"/>
    </xf>
    <xf numFmtId="0" fontId="4" fillId="9" borderId="11" xfId="0" applyFont="1" applyFill="1" applyBorder="1"/>
    <xf numFmtId="0" fontId="3" fillId="0" borderId="0" xfId="0" applyFont="1"/>
    <xf numFmtId="0" fontId="18" fillId="15" borderId="6" xfId="0" applyNumberFormat="1" applyFont="1" applyFill="1" applyBorder="1"/>
    <xf numFmtId="0" fontId="2" fillId="0" borderId="0" xfId="0" applyFont="1" applyAlignment="1">
      <alignment horizontal="right"/>
    </xf>
    <xf numFmtId="0" fontId="45" fillId="9" borderId="18" xfId="0" applyFont="1" applyFill="1" applyBorder="1" applyAlignment="1" applyProtection="1">
      <alignment horizontal="center" vertical="center"/>
    </xf>
    <xf numFmtId="0" fontId="45" fillId="9" borderId="13" xfId="0" applyFont="1" applyFill="1" applyBorder="1" applyAlignment="1" applyProtection="1">
      <alignment horizontal="center" vertical="center"/>
    </xf>
    <xf numFmtId="0" fontId="45" fillId="9" borderId="12" xfId="0" applyFont="1" applyFill="1" applyBorder="1" applyAlignment="1" applyProtection="1">
      <alignment horizontal="center" vertical="center"/>
    </xf>
    <xf numFmtId="0" fontId="45" fillId="9" borderId="15" xfId="0" applyFont="1" applyFill="1" applyBorder="1" applyAlignment="1" applyProtection="1">
      <alignment horizontal="center" vertical="center"/>
    </xf>
    <xf numFmtId="0" fontId="45" fillId="9" borderId="19" xfId="0" applyFont="1" applyFill="1" applyBorder="1" applyAlignment="1" applyProtection="1">
      <alignment horizontal="center" vertical="center"/>
    </xf>
    <xf numFmtId="0" fontId="45" fillId="9" borderId="3" xfId="0" applyFont="1" applyFill="1" applyBorder="1" applyAlignment="1" applyProtection="1">
      <alignment horizontal="center" vertical="center"/>
    </xf>
    <xf numFmtId="0" fontId="45" fillId="11" borderId="17" xfId="0" applyFont="1" applyFill="1" applyBorder="1" applyAlignment="1" applyProtection="1">
      <protection locked="0"/>
    </xf>
    <xf numFmtId="0" fontId="45" fillId="11" borderId="5" xfId="0" applyFont="1" applyFill="1" applyBorder="1" applyAlignment="1" applyProtection="1">
      <protection locked="0"/>
    </xf>
    <xf numFmtId="0" fontId="109" fillId="0" borderId="0" xfId="15" applyFont="1" applyProtection="1">
      <protection locked="0"/>
    </xf>
    <xf numFmtId="0" fontId="50" fillId="11" borderId="17" xfId="0" applyFont="1" applyFill="1" applyBorder="1" applyAlignment="1" applyProtection="1"/>
    <xf numFmtId="0" fontId="81" fillId="11" borderId="5" xfId="0" applyFont="1" applyFill="1" applyBorder="1" applyAlignment="1" applyProtection="1"/>
    <xf numFmtId="0" fontId="81" fillId="11" borderId="17" xfId="0" applyFont="1" applyFill="1" applyBorder="1" applyAlignment="1" applyProtection="1"/>
    <xf numFmtId="0" fontId="61" fillId="9" borderId="18" xfId="0" applyFont="1" applyFill="1" applyBorder="1" applyAlignment="1" applyProtection="1">
      <alignment horizontal="center" vertical="center"/>
    </xf>
    <xf numFmtId="0" fontId="62" fillId="9" borderId="13" xfId="0" applyFont="1" applyFill="1" applyBorder="1" applyAlignment="1" applyProtection="1">
      <alignment horizontal="center" vertical="center"/>
    </xf>
    <xf numFmtId="0" fontId="62" fillId="9" borderId="12" xfId="0" applyFont="1" applyFill="1" applyBorder="1" applyAlignment="1" applyProtection="1">
      <alignment horizontal="center" vertical="center"/>
    </xf>
    <xf numFmtId="0" fontId="62" fillId="9" borderId="15" xfId="0" applyFont="1" applyFill="1" applyBorder="1" applyAlignment="1" applyProtection="1">
      <alignment horizontal="center" vertical="center"/>
    </xf>
    <xf numFmtId="0" fontId="62" fillId="9" borderId="19" xfId="0" applyFont="1" applyFill="1" applyBorder="1" applyAlignment="1" applyProtection="1">
      <alignment horizontal="center" vertical="center"/>
    </xf>
    <xf numFmtId="0" fontId="62" fillId="9" borderId="3" xfId="0" applyFont="1" applyFill="1" applyBorder="1" applyAlignment="1" applyProtection="1">
      <alignment horizontal="center" vertical="center"/>
    </xf>
    <xf numFmtId="0" fontId="109" fillId="0" borderId="0" xfId="15" applyFont="1" applyProtection="1"/>
    <xf numFmtId="0" fontId="47" fillId="9" borderId="18" xfId="0" applyFont="1" applyFill="1" applyBorder="1" applyAlignment="1" applyProtection="1">
      <alignment horizontal="center" vertical="center"/>
    </xf>
    <xf numFmtId="0" fontId="102" fillId="24" borderId="11" xfId="0" applyFont="1" applyFill="1" applyBorder="1" applyAlignment="1" applyProtection="1">
      <alignment horizontal="right"/>
      <protection locked="0"/>
    </xf>
    <xf numFmtId="0" fontId="102" fillId="24" borderId="5" xfId="0" applyFont="1" applyFill="1" applyBorder="1" applyAlignment="1" applyProtection="1">
      <alignment horizontal="right"/>
      <protection locked="0"/>
    </xf>
    <xf numFmtId="2" fontId="33" fillId="11" borderId="17" xfId="0" applyNumberFormat="1" applyFont="1" applyFill="1" applyBorder="1" applyProtection="1">
      <protection locked="0"/>
    </xf>
    <xf numFmtId="2" fontId="33" fillId="11" borderId="5" xfId="0" applyNumberFormat="1" applyFont="1" applyFill="1" applyBorder="1" applyProtection="1">
      <protection locked="0"/>
    </xf>
    <xf numFmtId="0" fontId="33" fillId="11" borderId="17" xfId="0" applyFont="1" applyFill="1" applyBorder="1" applyProtection="1">
      <protection locked="0"/>
    </xf>
    <xf numFmtId="0" fontId="33" fillId="11" borderId="5" xfId="0" applyFont="1" applyFill="1" applyBorder="1" applyProtection="1">
      <protection locked="0"/>
    </xf>
    <xf numFmtId="0" fontId="109" fillId="0" borderId="0" xfId="15" applyFont="1" applyAlignment="1" applyProtection="1">
      <alignment horizontal="right"/>
      <protection locked="0"/>
    </xf>
    <xf numFmtId="0" fontId="109" fillId="0" borderId="8" xfId="15" applyFont="1" applyBorder="1" applyAlignment="1" applyProtection="1">
      <alignment horizontal="right"/>
      <protection locked="0"/>
    </xf>
    <xf numFmtId="0" fontId="102" fillId="18" borderId="11" xfId="0" applyFont="1" applyFill="1" applyBorder="1" applyAlignment="1" applyProtection="1">
      <alignment horizontal="right"/>
    </xf>
    <xf numFmtId="0" fontId="102" fillId="18" borderId="5" xfId="0" applyFont="1" applyFill="1" applyBorder="1" applyAlignment="1" applyProtection="1">
      <alignment horizontal="right"/>
    </xf>
  </cellXfs>
  <cellStyles count="20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Excel Built-in Normal" xfId="12"/>
    <cellStyle name="Footnote" xfId="13"/>
    <cellStyle name="Good" xfId="3" builtinId="26" customBuiltin="1"/>
    <cellStyle name="Heading" xfId="14"/>
    <cellStyle name="Heading 1" xfId="1" builtinId="16" customBuiltin="1"/>
    <cellStyle name="Heading 2" xfId="2" builtinId="17" customBuiltin="1"/>
    <cellStyle name="Hyperlink" xfId="15"/>
    <cellStyle name="Neutral" xfId="5" builtinId="28" customBuiltin="1"/>
    <cellStyle name="Normal" xfId="0" builtinId="0" customBuiltin="1"/>
    <cellStyle name="Note" xfId="6" builtinId="10" customBuiltin="1"/>
    <cellStyle name="Percent" xfId="19" builtinId="5"/>
    <cellStyle name="Status" xfId="16"/>
    <cellStyle name="Text" xfId="17"/>
    <cellStyle name="Warning" xfId="18"/>
  </cellStyles>
  <dxfs count="30"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</dxfs>
  <tableStyles count="0" defaultTableStyle="TableStyleMedium2" defaultPivotStyle="PivotStyleLight16"/>
  <colors>
    <mruColors>
      <color rgb="FFFFCCCC"/>
      <color rgb="FFFFFFCC"/>
      <color rgb="FF0000FF"/>
      <color rgb="FF00008B"/>
      <color rgb="FF00FF00"/>
      <color rgb="FF8080FF"/>
      <color rgb="FF80FF80"/>
      <color rgb="FFDA2C43"/>
      <color rgb="FFCCCCFF"/>
      <color rgb="FFF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'Tools - Info'!$CL$66</c:f>
          <c:strCache>
            <c:ptCount val="1"/>
            <c:pt idx="0">
              <c:v>Expert tool to compare and optimise the retention duration; SBGx advantage 15.0%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9209448"/>
        <c:axId val="169017472"/>
        <c:extLst>
          <c:ext xmlns:c15="http://schemas.microsoft.com/office/drawing/2012/chart" uri="{02D57815-91ED-43cb-92C2-25804820EDAC}">
            <c15:filteredBarSeries>
              <c15:ser>
                <c:idx val="15"/>
                <c:order val="8"/>
                <c:tx>
                  <c:strRef>
                    <c:extLst>
                      <c:ext uri="{02D57815-91ED-43cb-92C2-25804820EDAC}">
                        <c15:formulaRef>
                          <c15:sqref>'Tools - Info'!$DE$58</c15:sqref>
                        </c15:formulaRef>
                      </c:ext>
                    </c:extLst>
                    <c:strCache>
                      <c:ptCount val="1"/>
                      <c:pt idx="0">
                        <c:v>SBGx ret. end</c:v>
                      </c:pt>
                    </c:strCache>
                  </c:strRef>
                </c:tx>
                <c:spPr>
                  <a:solidFill>
                    <a:schemeClr val="bg1">
                      <a:lumMod val="85000"/>
                    </a:schemeClr>
                  </a:solidFill>
                  <a:ln w="12700">
                    <a:solidFill>
                      <a:srgbClr val="00FF00"/>
                    </a:solidFill>
                    <a:prstDash val="solid"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'Tools - Info'!$DE$60:$DE$99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1029.6905857856802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Info'!$DF$58</c15:sqref>
                        </c15:formulaRef>
                      </c:ext>
                    </c:extLst>
                    <c:strCache>
                      <c:ptCount val="1"/>
                      <c:pt idx="0">
                        <c:v>Standard ret. end</c:v>
                      </c:pt>
                    </c:strCache>
                  </c:strRef>
                </c:tx>
                <c:spPr>
                  <a:solidFill>
                    <a:schemeClr val="bg1">
                      <a:lumMod val="85000"/>
                    </a:schemeClr>
                  </a:solidFill>
                  <a:ln w="12700">
                    <a:solidFill>
                      <a:srgbClr val="0000FF"/>
                    </a:solidFill>
                    <a:prstDash val="solid"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Info'!$DF$60:$DF$99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1029.6905857856802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"/>
          <c:order val="0"/>
          <c:tx>
            <c:strRef>
              <c:f>'Tools - Info'!$CP$58</c:f>
              <c:strCache>
                <c:ptCount val="1"/>
                <c:pt idx="0">
                  <c:v>SBGx vol./day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E812BA0-D2BA-4E1F-871B-6F87EE570EBA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D6C3F4-8E79-452E-93C0-9064476A2B9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AC11E18-C167-4AB2-8A55-3A7C47499AC7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9ECC72A-9A4F-4591-8561-C7BB80EC591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C12AD46-59A3-4628-AEFD-223545DB8B9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90E4073-5BB0-45CA-B7E2-CFF1DCB126C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7FF8861-046B-45B1-8985-C5A4B82C49F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2AB30C9-D5F6-4720-BCDC-CB1070E82A6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7FC74901-DBA9-498D-B3EF-9E13B6E75828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7D6B9FA-C599-415C-B66A-A63B25FC026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D44A366-F296-43EE-B470-F115C349FADB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859434B-0CC8-433B-9975-F6FEB314ED2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8FCB56C-922C-49DF-8ADE-75D2743BCA8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A3F3D5AB-E9E9-4A61-96DA-925177D7576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0396D521-22D2-4ABF-BD67-307C36593790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F87BAA4E-6E12-4BB2-A9D8-14B10D8A7FE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E88A2F3-9C45-49ED-BEDA-E06AB570355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F7DF706-DA37-44C5-A853-52E24F9F0B5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97D85763-B583-43BB-9956-4A2CB142B6D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DC48892C-8B0F-455A-90E1-BB9BA4B428F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FEDEF1E2-1468-4D97-8282-000A5C089C5B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929D346-ECC1-43E0-A368-901A7F42627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B63E1A85-1EBD-47B2-A5CE-E8EECDD4610D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9F8D7623-1DD0-4018-B43E-88D1372729C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CAEE6415-31A0-48F1-8479-841FF81C464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86FCD362-CF9F-42EB-90E1-2A30C01142EB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C0F1D624-5A16-4F5D-819A-157E5D6E1ED1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0942F254-CFB1-4C7F-89DF-802EE9A9B8E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CC685EFD-56D4-46BF-9CB7-024DE74BE18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962826AF-BB98-41EA-84D8-0DC249E57825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DDB1A4BD-50F4-455F-B599-A385F0BB67D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F3A4988A-D153-41F2-AF61-F1D1FBFB2687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F184C285-4F9D-42DF-AB9C-E0AF2912627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D871F93F-374F-4EFD-B98D-8C03808C3EDD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ABD277B9-BF7D-4834-BE87-B9799CFE85A1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3C3947A5-C5C4-4D61-A0CB-D2C5E286231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13A144FE-7859-418B-A9AD-389427D34ADF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726D3733-F66D-482D-8059-B29FEDBB9E81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DE401427-99A9-4BF5-AD32-18A58CA63118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99AF8DF8-1FFA-4947-8621-CDC6B72205B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val>
            <c:numRef>
              <c:f>'Tools - Info'!$CP$60:$CP$99</c:f>
              <c:numCache>
                <c:formatCode>#,##0.000</c:formatCode>
                <c:ptCount val="40"/>
                <c:pt idx="0">
                  <c:v>11.339888248466147</c:v>
                </c:pt>
                <c:pt idx="1">
                  <c:v>52.957788926113871</c:v>
                </c:pt>
                <c:pt idx="2">
                  <c:v>133.35223314708082</c:v>
                </c:pt>
                <c:pt idx="3">
                  <c:v>266.70446629416165</c:v>
                </c:pt>
                <c:pt idx="4">
                  <c:v>470.97569649963964</c:v>
                </c:pt>
                <c:pt idx="5">
                  <c:v>691.13298636850948</c:v>
                </c:pt>
                <c:pt idx="6">
                  <c:v>857.1257086632022</c:v>
                </c:pt>
                <c:pt idx="7">
                  <c:v>945.82074675973558</c:v>
                </c:pt>
                <c:pt idx="8">
                  <c:v>980.65770074826685</c:v>
                </c:pt>
                <c:pt idx="9">
                  <c:v>980.22990091006454</c:v>
                </c:pt>
                <c:pt idx="10">
                  <c:v>942.13017502121454</c:v>
                </c:pt>
                <c:pt idx="11">
                  <c:v>852.37521493749341</c:v>
                </c:pt>
                <c:pt idx="12">
                  <c:v>706.83387893775387</c:v>
                </c:pt>
                <c:pt idx="13">
                  <c:v>535.99488683417269</c:v>
                </c:pt>
                <c:pt idx="14">
                  <c:v>385.48596465351727</c:v>
                </c:pt>
                <c:pt idx="15">
                  <c:v>272.68727895678137</c:v>
                </c:pt>
                <c:pt idx="16">
                  <c:v>194.14450567728696</c:v>
                </c:pt>
                <c:pt idx="17">
                  <c:v>142.5020416268398</c:v>
                </c:pt>
                <c:pt idx="18">
                  <c:v>111.82176964830386</c:v>
                </c:pt>
                <c:pt idx="19">
                  <c:v>90.725491059941149</c:v>
                </c:pt>
                <c:pt idx="20">
                  <c:v>74.916052263093079</c:v>
                </c:pt>
                <c:pt idx="21">
                  <c:v>62.043746683753128</c:v>
                </c:pt>
                <c:pt idx="22">
                  <c:v>51.38067608975625</c:v>
                </c:pt>
                <c:pt idx="23">
                  <c:v>42.313873548752902</c:v>
                </c:pt>
                <c:pt idx="24">
                  <c:v>34.747562977563504</c:v>
                </c:pt>
                <c:pt idx="25">
                  <c:v>28.190093815866017</c:v>
                </c:pt>
                <c:pt idx="26">
                  <c:v>22.558460124904784</c:v>
                </c:pt>
                <c:pt idx="27">
                  <c:v>17.724960460440329</c:v>
                </c:pt>
                <c:pt idx="28">
                  <c:v>13.587433667081061</c:v>
                </c:pt>
                <c:pt idx="29">
                  <c:v>10.062873806071311</c:v>
                </c:pt>
                <c:pt idx="30">
                  <c:v>7.1002002997152918</c:v>
                </c:pt>
                <c:pt idx="31">
                  <c:v>4.6419474981052309</c:v>
                </c:pt>
                <c:pt idx="32">
                  <c:v>2.6561900401812597</c:v>
                </c:pt>
                <c:pt idx="33">
                  <c:v>1.0982324204595593</c:v>
                </c:pt>
                <c:pt idx="34">
                  <c:v>0.63850722119741832</c:v>
                </c:pt>
                <c:pt idx="35">
                  <c:v>0.51080577695793461</c:v>
                </c:pt>
                <c:pt idx="36">
                  <c:v>0.3831043327184509</c:v>
                </c:pt>
                <c:pt idx="37">
                  <c:v>0.2554028884789673</c:v>
                </c:pt>
                <c:pt idx="38">
                  <c:v>0.12770144423948365</c:v>
                </c:pt>
                <c:pt idx="39">
                  <c:v>6.3850722119741826E-2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datalabelsRange>
                <c15:f>'Tools - Info'!$DK$60:$DK$99</c15:f>
                <c15:dlblRangeCache>
                  <c:ptCount val="40"/>
                  <c:pt idx="8">
                    <c:v>980.66</c:v>
                  </c:pt>
                  <c:pt idx="18">
                    <c:v>111.82</c:v>
                  </c:pt>
                  <c:pt idx="24">
                    <c:v>34.75</c:v>
                  </c:pt>
                </c15:dlblRangeCache>
              </c15:datalabelsRange>
            </c:ext>
          </c:extLst>
        </c:ser>
        <c:ser>
          <c:idx val="6"/>
          <c:order val="1"/>
          <c:tx>
            <c:strRef>
              <c:f>'Tools - Info'!$CV$58</c:f>
              <c:strCache>
                <c:ptCount val="1"/>
                <c:pt idx="0">
                  <c:v>Standard vol./day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E853CFA-6732-4E81-817C-AF364541D96A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FD58035-FEE2-47FB-B413-91C694FF1B1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30CF280-49B4-4DAA-87FE-8CB37710155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5C8AAC9-80ED-4D3E-9BCD-B971D0C57D7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98940CD-8A4F-4823-8875-FE42624AAD3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195514E-80FF-4BA6-BCDC-BD9BD1C1BD1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E861347-885D-46B2-91A1-AB8494B48C1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35B3F79-F708-47B2-B415-35A822F5751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38A2670-ABDA-485B-A239-122D2F75CB3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EC4CE0A-6BED-4B50-A077-C2D09B5C3E9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B3B8F46-7EF1-467A-991C-4EF52AC9131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BA147A-3492-4567-B675-9D0AB2963980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5CBAEA2D-04EB-46CC-8874-DFBA25DF0A8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4BE81D2-318B-4B34-B015-AC009E40BDEB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7CBFE78F-A585-4673-8826-D1A3A31C355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1007521-0621-4314-80A2-EF1DDDF5390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B126716-B647-4B7A-8580-785C86DC942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CD85834D-F507-4D39-90F2-A08B6C61E87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DAECBD53-F9CA-4F26-B29E-0FA0F38E341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C69F3FCD-E0EF-4C68-982F-D314AE94E08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F86B0816-29D3-4CA8-9474-F2358409B13F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5EC93DE4-5725-499C-9D23-E42F54AE3468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904882A5-D0EF-4C02-8C64-53AA4326D9A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DA37F2D-BA3B-41AA-98BC-784BC39ACC6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2EC48FF5-EB65-4A7B-BFB5-A914EC5567E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19619CB-0996-4574-BEC9-49C54455AA21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9CB12484-B479-4EA5-A285-1272E6AAB887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6605403-7C01-4754-A488-3B8E2FDBC3F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05D63CDD-668C-4B48-B4E6-41FE7A188C2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DC05193B-43A1-457B-9152-4E1EAED54002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7504896A-8994-46BE-AE77-D22B92A4F6BF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DC21B6DA-4A33-4C71-AFF8-82E1515CA37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3318DE78-3288-4839-A4CC-7000E798CE60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5FAE319F-4F91-4770-AB21-635F838315E6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3AC7E103-12D4-45D7-9391-E773B7BC9619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2D556B2E-57BC-4C46-ABC3-230CDD20469F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8EBB0A09-B5CB-41C6-91F6-0250447A27FE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2F98D803-4FEE-4FEB-8CCB-056982050F9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67A9F8D2-B658-43F8-8865-5286EE061C2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B2FB45AD-6B4D-4D8D-8158-52E3858B8025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val>
            <c:numRef>
              <c:f>'Tools - Info'!$CV$60:$CV$99</c:f>
              <c:numCache>
                <c:formatCode>#,##0.000</c:formatCode>
                <c:ptCount val="40"/>
                <c:pt idx="0">
                  <c:v>4.6530798878596196</c:v>
                </c:pt>
                <c:pt idx="1">
                  <c:v>17.700503896645785</c:v>
                </c:pt>
                <c:pt idx="2">
                  <c:v>41.797817618924853</c:v>
                </c:pt>
                <c:pt idx="3">
                  <c:v>80.03297407118545</c:v>
                </c:pt>
                <c:pt idx="4">
                  <c:v>136.59374515250127</c:v>
                </c:pt>
                <c:pt idx="5">
                  <c:v>217.97094230240174</c:v>
                </c:pt>
                <c:pt idx="6">
                  <c:v>330.19476905232511</c:v>
                </c:pt>
                <c:pt idx="7">
                  <c:v>463.57365900957791</c:v>
                </c:pt>
                <c:pt idx="8">
                  <c:v>587.49598660887762</c:v>
                </c:pt>
                <c:pt idx="9">
                  <c:v>666.1941377627378</c:v>
                </c:pt>
                <c:pt idx="10">
                  <c:v>699.51300980822953</c:v>
                </c:pt>
                <c:pt idx="11">
                  <c:v>701.54814474908119</c:v>
                </c:pt>
                <c:pt idx="12">
                  <c:v>680.71268702899886</c:v>
                </c:pt>
                <c:pt idx="13">
                  <c:v>623.86991110599433</c:v>
                </c:pt>
                <c:pt idx="14">
                  <c:v>539.40476093960524</c:v>
                </c:pt>
                <c:pt idx="15">
                  <c:v>458.79837702365325</c:v>
                </c:pt>
                <c:pt idx="16">
                  <c:v>393.26985197664436</c:v>
                </c:pt>
                <c:pt idx="17">
                  <c:v>338.1943063948878</c:v>
                </c:pt>
                <c:pt idx="18">
                  <c:v>291.40030299738237</c:v>
                </c:pt>
                <c:pt idx="19">
                  <c:v>250.82920643980233</c:v>
                </c:pt>
                <c:pt idx="20">
                  <c:v>215.09919299787424</c:v>
                </c:pt>
                <c:pt idx="21">
                  <c:v>183.24674612916246</c:v>
                </c:pt>
                <c:pt idx="22">
                  <c:v>154.56685372944594</c:v>
                </c:pt>
                <c:pt idx="23">
                  <c:v>128.54720700299052</c:v>
                </c:pt>
                <c:pt idx="24">
                  <c:v>104.79769925212722</c:v>
                </c:pt>
                <c:pt idx="25">
                  <c:v>83.619135641323737</c:v>
                </c:pt>
                <c:pt idx="26">
                  <c:v>67.286355226866988</c:v>
                </c:pt>
                <c:pt idx="27">
                  <c:v>54.398733961704274</c:v>
                </c:pt>
                <c:pt idx="28">
                  <c:v>43.612048767120619</c:v>
                </c:pt>
                <c:pt idx="29">
                  <c:v>35.198904323414837</c:v>
                </c:pt>
                <c:pt idx="30">
                  <c:v>27.918479327157719</c:v>
                </c:pt>
                <c:pt idx="31">
                  <c:v>21.803674343212904</c:v>
                </c:pt>
                <c:pt idx="32">
                  <c:v>16.671186224482902</c:v>
                </c:pt>
                <c:pt idx="33">
                  <c:v>12.398812872902703</c:v>
                </c:pt>
                <c:pt idx="34">
                  <c:v>8.8784524324917395</c:v>
                </c:pt>
                <c:pt idx="35">
                  <c:v>6.0443037735226977</c:v>
                </c:pt>
                <c:pt idx="36">
                  <c:v>3.8399659276578877</c:v>
                </c:pt>
                <c:pt idx="37">
                  <c:v>2.2372384107284637</c:v>
                </c:pt>
                <c:pt idx="38">
                  <c:v>1.2314211420396166</c:v>
                </c:pt>
                <c:pt idx="39">
                  <c:v>0.85541468645500074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datalabelsRange>
                <c15:f>'Tools - Info'!$DL$60:$DL$99</c15:f>
                <c15:dlblRangeCache>
                  <c:ptCount val="40"/>
                  <c:pt idx="11">
                    <c:v>701.55</c:v>
                  </c:pt>
                  <c:pt idx="18">
                    <c:v>291.40</c:v>
                  </c:pt>
                  <c:pt idx="24">
                    <c:v>104.80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09448"/>
        <c:axId val="169017472"/>
        <c:extLst>
          <c:ext xmlns:c15="http://schemas.microsoft.com/office/drawing/2012/chart" uri="{02D57815-91ED-43cb-92C2-25804820EDAC}">
            <c15:filteredLineSeries>
              <c15:ser>
                <c:idx val="0"/>
                <c:order val="10"/>
                <c:tx>
                  <c:strRef>
                    <c:extLst>
                      <c:ext uri="{02D57815-91ED-43cb-92C2-25804820EDAC}">
                        <c15:formulaRef>
                          <c15:sqref>'Tools - Info'!$CN$58</c15:sqref>
                        </c15:formulaRef>
                      </c:ext>
                    </c:extLst>
                    <c:strCache>
                      <c:ptCount val="1"/>
                      <c:pt idx="0">
                        <c:v>day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'Tools - Info'!$CN$60:$CN$99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Info'!$CR$58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Info'!$CR$60:$CR$99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0.11339888248466147</c:v>
                      </c:pt>
                      <c:pt idx="1">
                        <c:v>0.52957788926113869</c:v>
                      </c:pt>
                      <c:pt idx="2">
                        <c:v>1.3335223314708082</c:v>
                      </c:pt>
                      <c:pt idx="3">
                        <c:v>2.6670446629416165</c:v>
                      </c:pt>
                      <c:pt idx="4">
                        <c:v>4.7097569649963962</c:v>
                      </c:pt>
                      <c:pt idx="5">
                        <c:v>6.9113298636850953</c:v>
                      </c:pt>
                      <c:pt idx="6">
                        <c:v>8.5712570866320235</c:v>
                      </c:pt>
                      <c:pt idx="7">
                        <c:v>9.4582074675973562</c:v>
                      </c:pt>
                      <c:pt idx="8">
                        <c:v>9.8065770074826677</c:v>
                      </c:pt>
                      <c:pt idx="9">
                        <c:v>9.8022990091006452</c:v>
                      </c:pt>
                      <c:pt idx="10">
                        <c:v>9.4213017502121446</c:v>
                      </c:pt>
                      <c:pt idx="11">
                        <c:v>8.5237521493749338</c:v>
                      </c:pt>
                      <c:pt idx="12">
                        <c:v>7.0683387893775391</c:v>
                      </c:pt>
                      <c:pt idx="13">
                        <c:v>5.3599488683417267</c:v>
                      </c:pt>
                      <c:pt idx="14">
                        <c:v>3.8548596465351728</c:v>
                      </c:pt>
                      <c:pt idx="15">
                        <c:v>2.7268727895678135</c:v>
                      </c:pt>
                      <c:pt idx="16">
                        <c:v>1.9414450567728698</c:v>
                      </c:pt>
                      <c:pt idx="17">
                        <c:v>1.4250204162683979</c:v>
                      </c:pt>
                      <c:pt idx="18">
                        <c:v>1.1182176964830386</c:v>
                      </c:pt>
                      <c:pt idx="19">
                        <c:v>0.90725491059941155</c:v>
                      </c:pt>
                      <c:pt idx="20">
                        <c:v>0.7491605226309308</c:v>
                      </c:pt>
                      <c:pt idx="21">
                        <c:v>0.62043746683753132</c:v>
                      </c:pt>
                      <c:pt idx="22">
                        <c:v>0.5138067608975625</c:v>
                      </c:pt>
                      <c:pt idx="23">
                        <c:v>0.42313873548752901</c:v>
                      </c:pt>
                      <c:pt idx="24">
                        <c:v>0.34747562977563501</c:v>
                      </c:pt>
                      <c:pt idx="25">
                        <c:v>0.28190093815866019</c:v>
                      </c:pt>
                      <c:pt idx="26">
                        <c:v>0.22558460124904783</c:v>
                      </c:pt>
                      <c:pt idx="27">
                        <c:v>0.17724960460440328</c:v>
                      </c:pt>
                      <c:pt idx="28">
                        <c:v>0.13587433667081061</c:v>
                      </c:pt>
                      <c:pt idx="29">
                        <c:v>0.10062873806071311</c:v>
                      </c:pt>
                      <c:pt idx="30">
                        <c:v>7.1002002997152924E-2</c:v>
                      </c:pt>
                      <c:pt idx="31">
                        <c:v>4.6419474981052311E-2</c:v>
                      </c:pt>
                      <c:pt idx="32">
                        <c:v>2.6561900401812596E-2</c:v>
                      </c:pt>
                      <c:pt idx="33">
                        <c:v>1.0982324204595594E-2</c:v>
                      </c:pt>
                      <c:pt idx="34">
                        <c:v>6.3850722119741833E-3</c:v>
                      </c:pt>
                      <c:pt idx="35">
                        <c:v>5.1080577695793465E-3</c:v>
                      </c:pt>
                      <c:pt idx="36">
                        <c:v>3.8310433271845088E-3</c:v>
                      </c:pt>
                      <c:pt idx="37">
                        <c:v>2.5540288847896732E-3</c:v>
                      </c:pt>
                      <c:pt idx="38">
                        <c:v>1.2770144423948366E-3</c:v>
                      </c:pt>
                      <c:pt idx="39">
                        <c:v>6.3850722119741831E-4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Info'!$CS$58</c15:sqref>
                        </c15:formulaRef>
                      </c:ext>
                    </c:extLst>
                    <c:strCache>
                      <c:ptCount val="1"/>
                      <c:pt idx="0">
                        <c:v>sum_%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Info'!$CS$60:$CS$99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0.11339888248466147</c:v>
                      </c:pt>
                      <c:pt idx="1">
                        <c:v>0.64297677174580015</c:v>
                      </c:pt>
                      <c:pt idx="2">
                        <c:v>1.9764991032166084</c:v>
                      </c:pt>
                      <c:pt idx="3">
                        <c:v>4.6435437661582251</c:v>
                      </c:pt>
                      <c:pt idx="4">
                        <c:v>9.3533007311546221</c:v>
                      </c:pt>
                      <c:pt idx="5">
                        <c:v>16.264630594839716</c:v>
                      </c:pt>
                      <c:pt idx="6">
                        <c:v>24.835887681471739</c:v>
                      </c:pt>
                      <c:pt idx="7">
                        <c:v>34.294095149069094</c:v>
                      </c:pt>
                      <c:pt idx="8">
                        <c:v>44.100672156551759</c:v>
                      </c:pt>
                      <c:pt idx="9">
                        <c:v>53.902971165652403</c:v>
                      </c:pt>
                      <c:pt idx="10">
                        <c:v>63.324272915864547</c:v>
                      </c:pt>
                      <c:pt idx="11">
                        <c:v>71.848025065239483</c:v>
                      </c:pt>
                      <c:pt idx="12">
                        <c:v>78.916363854617018</c:v>
                      </c:pt>
                      <c:pt idx="13">
                        <c:v>84.27631272295875</c:v>
                      </c:pt>
                      <c:pt idx="14">
                        <c:v>88.131172369493925</c:v>
                      </c:pt>
                      <c:pt idx="15">
                        <c:v>90.858045159061732</c:v>
                      </c:pt>
                      <c:pt idx="16">
                        <c:v>92.799490215834595</c:v>
                      </c:pt>
                      <c:pt idx="17">
                        <c:v>94.224510632102991</c:v>
                      </c:pt>
                      <c:pt idx="18">
                        <c:v>95.342728328586034</c:v>
                      </c:pt>
                      <c:pt idx="19">
                        <c:v>96.24998323918544</c:v>
                      </c:pt>
                      <c:pt idx="20">
                        <c:v>96.99914376181637</c:v>
                      </c:pt>
                      <c:pt idx="21">
                        <c:v>97.6195812286539</c:v>
                      </c:pt>
                      <c:pt idx="22">
                        <c:v>98.133387989551466</c:v>
                      </c:pt>
                      <c:pt idx="23">
                        <c:v>98.556526725038992</c:v>
                      </c:pt>
                      <c:pt idx="24">
                        <c:v>98.904002354814622</c:v>
                      </c:pt>
                      <c:pt idx="25">
                        <c:v>99.185903292973279</c:v>
                      </c:pt>
                      <c:pt idx="26">
                        <c:v>99.411487894222333</c:v>
                      </c:pt>
                      <c:pt idx="27">
                        <c:v>99.588737498826731</c:v>
                      </c:pt>
                      <c:pt idx="28">
                        <c:v>99.724611835497541</c:v>
                      </c:pt>
                      <c:pt idx="29">
                        <c:v>99.825240573558247</c:v>
                      </c:pt>
                      <c:pt idx="30">
                        <c:v>99.896242576555395</c:v>
                      </c:pt>
                      <c:pt idx="31">
                        <c:v>99.942662051536445</c:v>
                      </c:pt>
                      <c:pt idx="32">
                        <c:v>99.969223951938261</c:v>
                      </c:pt>
                      <c:pt idx="33">
                        <c:v>99.980206276142852</c:v>
                      </c:pt>
                      <c:pt idx="34">
                        <c:v>99.986591348354821</c:v>
                      </c:pt>
                      <c:pt idx="35">
                        <c:v>99.991699406124397</c:v>
                      </c:pt>
                      <c:pt idx="36">
                        <c:v>99.995530449451579</c:v>
                      </c:pt>
                      <c:pt idx="37">
                        <c:v>99.998084478336366</c:v>
                      </c:pt>
                      <c:pt idx="38">
                        <c:v>99.99936149277876</c:v>
                      </c:pt>
                      <c:pt idx="39">
                        <c:v>99.999999999999957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Info'!$CT$58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Info'!$CT$60:$CT$99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Info'!$CX$58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Info'!$CX$60:$CX$99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5.350827837925045E-2</c:v>
                      </c:pt>
                      <c:pt idx="1">
                        <c:v>0.20354765290531029</c:v>
                      </c:pt>
                      <c:pt idx="2">
                        <c:v>0.48065567639058016</c:v>
                      </c:pt>
                      <c:pt idx="3">
                        <c:v>0.92034238812310787</c:v>
                      </c:pt>
                      <c:pt idx="4">
                        <c:v>1.570765238644219</c:v>
                      </c:pt>
                      <c:pt idx="5">
                        <c:v>2.5065655738546657</c:v>
                      </c:pt>
                      <c:pt idx="6">
                        <c:v>3.7970879605833154</c:v>
                      </c:pt>
                      <c:pt idx="7">
                        <c:v>5.3308838432564158</c:v>
                      </c:pt>
                      <c:pt idx="8">
                        <c:v>6.7559336086577462</c:v>
                      </c:pt>
                      <c:pt idx="9">
                        <c:v>7.6609261472255952</c:v>
                      </c:pt>
                      <c:pt idx="10">
                        <c:v>8.0440778496806509</c:v>
                      </c:pt>
                      <c:pt idx="11">
                        <c:v>8.0674809653758182</c:v>
                      </c:pt>
                      <c:pt idx="12">
                        <c:v>7.827882785522065</c:v>
                      </c:pt>
                      <c:pt idx="13">
                        <c:v>7.1742170090385731</c:v>
                      </c:pt>
                      <c:pt idx="14">
                        <c:v>6.2029066345400787</c:v>
                      </c:pt>
                      <c:pt idx="15">
                        <c:v>5.2759702969601339</c:v>
                      </c:pt>
                      <c:pt idx="16">
                        <c:v>4.5224224008353771</c:v>
                      </c:pt>
                      <c:pt idx="17">
                        <c:v>3.8890789603827942</c:v>
                      </c:pt>
                      <c:pt idx="18">
                        <c:v>3.3509694456920696</c:v>
                      </c:pt>
                      <c:pt idx="19">
                        <c:v>2.8844204972378376</c:v>
                      </c:pt>
                      <c:pt idx="20">
                        <c:v>2.4735417778044417</c:v>
                      </c:pt>
                      <c:pt idx="21">
                        <c:v>2.107253290353754</c:v>
                      </c:pt>
                      <c:pt idx="22">
                        <c:v>1.7774477199798289</c:v>
                      </c:pt>
                      <c:pt idx="23">
                        <c:v>1.4782337511843435</c:v>
                      </c:pt>
                      <c:pt idx="24">
                        <c:v>1.2051253363860075</c:v>
                      </c:pt>
                      <c:pt idx="25">
                        <c:v>0.96158159661135845</c:v>
                      </c:pt>
                      <c:pt idx="26">
                        <c:v>0.77376213462358545</c:v>
                      </c:pt>
                      <c:pt idx="27">
                        <c:v>0.62556041814287344</c:v>
                      </c:pt>
                      <c:pt idx="28">
                        <c:v>0.50151850008188381</c:v>
                      </c:pt>
                      <c:pt idx="29">
                        <c:v>0.40477120887091583</c:v>
                      </c:pt>
                      <c:pt idx="30">
                        <c:v>0.32104967027550274</c:v>
                      </c:pt>
                      <c:pt idx="31">
                        <c:v>0.25073222565792208</c:v>
                      </c:pt>
                      <c:pt idx="32">
                        <c:v>0.19171097314262767</c:v>
                      </c:pt>
                      <c:pt idx="33">
                        <c:v>0.14258064481258859</c:v>
                      </c:pt>
                      <c:pt idx="34">
                        <c:v>0.10209811904889304</c:v>
                      </c:pt>
                      <c:pt idx="35">
                        <c:v>6.9506713126985947E-2</c:v>
                      </c:pt>
                      <c:pt idx="36">
                        <c:v>4.4157841854391533E-2</c:v>
                      </c:pt>
                      <c:pt idx="37">
                        <c:v>2.5727212634871936E-2</c:v>
                      </c:pt>
                      <c:pt idx="38">
                        <c:v>1.4160776702387495E-2</c:v>
                      </c:pt>
                      <c:pt idx="39">
                        <c:v>9.8368754192157386E-3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Info'!$CY$58</c15:sqref>
                        </c15:formulaRef>
                      </c:ext>
                    </c:extLst>
                    <c:strCache>
                      <c:ptCount val="1"/>
                      <c:pt idx="0">
                        <c:v>sum_%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Info'!$CY$60:$CY$99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5.350827837925045E-2</c:v>
                      </c:pt>
                      <c:pt idx="1">
                        <c:v>0.25705593128456072</c:v>
                      </c:pt>
                      <c:pt idx="2">
                        <c:v>0.73771160767514088</c:v>
                      </c:pt>
                      <c:pt idx="3">
                        <c:v>1.6580539957982487</c:v>
                      </c:pt>
                      <c:pt idx="4">
                        <c:v>3.2288192344424678</c:v>
                      </c:pt>
                      <c:pt idx="5">
                        <c:v>5.7353848082971339</c:v>
                      </c:pt>
                      <c:pt idx="6">
                        <c:v>9.5324727688804494</c:v>
                      </c:pt>
                      <c:pt idx="7">
                        <c:v>14.863356612136865</c:v>
                      </c:pt>
                      <c:pt idx="8">
                        <c:v>21.61929022079461</c:v>
                      </c:pt>
                      <c:pt idx="9">
                        <c:v>29.280216368020206</c:v>
                      </c:pt>
                      <c:pt idx="10">
                        <c:v>37.324294217700853</c:v>
                      </c:pt>
                      <c:pt idx="11">
                        <c:v>45.391775183076675</c:v>
                      </c:pt>
                      <c:pt idx="12">
                        <c:v>53.219657968598739</c:v>
                      </c:pt>
                      <c:pt idx="13">
                        <c:v>60.39387497763731</c:v>
                      </c:pt>
                      <c:pt idx="14">
                        <c:v>66.596781612177395</c:v>
                      </c:pt>
                      <c:pt idx="15">
                        <c:v>71.872751909137534</c:v>
                      </c:pt>
                      <c:pt idx="16">
                        <c:v>76.395174309972916</c:v>
                      </c:pt>
                      <c:pt idx="17">
                        <c:v>80.284253270355705</c:v>
                      </c:pt>
                      <c:pt idx="18">
                        <c:v>83.635222716047778</c:v>
                      </c:pt>
                      <c:pt idx="19">
                        <c:v>86.519643213285619</c:v>
                      </c:pt>
                      <c:pt idx="20">
                        <c:v>88.993184991090061</c:v>
                      </c:pt>
                      <c:pt idx="21">
                        <c:v>91.100438281443815</c:v>
                      </c:pt>
                      <c:pt idx="22">
                        <c:v>92.877886001423647</c:v>
                      </c:pt>
                      <c:pt idx="23">
                        <c:v>94.356119752607995</c:v>
                      </c:pt>
                      <c:pt idx="24">
                        <c:v>95.561245088993999</c:v>
                      </c:pt>
                      <c:pt idx="25">
                        <c:v>96.522826685605352</c:v>
                      </c:pt>
                      <c:pt idx="26">
                        <c:v>97.296588820228934</c:v>
                      </c:pt>
                      <c:pt idx="27">
                        <c:v>97.922149238371802</c:v>
                      </c:pt>
                      <c:pt idx="28">
                        <c:v>98.423667738453688</c:v>
                      </c:pt>
                      <c:pt idx="29">
                        <c:v>98.828438947324599</c:v>
                      </c:pt>
                      <c:pt idx="30">
                        <c:v>99.149488617600099</c:v>
                      </c:pt>
                      <c:pt idx="31">
                        <c:v>99.400220843258026</c:v>
                      </c:pt>
                      <c:pt idx="32">
                        <c:v>99.59193181640066</c:v>
                      </c:pt>
                      <c:pt idx="33">
                        <c:v>99.734512461213242</c:v>
                      </c:pt>
                      <c:pt idx="34">
                        <c:v>99.836610580262132</c:v>
                      </c:pt>
                      <c:pt idx="35">
                        <c:v>99.906117293389116</c:v>
                      </c:pt>
                      <c:pt idx="36">
                        <c:v>99.950275135243501</c:v>
                      </c:pt>
                      <c:pt idx="37">
                        <c:v>99.976002347878378</c:v>
                      </c:pt>
                      <c:pt idx="38">
                        <c:v>99.990163124580761</c:v>
                      </c:pt>
                      <c:pt idx="39">
                        <c:v>99.999999999999972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Info'!$CZ$58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Info'!$CZ$60:$CZ$99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Info'!$DA$58</c15:sqref>
                        </c15:formulaRef>
                      </c:ext>
                    </c:extLst>
                    <c:strCache>
                      <c:ptCount val="1"/>
                      <c:pt idx="0">
                        <c:v>diff_sum_vol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Info'!$DA$60:$DA$99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6.6868083606065278</c:v>
                      </c:pt>
                      <c:pt idx="1">
                        <c:v>41.944093390074613</c:v>
                      </c:pt>
                      <c:pt idx="2">
                        <c:v>133.49850891823058</c:v>
                      </c:pt>
                      <c:pt idx="3">
                        <c:v>320.1700011412068</c:v>
                      </c:pt>
                      <c:pt idx="4">
                        <c:v>654.55195248834514</c:v>
                      </c:pt>
                      <c:pt idx="5">
                        <c:v>1127.7139965544529</c:v>
                      </c:pt>
                      <c:pt idx="6">
                        <c:v>1654.6449361653301</c:v>
                      </c:pt>
                      <c:pt idx="7">
                        <c:v>2136.8920239154882</c:v>
                      </c:pt>
                      <c:pt idx="8">
                        <c:v>2530.0537380548772</c:v>
                      </c:pt>
                      <c:pt idx="9">
                        <c:v>2844.0895012022038</c:v>
                      </c:pt>
                      <c:pt idx="10">
                        <c:v>3086.7066664151885</c:v>
                      </c:pt>
                      <c:pt idx="11">
                        <c:v>3237.5337366036006</c:v>
                      </c:pt>
                      <c:pt idx="12">
                        <c:v>3263.6549285123556</c:v>
                      </c:pt>
                      <c:pt idx="13">
                        <c:v>3175.779904240535</c:v>
                      </c:pt>
                      <c:pt idx="14">
                        <c:v>3021.8611079544462</c:v>
                      </c:pt>
                      <c:pt idx="15">
                        <c:v>2835.7500098875735</c:v>
                      </c:pt>
                      <c:pt idx="16">
                        <c:v>2636.6246635882153</c:v>
                      </c:pt>
                      <c:pt idx="17">
                        <c:v>2440.9323988201677</c:v>
                      </c:pt>
                      <c:pt idx="18">
                        <c:v>2261.3538654710901</c:v>
                      </c:pt>
                      <c:pt idx="19">
                        <c:v>2101.2501500912285</c:v>
                      </c:pt>
                      <c:pt idx="20">
                        <c:v>1961.0670093564477</c:v>
                      </c:pt>
                      <c:pt idx="21">
                        <c:v>1839.8640099110389</c:v>
                      </c:pt>
                      <c:pt idx="22">
                        <c:v>1736.6778322713499</c:v>
                      </c:pt>
                      <c:pt idx="23">
                        <c:v>1650.4444988171126</c:v>
                      </c:pt>
                      <c:pt idx="24">
                        <c:v>1580.3943625425491</c:v>
                      </c:pt>
                      <c:pt idx="25">
                        <c:v>1524.9653207170904</c:v>
                      </c:pt>
                      <c:pt idx="26">
                        <c:v>1480.2374256151288</c:v>
                      </c:pt>
                      <c:pt idx="27">
                        <c:v>1443.563652113864</c:v>
                      </c:pt>
                      <c:pt idx="28">
                        <c:v>1413.539037013823</c:v>
                      </c:pt>
                      <c:pt idx="29">
                        <c:v>1388.4030064964791</c:v>
                      </c:pt>
                      <c:pt idx="30">
                        <c:v>1367.5847274690368</c:v>
                      </c:pt>
                      <c:pt idx="31">
                        <c:v>1350.4230006239286</c:v>
                      </c:pt>
                      <c:pt idx="32">
                        <c:v>1336.4080044396269</c:v>
                      </c:pt>
                      <c:pt idx="33">
                        <c:v>1325.1074239871832</c:v>
                      </c:pt>
                      <c:pt idx="34">
                        <c:v>1316.86747877589</c:v>
                      </c:pt>
                      <c:pt idx="35">
                        <c:v>1311.3339807793254</c:v>
                      </c:pt>
                      <c:pt idx="36">
                        <c:v>1307.8771191843862</c:v>
                      </c:pt>
                      <c:pt idx="37">
                        <c:v>1305.8952836621356</c:v>
                      </c:pt>
                      <c:pt idx="38">
                        <c:v>1304.7915639643361</c:v>
                      </c:pt>
                      <c:pt idx="39">
                        <c:v>1304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Info'!$DB$58</c15:sqref>
                        </c15:formulaRef>
                      </c:ext>
                    </c:extLst>
                    <c:strCache>
                      <c:ptCount val="1"/>
                      <c:pt idx="0">
                        <c:v>%_diff_sum_vol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Info'!$DB$60:$DB$99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143.70714713179805</c:v>
                      </c:pt>
                      <c:pt idx="1">
                        <c:v>187.63923402362246</c:v>
                      </c:pt>
                      <c:pt idx="2">
                        <c:v>208.09913111437072</c:v>
                      </c:pt>
                      <c:pt idx="3">
                        <c:v>222.05596139477271</c:v>
                      </c:pt>
                      <c:pt idx="4">
                        <c:v>233.12071148079684</c:v>
                      </c:pt>
                      <c:pt idx="5">
                        <c:v>226.10849430584636</c:v>
                      </c:pt>
                      <c:pt idx="6">
                        <c:v>199.60881212052632</c:v>
                      </c:pt>
                      <c:pt idx="7">
                        <c:v>165.32789991695907</c:v>
                      </c:pt>
                      <c:pt idx="8">
                        <c:v>134.57636172291208</c:v>
                      </c:pt>
                      <c:pt idx="9">
                        <c:v>111.69904150949195</c:v>
                      </c:pt>
                      <c:pt idx="10">
                        <c:v>95.100811896042742</c:v>
                      </c:pt>
                      <c:pt idx="11">
                        <c:v>82.019591908076009</c:v>
                      </c:pt>
                      <c:pt idx="12">
                        <c:v>70.520051968049117</c:v>
                      </c:pt>
                      <c:pt idx="13">
                        <c:v>60.469721659630004</c:v>
                      </c:pt>
                      <c:pt idx="14">
                        <c:v>52.179717847825188</c:v>
                      </c:pt>
                      <c:pt idx="15">
                        <c:v>45.371604474118399</c:v>
                      </c:pt>
                      <c:pt idx="16">
                        <c:v>39.688332550179283</c:v>
                      </c:pt>
                      <c:pt idx="17">
                        <c:v>34.962771227274153</c:v>
                      </c:pt>
                      <c:pt idx="18">
                        <c:v>31.092796105816987</c:v>
                      </c:pt>
                      <c:pt idx="19">
                        <c:v>27.928236053949778</c:v>
                      </c:pt>
                      <c:pt idx="20">
                        <c:v>25.340556757368404</c:v>
                      </c:pt>
                      <c:pt idx="21">
                        <c:v>23.224465446610381</c:v>
                      </c:pt>
                      <c:pt idx="22">
                        <c:v>21.502423333542666</c:v>
                      </c:pt>
                      <c:pt idx="23">
                        <c:v>20.114596289097317</c:v>
                      </c:pt>
                      <c:pt idx="24">
                        <c:v>19.017969261478111</c:v>
                      </c:pt>
                      <c:pt idx="25">
                        <c:v>18.168137356127069</c:v>
                      </c:pt>
                      <c:pt idx="26">
                        <c:v>17.495011612426055</c:v>
                      </c:pt>
                      <c:pt idx="27">
                        <c:v>16.952567029732808</c:v>
                      </c:pt>
                      <c:pt idx="28">
                        <c:v>16.515386082649751</c:v>
                      </c:pt>
                      <c:pt idx="29">
                        <c:v>16.155264724339077</c:v>
                      </c:pt>
                      <c:pt idx="30">
                        <c:v>15.861499157838518</c:v>
                      </c:pt>
                      <c:pt idx="31">
                        <c:v>15.622946514303418</c:v>
                      </c:pt>
                      <c:pt idx="32">
                        <c:v>15.431046519203873</c:v>
                      </c:pt>
                      <c:pt idx="33">
                        <c:v>15.278688865847394</c:v>
                      </c:pt>
                      <c:pt idx="34">
                        <c:v>15.168153428984454</c:v>
                      </c:pt>
                      <c:pt idx="35">
                        <c:v>15.093908158971663</c:v>
                      </c:pt>
                      <c:pt idx="36">
                        <c:v>15.047467604125018</c:v>
                      </c:pt>
                      <c:pt idx="37">
                        <c:v>15.02079971357273</c:v>
                      </c:pt>
                      <c:pt idx="38">
                        <c:v>15.005978924929922</c:v>
                      </c:pt>
                      <c:pt idx="39">
                        <c:v>14.995400183992638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Info'!$DC$60:$DC$99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Info'!$DD$60:$DD$99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'Tools - Info'!$CQ$58</c:f>
              <c:strCache>
                <c:ptCount val="1"/>
                <c:pt idx="0">
                  <c:v>SBGx vol. accum.</c:v>
                </c:pt>
              </c:strCache>
            </c:strRef>
          </c:tx>
          <c:spPr>
            <a:ln w="28575" cap="rnd">
              <a:solidFill>
                <a:srgbClr val="00FF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'Tools - Info'!$CQ$60:$CQ$99</c:f>
              <c:numCache>
                <c:formatCode>#,##0.000</c:formatCode>
                <c:ptCount val="40"/>
                <c:pt idx="0">
                  <c:v>11.339888248466147</c:v>
                </c:pt>
                <c:pt idx="1">
                  <c:v>64.297677174580016</c:v>
                </c:pt>
                <c:pt idx="2">
                  <c:v>197.64991032166085</c:v>
                </c:pt>
                <c:pt idx="3">
                  <c:v>464.3543766158225</c:v>
                </c:pt>
                <c:pt idx="4">
                  <c:v>935.33007311546214</c:v>
                </c:pt>
                <c:pt idx="5">
                  <c:v>1626.4630594839716</c:v>
                </c:pt>
                <c:pt idx="6">
                  <c:v>2483.5887681471741</c:v>
                </c:pt>
                <c:pt idx="7">
                  <c:v>3429.4095149069099</c:v>
                </c:pt>
                <c:pt idx="8">
                  <c:v>4410.0672156551764</c:v>
                </c:pt>
                <c:pt idx="9">
                  <c:v>5390.2971165652407</c:v>
                </c:pt>
                <c:pt idx="10">
                  <c:v>6332.4272915864549</c:v>
                </c:pt>
                <c:pt idx="11">
                  <c:v>7184.8025065239481</c:v>
                </c:pt>
                <c:pt idx="12">
                  <c:v>7891.636385461702</c:v>
                </c:pt>
                <c:pt idx="13">
                  <c:v>8427.6312722958755</c:v>
                </c:pt>
                <c:pt idx="14">
                  <c:v>8813.1172369493925</c:v>
                </c:pt>
                <c:pt idx="15">
                  <c:v>9085.804515906173</c:v>
                </c:pt>
                <c:pt idx="16">
                  <c:v>9279.9490215834594</c:v>
                </c:pt>
                <c:pt idx="17">
                  <c:v>9422.4510632102993</c:v>
                </c:pt>
                <c:pt idx="18">
                  <c:v>9534.2728328586036</c:v>
                </c:pt>
                <c:pt idx="19">
                  <c:v>9624.998323918544</c:v>
                </c:pt>
                <c:pt idx="20">
                  <c:v>9699.9143761816376</c:v>
                </c:pt>
                <c:pt idx="21">
                  <c:v>9761.9581228653915</c:v>
                </c:pt>
                <c:pt idx="22">
                  <c:v>9813.3387989551484</c:v>
                </c:pt>
                <c:pt idx="23">
                  <c:v>9855.6526725039021</c:v>
                </c:pt>
                <c:pt idx="24">
                  <c:v>9890.4002354814656</c:v>
                </c:pt>
                <c:pt idx="25">
                  <c:v>9918.5903292973308</c:v>
                </c:pt>
                <c:pt idx="26">
                  <c:v>9941.1487894222355</c:v>
                </c:pt>
                <c:pt idx="27">
                  <c:v>9958.8737498826758</c:v>
                </c:pt>
                <c:pt idx="28">
                  <c:v>9972.4611835497562</c:v>
                </c:pt>
                <c:pt idx="29">
                  <c:v>9982.5240573558276</c:v>
                </c:pt>
                <c:pt idx="30">
                  <c:v>9989.6242576555433</c:v>
                </c:pt>
                <c:pt idx="31">
                  <c:v>9994.2662051536481</c:v>
                </c:pt>
                <c:pt idx="32">
                  <c:v>9996.9223951938293</c:v>
                </c:pt>
                <c:pt idx="33">
                  <c:v>9998.020627614289</c:v>
                </c:pt>
                <c:pt idx="34">
                  <c:v>9998.6591348354868</c:v>
                </c:pt>
                <c:pt idx="35">
                  <c:v>9999.1699406124444</c:v>
                </c:pt>
                <c:pt idx="36">
                  <c:v>9999.5530449451635</c:v>
                </c:pt>
                <c:pt idx="37">
                  <c:v>9999.8084478336423</c:v>
                </c:pt>
                <c:pt idx="38">
                  <c:v>9999.9361492778826</c:v>
                </c:pt>
                <c:pt idx="39">
                  <c:v>10000.000000000002</c:v>
                </c:pt>
              </c:numCache>
            </c:numRef>
          </c:val>
          <c:smooth val="1"/>
          <c:extLst/>
        </c:ser>
        <c:ser>
          <c:idx val="7"/>
          <c:order val="3"/>
          <c:tx>
            <c:strRef>
              <c:f>'Tools - Info'!$CW$58</c:f>
              <c:strCache>
                <c:ptCount val="1"/>
                <c:pt idx="0">
                  <c:v>Standard vol. accum.</c:v>
                </c:pt>
              </c:strCache>
            </c:strRef>
          </c:tx>
          <c:spPr>
            <a:ln w="28575" cap="rnd">
              <a:solidFill>
                <a:srgbClr val="0000FF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Info'!$CW$60:$CW$99</c:f>
              <c:numCache>
                <c:formatCode>#,##0.000</c:formatCode>
                <c:ptCount val="40"/>
                <c:pt idx="0">
                  <c:v>4.6530798878596196</c:v>
                </c:pt>
                <c:pt idx="1">
                  <c:v>22.353583784505403</c:v>
                </c:pt>
                <c:pt idx="2">
                  <c:v>64.151401403430256</c:v>
                </c:pt>
                <c:pt idx="3">
                  <c:v>144.18437547461571</c:v>
                </c:pt>
                <c:pt idx="4">
                  <c:v>280.778120627117</c:v>
                </c:pt>
                <c:pt idx="5">
                  <c:v>498.74906292951874</c:v>
                </c:pt>
                <c:pt idx="6">
                  <c:v>828.94383198184391</c:v>
                </c:pt>
                <c:pt idx="7">
                  <c:v>1292.5174909914217</c:v>
                </c:pt>
                <c:pt idx="8">
                  <c:v>1880.0134776002992</c:v>
                </c:pt>
                <c:pt idx="9">
                  <c:v>2546.2076153630369</c:v>
                </c:pt>
                <c:pt idx="10">
                  <c:v>3245.7206251712664</c:v>
                </c:pt>
                <c:pt idx="11">
                  <c:v>3947.2687699203475</c:v>
                </c:pt>
                <c:pt idx="12">
                  <c:v>4627.9814569493465</c:v>
                </c:pt>
                <c:pt idx="13">
                  <c:v>5251.8513680553406</c:v>
                </c:pt>
                <c:pt idx="14">
                  <c:v>5791.2561289949463</c:v>
                </c:pt>
                <c:pt idx="15">
                  <c:v>6250.0545060185996</c:v>
                </c:pt>
                <c:pt idx="16">
                  <c:v>6643.3243579952441</c:v>
                </c:pt>
                <c:pt idx="17">
                  <c:v>6981.5186643901316</c:v>
                </c:pt>
                <c:pt idx="18">
                  <c:v>7272.9189673875135</c:v>
                </c:pt>
                <c:pt idx="19">
                  <c:v>7523.7481738273154</c:v>
                </c:pt>
                <c:pt idx="20">
                  <c:v>7738.84736682519</c:v>
                </c:pt>
                <c:pt idx="21">
                  <c:v>7922.0941129543526</c:v>
                </c:pt>
                <c:pt idx="22">
                  <c:v>8076.6609666837985</c:v>
                </c:pt>
                <c:pt idx="23">
                  <c:v>8205.2081736867895</c:v>
                </c:pt>
                <c:pt idx="24">
                  <c:v>8310.0058729389166</c:v>
                </c:pt>
                <c:pt idx="25">
                  <c:v>8393.6250085802403</c:v>
                </c:pt>
                <c:pt idx="26">
                  <c:v>8460.9113638071067</c:v>
                </c:pt>
                <c:pt idx="27">
                  <c:v>8515.3100977688118</c:v>
                </c:pt>
                <c:pt idx="28">
                  <c:v>8558.9221465359333</c:v>
                </c:pt>
                <c:pt idx="29">
                  <c:v>8594.1210508593485</c:v>
                </c:pt>
                <c:pt idx="30">
                  <c:v>8622.0395301865065</c:v>
                </c:pt>
                <c:pt idx="31">
                  <c:v>8643.8432045297195</c:v>
                </c:pt>
                <c:pt idx="32">
                  <c:v>8660.5143907542024</c:v>
                </c:pt>
                <c:pt idx="33">
                  <c:v>8672.9132036271058</c:v>
                </c:pt>
                <c:pt idx="34">
                  <c:v>8681.7916560595968</c:v>
                </c:pt>
                <c:pt idx="35">
                  <c:v>8687.835959833119</c:v>
                </c:pt>
                <c:pt idx="36">
                  <c:v>8691.6759257607773</c:v>
                </c:pt>
                <c:pt idx="37">
                  <c:v>8693.9131641715067</c:v>
                </c:pt>
                <c:pt idx="38">
                  <c:v>8695.1445853135465</c:v>
                </c:pt>
                <c:pt idx="39">
                  <c:v>8696.0000000000018</c:v>
                </c:pt>
              </c:numCache>
            </c:numRef>
          </c:val>
          <c:smooth val="1"/>
        </c:ser>
        <c:ser>
          <c:idx val="17"/>
          <c:order val="4"/>
          <c:tx>
            <c:strRef>
              <c:f>'Tools - Info'!$DG$58</c:f>
              <c:strCache>
                <c:ptCount val="1"/>
                <c:pt idx="0">
                  <c:v>SBGx vol., 95.3% TGP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00FF00"/>
              </a:solidFill>
              <a:prstDash val="solid"/>
              <a:round/>
              <a:headEnd type="none"/>
              <a:tailEnd type="none"/>
            </a:ln>
            <a:effectLst/>
          </c:spPr>
          <c:marker>
            <c:symbol val="circle"/>
            <c:size val="6"/>
            <c:spPr>
              <a:solidFill>
                <a:srgbClr val="00FF00"/>
              </a:solidFill>
              <a:ln w="12700">
                <a:solidFill>
                  <a:schemeClr val="tx1"/>
                </a:solidFill>
                <a:headEnd type="none"/>
                <a:tailEnd type="none"/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Info'!$DG$60:$DG$99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-100000000</c:v>
                </c:pt>
                <c:pt idx="18">
                  <c:v>9534.2728328586036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9"/>
          <c:order val="5"/>
          <c:tx>
            <c:strRef>
              <c:f>'Tools - Info'!$DH$58</c:f>
              <c:strCache>
                <c:ptCount val="1"/>
                <c:pt idx="0">
                  <c:v>Standard vol., day 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00FF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Info'!$DH$60:$DH$99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7272.9189673875135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0"/>
        </c:ser>
        <c:ser>
          <c:idx val="18"/>
          <c:order val="6"/>
          <c:tx>
            <c:strRef>
              <c:f>'Tools - Info'!$DI$58</c:f>
              <c:strCache>
                <c:ptCount val="1"/>
                <c:pt idx="0">
                  <c:v>Standard vol., 95.6% TGP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00FF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Info'!$DI$60:$DI$99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-100000000</c:v>
                </c:pt>
                <c:pt idx="24">
                  <c:v>8310.0058729389166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0"/>
          <c:order val="7"/>
          <c:tx>
            <c:strRef>
              <c:f>'Tools - Info'!$DJ$58</c:f>
              <c:strCache>
                <c:ptCount val="1"/>
                <c:pt idx="0">
                  <c:v>SBGx vol., day 25</c:v>
                </c:pt>
              </c:strCache>
            </c:strRef>
          </c:tx>
          <c:spPr>
            <a:ln w="12700" cap="rnd">
              <a:noFill/>
              <a:prstDash val="lgDash"/>
              <a:round/>
            </a:ln>
            <a:effectLst/>
          </c:spPr>
          <c:marker>
            <c:symbol val="triangle"/>
            <c:size val="6"/>
            <c:spPr>
              <a:solidFill>
                <a:srgbClr val="00FF00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'Tools - Info'!$DJ$60:$DJ$99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9890.4002354814656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'Tools - Info'!$DN$58</c:f>
              <c:strCache>
                <c:ptCount val="1"/>
                <c:pt idx="0">
                  <c:v>TGP(Standard) surpassed
88.1%</c:v>
                </c:pt>
              </c:strCache>
            </c:strRef>
          </c:tx>
          <c:spPr>
            <a:ln w="127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6"/>
            <c:spPr>
              <a:noFill/>
              <a:ln w="12700">
                <a:solidFill>
                  <a:srgbClr val="C00000"/>
                </a:solidFill>
              </a:ln>
              <a:effectLst/>
            </c:spPr>
          </c:marker>
          <c:dPt>
            <c:idx val="39"/>
            <c:marker>
              <c:symbol val="none"/>
            </c:marker>
            <c:bubble3D val="0"/>
          </c:dPt>
          <c:dLbls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>
                  <a:alpha val="70000"/>
                </a:schemeClr>
              </a:solidFill>
              <a:ln w="12700">
                <a:solidFill>
                  <a:srgbClr val="C00000"/>
                </a:solidFill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3175">
                      <a:noFill/>
                    </a:ln>
                    <a:solidFill>
                      <a:srgbClr val="C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val>
            <c:numRef>
              <c:f>'Tools - Info'!$DN$60:$DN$99</c:f>
              <c:numCache>
                <c:formatCode>#,##0.00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-100000000</c:v>
                </c:pt>
                <c:pt idx="14">
                  <c:v>8813.1172369493925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8813.1172369493925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49792"/>
        <c:axId val="165776344"/>
      </c:lineChart>
      <c:catAx>
        <c:axId val="169209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017472"/>
        <c:crosses val="autoZero"/>
        <c:auto val="1"/>
        <c:lblAlgn val="ctr"/>
        <c:lblOffset val="100"/>
        <c:noMultiLvlLbl val="0"/>
      </c:catAx>
      <c:valAx>
        <c:axId val="169017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volume per day [m³/day]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209448"/>
        <c:crosses val="autoZero"/>
        <c:crossBetween val="between"/>
        <c:majorUnit val="100"/>
      </c:valAx>
      <c:valAx>
        <c:axId val="16577634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volume accumulated [</a:t>
                </a:r>
                <a:r>
                  <a:rPr lang="de-CH" sz="1000" b="1" i="0" u="none" strike="noStrike" baseline="0">
                    <a:effectLst/>
                  </a:rPr>
                  <a:t>m³</a:t>
                </a:r>
                <a:r>
                  <a:rPr lang="de-CH" b="1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549792"/>
        <c:crosses val="max"/>
        <c:crossBetween val="between"/>
        <c:majorUnit val="1000"/>
      </c:valAx>
      <c:catAx>
        <c:axId val="166549792"/>
        <c:scaling>
          <c:orientation val="minMax"/>
        </c:scaling>
        <c:delete val="1"/>
        <c:axPos val="t"/>
        <c:majorTickMark val="out"/>
        <c:minorTickMark val="none"/>
        <c:tickLblPos val="nextTo"/>
        <c:crossAx val="16577634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8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24" name="Group 23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18" name="Oval 17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19" name="Oval 18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0" name="Oval 19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22" name="Oval 21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174009</xdr:rowOff>
    </xdr:to>
    <xdr:grpSp>
      <xdr:nvGrpSpPr>
        <xdr:cNvPr id="2" name="Group 1"/>
        <xdr:cNvGrpSpPr/>
      </xdr:nvGrpSpPr>
      <xdr:grpSpPr>
        <a:xfrm>
          <a:off x="0" y="0"/>
          <a:ext cx="11880900" cy="9965709"/>
          <a:chOff x="0" y="0"/>
          <a:chExt cx="11880900" cy="9966207"/>
        </a:xfrm>
      </xdr:grpSpPr>
      <xdr:sp macro="" textlink="">
        <xdr:nvSpPr>
          <xdr:cNvPr id="3" name="Oval 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008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4" name="Straight Arrow Connector 3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Oval 4"/>
          <xdr:cNvSpPr/>
        </xdr:nvSpPr>
        <xdr:spPr>
          <a:xfrm>
            <a:off x="790575" y="2047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4352925" y="20383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7" name="Oval 6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8" name="Oval 7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9" name="Oval 8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0" name="Oval 9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1" name="Oval 10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2" name="Oval 11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Oval 12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7200900" y="762000"/>
            <a:ext cx="4680000" cy="1814690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Suchen Sie</a:t>
            </a:r>
            <a:r>
              <a:rPr lang="de-CH" sz="1100" baseline="0">
                <a:latin typeface="+mn-lt"/>
              </a:rPr>
              <a:t> in der Spalte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nach der/den Eisenverbindung(en), die in Ihrem Additv enthalten ist.</a:t>
            </a:r>
          </a:p>
          <a:p>
            <a:pPr marL="252000" marR="0" lvl="0" indent="-252000" defTabSz="2520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Tragen Sie in der entsprechenden Zeile 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dessen/deren Anteil(e) in die Spalte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Content</a:t>
            </a:r>
            <a:r>
              <a:rPr lang="en-US" i="1">
                <a:effectLst/>
              </a:rPr>
              <a:t> </a:t>
            </a:r>
            <a:r>
              <a:rPr lang="de-CH" sz="1100" i="1" baseline="0">
                <a:latin typeface="+mn-lt"/>
              </a:rPr>
              <a:t>[%]</a:t>
            </a:r>
            <a:r>
              <a:rPr lang="de-CH" sz="1100" baseline="0">
                <a:latin typeface="+mn-lt"/>
              </a:rPr>
              <a:t> ein.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In der letzten Zeile können Sie optional die Feuchtigkeit Ihres Additivs eingeben.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Eingabe abgeschlossen.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Um den Wert in einer Zelle zu löschen, klicken Sie auf die Zelle und drücken Sie die Taste &lt;Delete&gt;.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7200900" y="3924300"/>
            <a:ext cx="4680000" cy="2331395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So wählen Sie Ihr Messsystem aus: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Falls Sie vertraut sind mit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Kilogramm, Metrischer Tonne, Liter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Pfund, Britischer ("long") Tonne, Britischer Gallone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Pfund, Amerikanischer ("short") Tonne, Amerikanischer Gallone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Geben Sie anschließend die drei folgenden Werte ein: Die Werte für Ihr Additiv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Tagesdosierung in: Maßeinheit und Wert; z. B. Kilogramm und 450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Preis pro: Maßeinheit und Wert; z. B. metrische Tonne und 490 und</a:t>
            </a:r>
            <a:endParaRPr lang="de-CH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Den Angebotspreis für eine metrische Tonne 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Eingabe abgeschlossen.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7200900" y="6601400"/>
            <a:ext cx="4680000" cy="3364807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latin typeface="+mn-lt"/>
              </a:rPr>
              <a:t>Zur Berechnung werden minimal drei Werte benötigt: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Täglich produziertes Biogasvolumen in Kubikmetern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Schwefelwasserstoffgehalt (H₂S) des Biogases in Teilen pro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Überdosierungsfaktor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Empfehlungen und Erläuterungen siehe Texte in der Tabelle und der Fußnote unter der Tabelle.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Eingabe abgeschlossen.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Folgende Maßeinheiten können bei Bedarf geändert werden: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Biogasvolumen:	</a:t>
            </a:r>
            <a:r>
              <a:rPr lang="de-CH" sz="1100" baseline="0">
                <a:latin typeface="+mn-lt"/>
              </a:rPr>
              <a:t>[m³/day] ↔ [Imp gal/day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[US gal/day]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Gehalt:		</a:t>
            </a:r>
            <a:r>
              <a:rPr lang="de-CH" sz="1100" baseline="0">
                <a:latin typeface="+mn-lt"/>
              </a:rPr>
              <a:t>[ppm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[mg/m³]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Weitere Werte zu Substrat und Fermenterflüssigkeit können optional zur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Berechnung eingegeben werden: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⑦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Gelöstes Totalsulfid: 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Total sulfide content in reactor liquid in [g/m³]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Falls dieser Wert nicht zur Verfügung steht, kann er mathematisch angenähert werden mit: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④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Volumen des Substrats, das täglich neu hinzugegeben wir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 [m³/day]</a:t>
            </a:r>
            <a:endParaRPr lang="de-CH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⑤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 der Fermenterflüssigkeit [°C]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⑥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Säure (pH) der Fermenterflüssigkeit</a:t>
            </a: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Rounded Rectangle 16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Beispiel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30" name="Group 29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47" name="Oval 46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48" name="Oval 47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49" name="Oval 48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50" name="Oval 49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2013</xdr:rowOff>
    </xdr:to>
    <xdr:grpSp>
      <xdr:nvGrpSpPr>
        <xdr:cNvPr id="31" name="Group 30"/>
        <xdr:cNvGrpSpPr/>
      </xdr:nvGrpSpPr>
      <xdr:grpSpPr>
        <a:xfrm>
          <a:off x="0" y="0"/>
          <a:ext cx="11880900" cy="9793713"/>
          <a:chOff x="0" y="0"/>
          <a:chExt cx="11880900" cy="9793713"/>
        </a:xfrm>
      </xdr:grpSpPr>
      <xdr:sp macro="" textlink="">
        <xdr:nvSpPr>
          <xdr:cNvPr id="32" name="Oval 31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008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33" name="Straight Arrow Connector 32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Oval 33"/>
          <xdr:cNvSpPr/>
        </xdr:nvSpPr>
        <xdr:spPr>
          <a:xfrm>
            <a:off x="790575" y="2047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5" name="Oval 34"/>
          <xdr:cNvSpPr/>
        </xdr:nvSpPr>
        <xdr:spPr>
          <a:xfrm>
            <a:off x="4352925" y="20383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6" name="Oval 35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7" name="Oval 36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8" name="Oval 37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9" name="Oval 38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0" name="Oval 39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41" name="Oval 40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42" name="Oval 41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43" name="TextBox 42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Input completed.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44" name="TextBox 43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Daily dosage in: Unit of measurement and value; E. g. Kilogram and 450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Price per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Unit of measurement and value; E. g. Metric ton and 490 and</a:t>
            </a: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7200900" y="6601301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latin typeface="+mn-lt"/>
              </a:rPr>
              <a:t>A minimum of three values are required 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Overdose factor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For recommendations and explanation see texts in the table and the footnote below the table.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 volume:	</a:t>
            </a:r>
            <a:r>
              <a:rPr lang="de-CH" sz="1100" baseline="0">
                <a:latin typeface="+mn-lt"/>
              </a:rPr>
              <a:t>[m³/day] ↔ [Imp gal/day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[US gal/day]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content:		</a:t>
            </a:r>
            <a:r>
              <a:rPr lang="de-CH" sz="1100" baseline="0">
                <a:latin typeface="+mn-lt"/>
              </a:rPr>
              <a:t>[ppm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[mg/m³]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Total sulfide content in reactor liquid in [g/m³].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Volume of daily added substrate in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Temperature of reactor liquid in [°C]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Acidity (pH) of reactor liquid</a:t>
            </a:r>
          </a:p>
        </xdr:txBody>
      </xdr:sp>
      <xdr:sp macro="" textlink="">
        <xdr:nvSpPr>
          <xdr:cNvPr id="46" name="Rounded Rectangle 45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59</xdr:row>
      <xdr:rowOff>145258</xdr:rowOff>
    </xdr:from>
    <xdr:to>
      <xdr:col>9</xdr:col>
      <xdr:colOff>688051</xdr:colOff>
      <xdr:row>66</xdr:row>
      <xdr:rowOff>45107</xdr:rowOff>
    </xdr:to>
    <xdr:grpSp>
      <xdr:nvGrpSpPr>
        <xdr:cNvPr id="22" name="Group 21"/>
        <xdr:cNvGrpSpPr/>
      </xdr:nvGrpSpPr>
      <xdr:grpSpPr>
        <a:xfrm>
          <a:off x="6153150" y="7117558"/>
          <a:ext cx="716626" cy="852349"/>
          <a:chOff x="6134100" y="7117558"/>
          <a:chExt cx="716626" cy="852349"/>
        </a:xfrm>
      </xdr:grpSpPr>
      <xdr:sp macro="" textlink="">
        <xdr:nvSpPr>
          <xdr:cNvPr id="23" name="Oval 22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24" name="Oval 23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5" name="Oval 24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26" name="Oval 25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2014</xdr:rowOff>
    </xdr:to>
    <xdr:grpSp>
      <xdr:nvGrpSpPr>
        <xdr:cNvPr id="21" name="Group 20"/>
        <xdr:cNvGrpSpPr/>
      </xdr:nvGrpSpPr>
      <xdr:grpSpPr>
        <a:xfrm>
          <a:off x="0" y="0"/>
          <a:ext cx="11880900" cy="9793714"/>
          <a:chOff x="0" y="0"/>
          <a:chExt cx="11880900" cy="9793714"/>
        </a:xfrm>
      </xdr:grpSpPr>
      <xdr:sp macro="" textlink="">
        <xdr:nvSpPr>
          <xdr:cNvPr id="3" name="Oval 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6" name="Straight Arrow Connector 5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Oval 7"/>
          <xdr:cNvSpPr/>
        </xdr:nvSpPr>
        <xdr:spPr>
          <a:xfrm>
            <a:off x="790575" y="14859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9" name="Oval 8"/>
          <xdr:cNvSpPr/>
        </xdr:nvSpPr>
        <xdr:spPr>
          <a:xfrm>
            <a:off x="4352925" y="14763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0" name="Oval 9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1" name="Oval 10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2" name="Oval 11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Oval 12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4" name="Oval 13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5" name="Oval 14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6" name="Rounded Rectangle 15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17" name="Oval 16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Daily dosage in: Unit of measurement and value; E. g. Pound and 750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Price per: 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 of measurement and value; E. g. Imperial ton and 235 and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7200900" y="6601302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 minimum of three values are required for the calculation</a:t>
            </a:r>
            <a:r>
              <a:rPr lang="de-CH" sz="1100">
                <a:latin typeface="+mn-lt"/>
              </a:rPr>
              <a:t>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Overdose factor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For recommendations and explanation see texts in the table and the footnote below the table.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/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 volume: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[m³/day] ↔ [Imp gal/day] ↔ [US gal/day]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content:	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[ppm] ↔ [mg/m³]</a:t>
            </a:r>
          </a:p>
          <a:p>
            <a:pPr marL="252000" indent="-252000" defTabSz="252000"/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Total sulfide content in reactor liquid in [g/m³].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Volume of daily added substrate in [m³/day]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Temperature of reactor liquid in [°C]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Acidity (pH) of reactor liquid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18" name="Group 17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19" name="Oval 18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20" name="Oval 19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1" name="Oval 20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38" name="Oval 37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2014</xdr:rowOff>
    </xdr:to>
    <xdr:grpSp>
      <xdr:nvGrpSpPr>
        <xdr:cNvPr id="22" name="Group 21"/>
        <xdr:cNvGrpSpPr/>
      </xdr:nvGrpSpPr>
      <xdr:grpSpPr>
        <a:xfrm>
          <a:off x="0" y="0"/>
          <a:ext cx="11880900" cy="9793714"/>
          <a:chOff x="0" y="0"/>
          <a:chExt cx="11880900" cy="9793714"/>
        </a:xfrm>
      </xdr:grpSpPr>
      <xdr:sp macro="" textlink="">
        <xdr:nvSpPr>
          <xdr:cNvPr id="23" name="Oval 2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24" name="Straight Arrow Connector 23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Oval 24"/>
          <xdr:cNvSpPr/>
        </xdr:nvSpPr>
        <xdr:spPr>
          <a:xfrm>
            <a:off x="790575" y="16764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6" name="Oval 25"/>
          <xdr:cNvSpPr/>
        </xdr:nvSpPr>
        <xdr:spPr>
          <a:xfrm>
            <a:off x="4352925" y="1666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7" name="Oval 26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8" name="Oval 27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9" name="Oval 28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0" name="Oval 29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1" name="Oval 30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2" name="Oval 31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3" name="Rounded Rectangle 32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34" name="Oval 33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Daily dosage in: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Unit of m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easurement and value; E. g. Pound and 500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Price per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Unit of measurement and value; E. g. US short ton and 990 and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7200900" y="6601302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 minimum of three values are required 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Overdose factor </a:t>
            </a:r>
            <a:r>
              <a:rPr lang="el-G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β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; For recommendations and explanation see texts in the table and the footnote below the table.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/>
            <a:endPara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Biogas volume:	[m³/day] ↔ [Imp gal/day] ↔ [US gal/day]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H₂S content:		[ppm] ↔ [mg/m³]</a:t>
            </a:r>
          </a:p>
          <a:p>
            <a:pPr marL="252000" indent="-252000" defTabSz="252000"/>
            <a:endPara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Total sulfide content in reactor liquid in [g/m³].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Volume of daily added substrate in [m³/day]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Temperature of reactor liquid in [°C]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Acidity (pH) of reactor liquid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24309</xdr:colOff>
      <xdr:row>42</xdr:row>
      <xdr:rowOff>60442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·((H₂S(aq))/(fH₂S(aq) )·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H₂S(g))/(1000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29766</xdr:colOff>
      <xdr:row>37</xdr:row>
      <xdr:rowOff>47625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el-GR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ρ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·((H₂S(aq))/(fH₂S(aq) )·</a:t>
              </a:r>
              <a:r>
                <a:rPr lang="de-CH" sz="1100" b="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H₂S(g))/1000·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ρ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26193</xdr:colOff>
      <xdr:row>47</xdr:row>
      <xdr:rowOff>60719</xdr:rowOff>
    </xdr:from>
    <xdr:ext cx="3472682" cy="2905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e>
                    </m:d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</m:e>
                      <m:sup>
                        <m:d>
                          <m:d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6.42</m:t>
                            </m:r>
                            <m:r>
                              <a:rPr lang="de-CH" sz="1100" b="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+</m:t>
                            </m:r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0.78⋅</m:t>
                            </m:r>
                            <m:func>
                              <m:funcPr>
                                <m:ctrlPr>
                                  <a:rPr lang="de-CH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100" i="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ln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de-CH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H</m:t>
                                        </m:r>
                                      </m:e>
                                      <m:sub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  <m:r>
                                      <m:rPr>
                                        <m:sty m:val="p"/>
                                      </m:rP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‐</m:t>
                                        </m:r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ges</m:t>
                                        </m:r>
                                      </m:e>
                                    </m:d>
                                    <m: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⋅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b="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f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H</m:t>
                                    </m:r>
                                    <m: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₂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de-CH" sz="1100" i="0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</m:e>
                                    </m:d>
                                  </m:e>
                                </m:d>
                              </m:e>
                            </m:func>
                          </m:e>
                        </m:d>
                      </m:sup>
                    </m:sSup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[</m:t>
                    </m:r>
                    <m:f>
                      <m:fPr>
                        <m:type m:val="lin"/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num>
                      <m:den>
                        <m:sSup>
                          <m:sSup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m</m:t>
                            </m:r>
                          </m:e>
                          <m:sup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]</m:t>
                    </m:r>
                  </m:oMath>
                </m:oMathPara>
              </a14:m>
              <a:endParaRPr lang="de-CH" sz="1100" i="0">
                <a:solidFill>
                  <a:sysClr val="windowText" lastClr="000000"/>
                </a:solidFill>
                <a:latin typeface="+mn-lt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g)=e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6.42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0.78⋅ln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aq‐ges)⋅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H₂S(aq)) ) )</a:t>
              </a: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[g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 i="0">
                <a:solidFill>
                  <a:sysClr val="windowText" lastClr="000000"/>
                </a:solidFill>
                <a:latin typeface="+mn-lt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311944</xdr:colOff>
      <xdr:row>46</xdr:row>
      <xdr:rowOff>55958</xdr:rowOff>
    </xdr:from>
    <xdr:ext cx="2636044" cy="546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aq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‐</m:t>
                        </m:r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ges</m:t>
                        </m:r>
                      </m:e>
                    </m:d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e</m:t>
                            </m:r>
                          </m:e>
                          <m:sup>
                            <m:f>
                              <m:f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func>
                                  <m:funcPr>
                                    <m:ctrlPr>
                                      <a:rPr lang="de-CH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en-US" sz="11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ln</m:t>
                                    </m:r>
                                  </m:fName>
                                  <m:e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H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S</m:t>
                                        </m:r>
                                        <m:d>
                                          <m:d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g</m:t>
                                            </m:r>
                                          </m:e>
                                        </m:d>
                                      </m:e>
                                    </m:d>
                                  </m:e>
                                </m:func>
                                <m:r>
                                  <a:rPr lang="de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6.45</m:t>
                                </m:r>
                              </m:num>
                              <m:den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0.78</m:t>
                                </m:r>
                              </m:den>
                            </m:f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fH</m:t>
                            </m:r>
                          </m:e>
                          <m:sub>
                            <m: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S</m:t>
                        </m:r>
                        <m:d>
                          <m:d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aq</m:t>
                            </m:r>
                          </m:e>
                        </m:d>
                      </m:den>
                    </m:f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d>
                      <m:dPr>
                        <m:begChr m:val="["/>
                        <m:endChr m:val="]"/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g</m:t>
                            </m:r>
                          </m:num>
                          <m:den>
                            <m:sSup>
                              <m:sSup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de-CH" sz="1100">
                <a:latin typeface="+mn-lt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‐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ges)=e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ln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g))</a:t>
              </a:r>
              <a:r>
                <a:rPr lang="de-CH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6.45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0.78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aq)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>
                <a:latin typeface="+mn-lt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24053</xdr:colOff>
      <xdr:row>42</xdr:row>
      <xdr:rowOff>60831</xdr:rowOff>
    </xdr:from>
    <xdr:ext cx="3443047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H₂S(g))/(1000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twoCellAnchor>
    <xdr:from>
      <xdr:col>8</xdr:col>
      <xdr:colOff>127792</xdr:colOff>
      <xdr:row>57</xdr:row>
      <xdr:rowOff>77408</xdr:rowOff>
    </xdr:from>
    <xdr:to>
      <xdr:col>17</xdr:col>
      <xdr:colOff>657225</xdr:colOff>
      <xdr:row>91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5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Ton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en.wikipedia.org/wiki/Gallon" TargetMode="External"/><Relationship Id="rId1" Type="http://schemas.openxmlformats.org/officeDocument/2006/relationships/hyperlink" Target="https://teesing.com/en/library/tools/ppm-mg3-converter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tu-dresden.de/ing/maschinenwesen/ifvu/ressourcen/dateien/tvu/forschungsprojekte/forschung_alt/entschwefelungsverfahren/bge_in_landw_anlagen.pdf?lang=en" TargetMode="External"/><Relationship Id="rId4" Type="http://schemas.openxmlformats.org/officeDocument/2006/relationships/hyperlink" Target="https://en.wikipedia.org/wiki/Hydrogen_sulfid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Y144"/>
  <sheetViews>
    <sheetView showGridLines="0" tabSelected="1" zoomScaleNormal="100" workbookViewId="0">
      <selection activeCell="F18" sqref="F18"/>
    </sheetView>
  </sheetViews>
  <sheetFormatPr defaultRowHeight="15"/>
  <cols>
    <col min="1" max="1" width="1.625" style="343" customWidth="1"/>
    <col min="2" max="2" width="2.125" style="344" customWidth="1"/>
    <col min="3" max="3" width="10.125" style="344" customWidth="1"/>
    <col min="4" max="4" width="16.25" style="344" customWidth="1"/>
    <col min="5" max="5" width="0.125" style="344" customWidth="1"/>
    <col min="6" max="6" width="26.75" style="344" customWidth="1"/>
    <col min="7" max="7" width="12.625" style="344" customWidth="1"/>
    <col min="8" max="8" width="10.625" style="344" customWidth="1"/>
    <col min="9" max="9" width="0.875" style="344" customWidth="1"/>
    <col min="10" max="10" width="12.625" style="344" customWidth="1"/>
    <col min="11" max="11" width="0.125" style="344" customWidth="1"/>
    <col min="12" max="12" width="10.625" style="344" customWidth="1"/>
    <col min="13" max="13" width="0.875" style="344" customWidth="1"/>
    <col min="14" max="14" width="33" style="344" customWidth="1"/>
    <col min="15" max="16" width="7.5" style="344" customWidth="1"/>
    <col min="17" max="17" width="15.75" style="344" customWidth="1"/>
    <col min="18" max="19" width="12.125" style="344" customWidth="1"/>
    <col min="20" max="24" width="12.625" style="344" hidden="1" customWidth="1"/>
    <col min="25" max="25" width="9" style="344" hidden="1" customWidth="1"/>
    <col min="26" max="26" width="24.875" style="344" hidden="1" customWidth="1"/>
    <col min="27" max="28" width="10.875" style="344" hidden="1" customWidth="1"/>
    <col min="29" max="30" width="3.25" style="344" hidden="1" customWidth="1"/>
    <col min="31" max="31" width="10.75" style="344" hidden="1" customWidth="1"/>
    <col min="32" max="32" width="3.25" style="344" hidden="1" customWidth="1"/>
    <col min="33" max="33" width="9" style="344" hidden="1" customWidth="1"/>
    <col min="34" max="34" width="26.125" style="344" hidden="1" customWidth="1"/>
    <col min="35" max="36" width="10.875" style="344" hidden="1" customWidth="1"/>
    <col min="37" max="37" width="9" style="344" hidden="1" customWidth="1"/>
    <col min="38" max="38" width="21.25" style="344" hidden="1" customWidth="1"/>
    <col min="39" max="40" width="10.875" style="344" hidden="1" customWidth="1"/>
    <col min="41" max="41" width="3.25" style="344" hidden="1" customWidth="1"/>
    <col min="42" max="42" width="9" style="344" hidden="1" customWidth="1"/>
    <col min="43" max="43" width="19" style="344" hidden="1" customWidth="1"/>
    <col min="44" max="46" width="9" style="344" hidden="1" customWidth="1"/>
    <col min="47" max="47" width="14.625" style="344" hidden="1" customWidth="1"/>
    <col min="48" max="50" width="9" style="344" hidden="1" customWidth="1"/>
    <col min="51" max="16384" width="9" style="344"/>
  </cols>
  <sheetData>
    <row r="1" spans="2:50" ht="9.9499999999999993" customHeight="1"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</row>
    <row r="2" spans="2:50" ht="18.75">
      <c r="B2" s="16" t="s">
        <v>60</v>
      </c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</row>
    <row r="3" spans="2:50" ht="15" customHeight="1">
      <c r="B3" s="9" t="str">
        <f xml:space="preserve"> IF(EXACT(L74, "powered by SwissBiogas.com"), "", "*** This version is not authorised by SwissBiogas.com ***")</f>
        <v/>
      </c>
    </row>
    <row r="4" spans="2:50" ht="15" customHeight="1">
      <c r="B4" s="344" t="s">
        <v>216</v>
      </c>
    </row>
    <row r="5" spans="2:50" ht="15" customHeight="1">
      <c r="B5" s="209" t="s">
        <v>217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</row>
    <row r="6" spans="2:50" ht="15" customHeight="1">
      <c r="B6" s="344" t="s">
        <v>65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</row>
    <row r="7" spans="2:50" ht="15" customHeight="1">
      <c r="B7" s="344" t="s">
        <v>61</v>
      </c>
      <c r="C7" s="344" t="s">
        <v>86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8" spans="2:50" ht="15" customHeight="1">
      <c r="C8" s="344" t="s">
        <v>64</v>
      </c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2:50" ht="15" customHeight="1">
      <c r="B9" s="344" t="s">
        <v>61</v>
      </c>
      <c r="C9" s="344" t="s">
        <v>125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</row>
    <row r="10" spans="2:50" ht="15" customHeight="1">
      <c r="C10" s="344" t="s">
        <v>126</v>
      </c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2:50" ht="15" customHeight="1">
      <c r="C11" s="344" t="s">
        <v>63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</row>
    <row r="12" spans="2:50" ht="15" customHeight="1">
      <c r="B12" s="344" t="s">
        <v>61</v>
      </c>
      <c r="C12" s="344" t="s">
        <v>87</v>
      </c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T12" s="347" t="s">
        <v>121</v>
      </c>
      <c r="U12" s="348" t="s">
        <v>16</v>
      </c>
      <c r="V12" s="349"/>
    </row>
    <row r="13" spans="2:50" ht="15" customHeight="1">
      <c r="C13" s="344" t="s">
        <v>127</v>
      </c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T13" s="350" t="s">
        <v>122</v>
      </c>
      <c r="U13" s="351" t="s">
        <v>45</v>
      </c>
      <c r="V13" s="352"/>
    </row>
    <row r="14" spans="2:50" ht="15" customHeight="1">
      <c r="C14" s="344" t="s">
        <v>128</v>
      </c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53"/>
    </row>
    <row r="15" spans="2:50" ht="15" customHeight="1">
      <c r="B15" s="354"/>
      <c r="C15" s="318" t="str">
        <f xml:space="preserve"> IF(MOD(ROUND(SUM(G20:G30,J52,J59:J60,J67) * 1000000, 0), 10) &gt;=  6, "Tip: Take a look at the completed examples which you can open by clicking on the tabs ""Beispiel DE "" and ""Example EU/UK/US"" directly below this document.", "")</f>
        <v>Tip: Take a look at the completed examples which you can open by clicking on the tabs "Beispiel DE " and "Example EU/UK/US" directly below this document.</v>
      </c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4"/>
      <c r="P15" s="354"/>
      <c r="Q15" s="354"/>
      <c r="R15" s="354"/>
      <c r="S15" s="354"/>
      <c r="T15" s="8" t="s">
        <v>109</v>
      </c>
    </row>
    <row r="16" spans="2:50" ht="15" customHeight="1"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 t="s">
        <v>53</v>
      </c>
      <c r="U16" s="358" t="s">
        <v>79</v>
      </c>
      <c r="V16" s="359">
        <f xml:space="preserve"> IF(NOT(ISERR(G30)), IF(AND(ISNUMBER(G30), G30 &gt; 0), G30, 0), 0)</f>
        <v>2.7500010000000001</v>
      </c>
      <c r="W16" s="358" t="s">
        <v>80</v>
      </c>
      <c r="X16" s="359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47" t="s">
        <v>71</v>
      </c>
      <c r="U17" s="360" t="s">
        <v>66</v>
      </c>
      <c r="V17" s="361" t="s">
        <v>67</v>
      </c>
      <c r="W17" s="360" t="s">
        <v>68</v>
      </c>
      <c r="X17" s="361" t="s">
        <v>69</v>
      </c>
    </row>
    <row r="18" spans="1:24" s="362" customFormat="1" ht="15" customHeight="1">
      <c r="A18" s="343"/>
      <c r="C18" s="527" t="s">
        <v>311</v>
      </c>
      <c r="D18" s="8"/>
      <c r="E18" s="8"/>
      <c r="F18" s="675" t="s">
        <v>163</v>
      </c>
      <c r="G18" s="23" t="str">
        <f xml:space="preserve"> IF(OR(F18 = "", F18 = " ", F18 = "  "), "Your Additive", F18)</f>
        <v>Your_De-Sulph</v>
      </c>
      <c r="H18" s="24"/>
      <c r="J18" s="25" t="str">
        <f xml:space="preserve"> U13</f>
        <v>SBGx by SwissBiogas.com</v>
      </c>
      <c r="K18" s="25"/>
      <c r="L18" s="363"/>
      <c r="N18" s="364"/>
      <c r="T18" s="365" t="s">
        <v>72</v>
      </c>
      <c r="U18" s="366">
        <f xml:space="preserve"> IF(ISERR(G20), 0, IF(AND(ISNUMBER(G20), G20 &gt; 0), G20 * basis!G8 / 100, 0))</f>
        <v>0</v>
      </c>
      <c r="V18" s="367">
        <v>0</v>
      </c>
      <c r="W18" s="366">
        <f xml:space="preserve"> IF(J20 &gt; 0, J20 * basis!G8 / 100, 0)</f>
        <v>32.506888497920507</v>
      </c>
      <c r="X18" s="367">
        <v>0</v>
      </c>
    </row>
    <row r="19" spans="1:24" ht="15" customHeight="1">
      <c r="A19" s="368"/>
      <c r="C19" s="520" t="s">
        <v>54</v>
      </c>
      <c r="D19" s="521" t="s">
        <v>84</v>
      </c>
      <c r="E19" s="521"/>
      <c r="F19" s="520" t="s">
        <v>85</v>
      </c>
      <c r="G19" s="522" t="s">
        <v>291</v>
      </c>
      <c r="H19" s="523" t="s">
        <v>21</v>
      </c>
      <c r="I19" s="209"/>
      <c r="J19" s="524" t="s">
        <v>292</v>
      </c>
      <c r="K19" s="525"/>
      <c r="L19" s="526" t="s">
        <v>21</v>
      </c>
      <c r="M19" s="32"/>
      <c r="T19" s="365" t="s">
        <v>73</v>
      </c>
      <c r="U19" s="366">
        <v>0</v>
      </c>
      <c r="V19" s="367">
        <f xml:space="preserve"> IF(ISERR(G21), 0, IF(AND(ISNUMBER(G21), G21 &gt; 0), G21 * basis!G9 / 100, 0))</f>
        <v>0</v>
      </c>
      <c r="W19" s="366">
        <v>0</v>
      </c>
      <c r="X19" s="367">
        <f xml:space="preserve"> IF(J21 &gt; 0, J21 * basis!G9 / 100, 0)</f>
        <v>30.865647555674123</v>
      </c>
    </row>
    <row r="20" spans="1:24" ht="15" customHeight="1">
      <c r="C20" s="369" t="str">
        <f xml:space="preserve"> basis!B8</f>
        <v>FeO</v>
      </c>
      <c r="D20" s="30" t="str">
        <f xml:space="preserve"> IF(OR(H20 &gt; 0, J20 &gt; 0), "Fe²⁺, ""ferrous""", "")</f>
        <v>Fe²⁺, "ferrous"</v>
      </c>
      <c r="E20" s="30"/>
      <c r="F20" s="370" t="str">
        <f xml:space="preserve"> IF(OR(H20 &gt; 0, J20 &gt; 0), "Iron(II) oxide", "")</f>
        <v>Iron(II) oxide</v>
      </c>
      <c r="G20" s="371"/>
      <c r="H20" s="29">
        <f t="shared" ref="H20:H28" si="0" xml:space="preserve"> SUM(U18:V18)</f>
        <v>0</v>
      </c>
      <c r="J20" s="372">
        <f xml:space="preserve"> basis!B22</f>
        <v>41.82</v>
      </c>
      <c r="K20" s="373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365" t="s">
        <v>70</v>
      </c>
      <c r="U20" s="366">
        <f xml:space="preserve"> IF(ISERR(G22), 0, IF(AND(ISNUMBER(G22), G22 &gt; 0), G22 / 3 * basis!G10 / 100, 0))</f>
        <v>0</v>
      </c>
      <c r="V20" s="367">
        <f xml:space="preserve"> IF(ISERR(G22), 0, IF(AND(ISNUMBER(G22), G22 &gt; 0), G22 * 2 / 3 * basis!G10 / 100, 0))</f>
        <v>0</v>
      </c>
      <c r="W20" s="366">
        <f xml:space="preserve"> IF(J22 &gt; 0, J22 / 3 * basis!G10 / 100, 0)</f>
        <v>0</v>
      </c>
      <c r="X20" s="367">
        <f xml:space="preserve"> IF(J22 &gt; 0, J22 * 2 / 3 * basis!G10 / 100, 0)</f>
        <v>0</v>
      </c>
    </row>
    <row r="21" spans="1:24" ht="15" customHeight="1">
      <c r="C21" s="369" t="str">
        <f xml:space="preserve"> basis!B9</f>
        <v>Fe₂O₃</v>
      </c>
      <c r="D21" s="30" t="str">
        <f xml:space="preserve"> IF(OR(H21 &gt; 0, J21 &gt; 0), "Fe³⁺, ""ferric""", "")</f>
        <v>Fe³⁺, "ferric"</v>
      </c>
      <c r="E21" s="30"/>
      <c r="F21" s="370" t="str">
        <f xml:space="preserve"> IF(OR(H21 &gt; 0, J21 &gt; 0), "Iron(III) oxide", "")</f>
        <v>Iron(III) oxide</v>
      </c>
      <c r="G21" s="371"/>
      <c r="H21" s="29">
        <f t="shared" si="0"/>
        <v>0</v>
      </c>
      <c r="J21" s="374">
        <f xml:space="preserve"> basis!C22</f>
        <v>44.13</v>
      </c>
      <c r="K21" s="375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365" t="s">
        <v>72</v>
      </c>
      <c r="U21" s="366">
        <f xml:space="preserve"> IF(ISERR(G23), 0, IF(AND(ISNUMBER(G23), G23 &gt; 0), G23 * basis!G11 / 100, 0))</f>
        <v>0</v>
      </c>
      <c r="V21" s="367">
        <v>0</v>
      </c>
      <c r="W21" s="366">
        <f xml:space="preserve"> IF(J23 &gt; 0, J23 * basis!G11 / 100, 0)</f>
        <v>0</v>
      </c>
      <c r="X21" s="367">
        <v>0</v>
      </c>
    </row>
    <row r="22" spans="1:24" ht="15" customHeight="1">
      <c r="C22" s="369" t="str">
        <f xml:space="preserve"> basis!B10</f>
        <v>Fe₃O₄</v>
      </c>
      <c r="D22" s="30" t="str">
        <f xml:space="preserve"> IF(OR(H22 &gt; 0, J22 &gt; 0), "⅓ Fe²⁺ + ⅔ Fe³⁺", "")</f>
        <v/>
      </c>
      <c r="E22" s="30"/>
      <c r="F22" s="370" t="str">
        <f xml:space="preserve"> IF(OR(H22 &gt; 0, J22 &gt; 0), "Iron(II,III) oxide", "")</f>
        <v/>
      </c>
      <c r="G22" s="371"/>
      <c r="H22" s="29">
        <f t="shared" si="0"/>
        <v>0</v>
      </c>
      <c r="J22" s="376"/>
      <c r="K22" s="377"/>
      <c r="L22" s="65">
        <f t="shared" si="1"/>
        <v>0</v>
      </c>
      <c r="M22" s="15"/>
      <c r="N22" s="80" t="str">
        <f t="shared" si="2"/>
        <v/>
      </c>
      <c r="T22" s="365" t="s">
        <v>73</v>
      </c>
      <c r="U22" s="366">
        <v>0</v>
      </c>
      <c r="V22" s="367">
        <f xml:space="preserve"> IF(ISERR(G24), 0, IF(AND(ISNUMBER(G24), G24 &gt; 0), G24 * basis!G12 / 100, 0))</f>
        <v>0</v>
      </c>
      <c r="W22" s="366">
        <v>0</v>
      </c>
      <c r="X22" s="367">
        <f xml:space="preserve"> IF(J24 &gt; 0, J24 * basis!G12 / 100, 0)</f>
        <v>0</v>
      </c>
    </row>
    <row r="23" spans="1:24" ht="15" customHeight="1">
      <c r="C23" s="369" t="str">
        <f xml:space="preserve"> basis!B11</f>
        <v>FeCl₂</v>
      </c>
      <c r="D23" s="30" t="str">
        <f xml:space="preserve"> IF(OR(H23 &gt; 0, J23 &gt; 0), "Fe²⁺, ""ferrous""", "")</f>
        <v/>
      </c>
      <c r="E23" s="30"/>
      <c r="F23" s="370" t="str">
        <f xml:space="preserve"> IF(OR(H23 &gt; 0, J23 &gt; 0), "Iron(II) chloride", "")</f>
        <v/>
      </c>
      <c r="G23" s="371"/>
      <c r="H23" s="29">
        <f t="shared" si="0"/>
        <v>0</v>
      </c>
      <c r="J23" s="376"/>
      <c r="K23" s="377"/>
      <c r="L23" s="65">
        <f t="shared" si="1"/>
        <v>0</v>
      </c>
      <c r="M23" s="15"/>
      <c r="N23" s="80" t="str">
        <f t="shared" si="2"/>
        <v/>
      </c>
      <c r="T23" s="365" t="s">
        <v>73</v>
      </c>
      <c r="U23" s="366">
        <v>0</v>
      </c>
      <c r="V23" s="367">
        <f xml:space="preserve"> IF(ISERR(G25), 0, IF(AND(ISNUMBER(G25), G25 &gt; 0), G25 * basis!G13 / 100, 0))</f>
        <v>45.881882063817763</v>
      </c>
      <c r="W23" s="366">
        <v>0</v>
      </c>
      <c r="X23" s="367">
        <f xml:space="preserve"> IF(J25 &gt; 0, J25 * basis!G13 / 100, 0)</f>
        <v>0</v>
      </c>
    </row>
    <row r="24" spans="1:24" ht="15" customHeight="1">
      <c r="C24" s="369" t="str">
        <f xml:space="preserve"> basis!B12</f>
        <v>FeCl₃</v>
      </c>
      <c r="D24" s="30" t="str">
        <f xml:space="preserve"> IF(OR(H24 &gt; 0, J24 &gt; 0), "Fe³⁺, ""ferric""", "")</f>
        <v/>
      </c>
      <c r="E24" s="30"/>
      <c r="F24" s="370" t="str">
        <f xml:space="preserve"> IF(OR(H24 &gt; 0, J24 &gt; 0), "Iron(III) chloride", "")</f>
        <v/>
      </c>
      <c r="G24" s="371"/>
      <c r="H24" s="29">
        <f t="shared" si="0"/>
        <v>0</v>
      </c>
      <c r="J24" s="376"/>
      <c r="K24" s="377"/>
      <c r="L24" s="65">
        <f t="shared" si="1"/>
        <v>0</v>
      </c>
      <c r="M24" s="15"/>
      <c r="N24" s="80" t="str">
        <f t="shared" si="2"/>
        <v/>
      </c>
      <c r="T24" s="365" t="s">
        <v>72</v>
      </c>
      <c r="U24" s="366">
        <f xml:space="preserve"> IF(ISERR(G26), 0, IF(AND(ISNUMBER(G26), G26 &gt; 0), G26 * basis!G14 / 100, 0))</f>
        <v>0</v>
      </c>
      <c r="V24" s="367">
        <v>0</v>
      </c>
      <c r="W24" s="366">
        <f xml:space="preserve"> IF(J26 &gt; 0, J26 * basis!G14 / 100, 0)</f>
        <v>0</v>
      </c>
      <c r="X24" s="367">
        <v>0</v>
      </c>
    </row>
    <row r="25" spans="1:24" ht="15" customHeight="1">
      <c r="C25" s="369" t="str">
        <f xml:space="preserve"> basis!B13</f>
        <v>FeO(OH)</v>
      </c>
      <c r="D25" s="30" t="str">
        <f xml:space="preserve"> IF(OR(H25 &gt; 0, J25 &gt; 0), "Fe³⁺, ""ferric""", "")</f>
        <v>Fe³⁺, "ferric"</v>
      </c>
      <c r="E25" s="30"/>
      <c r="F25" s="370" t="str">
        <f xml:space="preserve"> IF(OR(H25 &gt; 0, J25 &gt; 0), "Iron(III) oxide-hydroxide", "")</f>
        <v>Iron(III) oxide-hydroxide</v>
      </c>
      <c r="G25" s="378">
        <v>73.000000999999997</v>
      </c>
      <c r="H25" s="29">
        <f t="shared" si="0"/>
        <v>45.881882063817763</v>
      </c>
      <c r="J25" s="376"/>
      <c r="K25" s="377"/>
      <c r="L25" s="65">
        <f t="shared" si="1"/>
        <v>0</v>
      </c>
      <c r="M25" s="15"/>
      <c r="N25" s="80" t="str">
        <f t="shared" si="2"/>
        <v>← 73.00: Example - Delete or replace with your own additive's value(s)</v>
      </c>
      <c r="T25" s="365" t="s">
        <v>73</v>
      </c>
      <c r="U25" s="366">
        <v>0</v>
      </c>
      <c r="V25" s="367">
        <f xml:space="preserve"> IF(ISERR(G27), 0, IF(AND(ISNUMBER(G27), G27 &gt; 0), G27 * basis!G15 / 100, 0))</f>
        <v>0</v>
      </c>
      <c r="W25" s="366">
        <v>0</v>
      </c>
      <c r="X25" s="367">
        <f xml:space="preserve"> IF(J27 &gt; 0, J27 * basis!G15 / 100, 0)</f>
        <v>0</v>
      </c>
    </row>
    <row r="26" spans="1:24" ht="15" customHeight="1">
      <c r="C26" s="369" t="str">
        <f xml:space="preserve"> basis!B14</f>
        <v>Fe(OH)₂</v>
      </c>
      <c r="D26" s="30" t="str">
        <f xml:space="preserve"> IF(OR(H26 &gt; 0, J26 &gt; 0), "Fe²⁺, ""ferrous""", "")</f>
        <v/>
      </c>
      <c r="E26" s="30"/>
      <c r="F26" s="370" t="str">
        <f xml:space="preserve"> IF(OR(H26 &gt; 0, J26 &gt; 0), "Iron(II) hydroxide", "")</f>
        <v/>
      </c>
      <c r="G26" s="371"/>
      <c r="H26" s="29">
        <f t="shared" si="0"/>
        <v>0</v>
      </c>
      <c r="J26" s="376"/>
      <c r="K26" s="377"/>
      <c r="L26" s="65">
        <f t="shared" si="1"/>
        <v>0</v>
      </c>
      <c r="M26" s="15"/>
      <c r="N26" s="80" t="str">
        <f t="shared" si="2"/>
        <v/>
      </c>
      <c r="T26" s="365" t="s">
        <v>73</v>
      </c>
      <c r="U26" s="366">
        <v>0</v>
      </c>
      <c r="V26" s="367">
        <f xml:space="preserve"> IF(ISERR(G28), 0, IF(AND(ISNUMBER(G28), G28 &gt; 0), G28 * basis!G16 / 100, 0))</f>
        <v>0</v>
      </c>
      <c r="W26" s="366">
        <v>0</v>
      </c>
      <c r="X26" s="367">
        <f xml:space="preserve"> IF(J28 &gt; 0, J28 * basis!G16 / 100, 0)</f>
        <v>0</v>
      </c>
    </row>
    <row r="27" spans="1:24" s="362" customFormat="1" ht="15" customHeight="1">
      <c r="A27" s="343"/>
      <c r="C27" s="369" t="str">
        <f xml:space="preserve"> basis!B15</f>
        <v>Fe(OH)₃</v>
      </c>
      <c r="D27" s="30" t="str">
        <f xml:space="preserve"> IF(OR(H27 &gt; 0, J27 &gt; 0), "Fe³⁺, ""ferric""", "")</f>
        <v/>
      </c>
      <c r="E27" s="30"/>
      <c r="F27" s="370" t="str">
        <f xml:space="preserve"> IF(OR(H27 &gt; 0, J27 &gt; 0), "Iron(III) hydroxide", "")</f>
        <v/>
      </c>
      <c r="G27" s="371"/>
      <c r="H27" s="29">
        <f t="shared" si="0"/>
        <v>0</v>
      </c>
      <c r="I27" s="344"/>
      <c r="J27" s="376"/>
      <c r="K27" s="377"/>
      <c r="L27" s="65">
        <f t="shared" si="1"/>
        <v>0</v>
      </c>
      <c r="M27" s="15"/>
      <c r="N27" s="80" t="str">
        <f t="shared" si="2"/>
        <v/>
      </c>
      <c r="T27" s="350" t="s">
        <v>81</v>
      </c>
      <c r="U27" s="379">
        <f xml:space="preserve"> SUM(U18:U26)</f>
        <v>0</v>
      </c>
      <c r="V27" s="350">
        <f xml:space="preserve"> SUM(V18:V26)</f>
        <v>45.881882063817763</v>
      </c>
      <c r="W27" s="379">
        <f xml:space="preserve"> SUM(W18:W26)</f>
        <v>32.506888497920507</v>
      </c>
      <c r="X27" s="350">
        <f xml:space="preserve"> SUM(X18:X26)</f>
        <v>30.865647555674123</v>
      </c>
    </row>
    <row r="28" spans="1:24" s="362" customFormat="1" ht="15" customHeight="1">
      <c r="A28" s="343"/>
      <c r="C28" s="369" t="str">
        <f xml:space="preserve"> basis!B16</f>
        <v>Fe₂O₃·3H₂O</v>
      </c>
      <c r="D28" s="39" t="str">
        <f xml:space="preserve"> IF(OR(H28 &gt; 0, J28 &gt; 0), "Fe³⁺, ""ferric""", "")</f>
        <v/>
      </c>
      <c r="E28" s="30"/>
      <c r="F28" s="370" t="str">
        <f xml:space="preserve"> IF(OR(H28 &gt; 0, J28 &gt; 0), "Iron(III) oxide trihydrate", "")</f>
        <v/>
      </c>
      <c r="G28" s="371"/>
      <c r="H28" s="29">
        <f t="shared" si="0"/>
        <v>0</v>
      </c>
      <c r="I28" s="344"/>
      <c r="J28" s="376"/>
      <c r="K28" s="377"/>
      <c r="L28" s="65">
        <f t="shared" si="1"/>
        <v>0</v>
      </c>
      <c r="M28" s="15"/>
      <c r="N28" s="80" t="str">
        <f t="shared" si="2"/>
        <v/>
      </c>
      <c r="T28" s="533" t="s">
        <v>335</v>
      </c>
      <c r="U28" s="380"/>
      <c r="V28" s="381">
        <f xml:space="preserve"> (U27 + V27) * (100 - V16) / 100</f>
        <v>44.620129848243948</v>
      </c>
      <c r="W28" s="380"/>
      <c r="X28" s="493">
        <f xml:space="preserve"> (W27 + X27) * (100 - X16) / 100</f>
        <v>62.105085332522741</v>
      </c>
    </row>
    <row r="29" spans="1:24" s="362" customFormat="1" ht="15" hidden="1" customHeight="1">
      <c r="A29" s="343"/>
      <c r="C29" s="382" t="s">
        <v>123</v>
      </c>
      <c r="D29" s="86"/>
      <c r="E29" s="86"/>
      <c r="F29" s="382"/>
      <c r="G29" s="383"/>
      <c r="H29" s="84" t="str">
        <f xml:space="preserve"> V30</f>
        <v>0 : 100</v>
      </c>
      <c r="I29" s="344"/>
      <c r="J29" s="376"/>
      <c r="K29" s="377"/>
      <c r="L29" s="85" t="str">
        <f xml:space="preserve"> X30</f>
        <v>51 : 49</v>
      </c>
      <c r="N29" s="80" t="str">
        <f t="shared" si="2"/>
        <v/>
      </c>
      <c r="T29" s="350" t="s">
        <v>170</v>
      </c>
      <c r="U29" s="379">
        <f xml:space="preserve"> U27 / (U27 + V27) * 100</f>
        <v>0</v>
      </c>
      <c r="V29" s="379">
        <f xml:space="preserve"> V27 / (U27 + V27) * 100</f>
        <v>100</v>
      </c>
      <c r="W29" s="379">
        <f xml:space="preserve"> W27 / (W27 + X27) * 100</f>
        <v>51.29491499350631</v>
      </c>
      <c r="X29" s="379">
        <f xml:space="preserve"> X27 / (W27 + X27) * 100</f>
        <v>48.70508500649369</v>
      </c>
    </row>
    <row r="30" spans="1:24" s="362" customFormat="1" ht="15" customHeight="1">
      <c r="A30" s="368"/>
      <c r="C30" s="536" t="s">
        <v>336</v>
      </c>
      <c r="D30" s="384"/>
      <c r="E30" s="384"/>
      <c r="F30" s="370"/>
      <c r="G30" s="385">
        <v>2.7500010000000001</v>
      </c>
      <c r="H30" s="534">
        <f xml:space="preserve"> U27 + V27</f>
        <v>45.881882063817763</v>
      </c>
      <c r="I30" s="344"/>
      <c r="J30" s="376">
        <f xml:space="preserve"> IF(X16 = 0, "", X16)</f>
        <v>2</v>
      </c>
      <c r="K30" s="377"/>
      <c r="L30" s="535">
        <f xml:space="preserve"> W27 + X27</f>
        <v>63.372536053594629</v>
      </c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>← 2.75: Example - Delete or replace with your own additive's moisture</v>
      </c>
      <c r="T30" s="386" t="s">
        <v>82</v>
      </c>
      <c r="U30" s="387"/>
      <c r="V30" s="386" t="str">
        <f xml:space="preserve">
IF(U27 = 0,
    IF(V27 = 0, "0 : 0", "0 : 100"),
    IF(V27 = 0,
        "100 : 0",
        ROUND(U29, 0) &amp; " : " &amp; ROUND(V29, 0)
    )
)</f>
        <v>0 : 100</v>
      </c>
      <c r="W30" s="387"/>
      <c r="X30" s="386" t="str">
        <f xml:space="preserve">
IF(W27 = 0,
    IF(X27 = 0, "0 : 0", "0 : 100"),
    IF(X27 = 0,
        "100 : 0",
        ROUND(W29, 0) &amp; " : " &amp; ROUND(X29, 0)
    )
)</f>
        <v>51 : 49</v>
      </c>
    </row>
    <row r="31" spans="1:24" s="389" customFormat="1" ht="15" customHeight="1">
      <c r="A31" s="388"/>
      <c r="C31" s="17" t="s">
        <v>55</v>
      </c>
      <c r="D31" s="17" t="s">
        <v>21</v>
      </c>
      <c r="E31" s="17"/>
      <c r="F31" s="17"/>
      <c r="G31" s="50"/>
      <c r="H31" s="51">
        <f xml:space="preserve"> V28</f>
        <v>44.620129848243948</v>
      </c>
      <c r="I31" s="8"/>
      <c r="J31" s="52"/>
      <c r="K31" s="66"/>
      <c r="L31" s="67">
        <f xml:space="preserve"> X28</f>
        <v>62.105085332522741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362"/>
      <c r="T31" s="512"/>
      <c r="U31" s="513"/>
      <c r="V31" s="513"/>
      <c r="W31" s="513"/>
      <c r="X31" s="513"/>
    </row>
    <row r="32" spans="1:24" s="362" customFormat="1" ht="15" customHeight="1">
      <c r="A32" s="343"/>
      <c r="C32" s="21" t="s">
        <v>295</v>
      </c>
      <c r="G32" s="390"/>
      <c r="H32" s="391"/>
      <c r="J32" s="363"/>
      <c r="K32" s="363"/>
      <c r="L32" s="363"/>
      <c r="N32" s="28"/>
    </row>
    <row r="33" spans="1:50" s="362" customFormat="1" ht="12" customHeight="1">
      <c r="A33" s="343"/>
      <c r="C33" s="21" t="s">
        <v>296</v>
      </c>
      <c r="H33" s="392"/>
      <c r="N33" s="28"/>
    </row>
    <row r="34" spans="1:50" s="362" customFormat="1" ht="15" customHeight="1"/>
    <row r="35" spans="1:50" s="362" customFormat="1" ht="15" customHeight="1">
      <c r="C35" s="54" t="s">
        <v>215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39.2% higher than the RIIC of Your_De-Sulph.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1.4 x</v>
      </c>
      <c r="P35" s="14"/>
    </row>
    <row r="36" spans="1:50" s="362" customFormat="1" ht="15" hidden="1" customHeight="1"/>
    <row r="37" spans="1:50" s="362" customFormat="1" ht="15" hidden="1" customHeight="1">
      <c r="C37" s="344" t="s">
        <v>44</v>
      </c>
      <c r="D37" s="9"/>
      <c r="E37" s="9"/>
      <c r="F37" s="9"/>
      <c r="G37" s="344"/>
      <c r="H37" s="344"/>
      <c r="I37" s="344"/>
      <c r="J37" s="344"/>
      <c r="K37" s="344"/>
      <c r="L37" s="344"/>
      <c r="M37" s="344"/>
      <c r="N37" s="344"/>
    </row>
    <row r="38" spans="1:50" s="362" customFormat="1" ht="15" hidden="1" customHeight="1">
      <c r="C38" s="344" t="s">
        <v>282</v>
      </c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</row>
    <row r="39" spans="1:50" s="362" customFormat="1" ht="15" hidden="1" customHeight="1">
      <c r="C39" s="344" t="s">
        <v>51</v>
      </c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93"/>
      <c r="AX39" s="393"/>
    </row>
    <row r="40" spans="1:50" s="362" customFormat="1" ht="15" hidden="1" customHeight="1">
      <c r="C40" s="344" t="s">
        <v>46</v>
      </c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T40" s="8" t="s">
        <v>109</v>
      </c>
      <c r="W40" s="40" t="s">
        <v>99</v>
      </c>
      <c r="X40" s="394" t="s">
        <v>190</v>
      </c>
      <c r="Y40" s="395"/>
      <c r="Z40" s="43" t="s">
        <v>106</v>
      </c>
      <c r="AA40" s="46">
        <f xml:space="preserve"> G48</f>
        <v>0</v>
      </c>
      <c r="AB40" s="47" t="s">
        <v>90</v>
      </c>
      <c r="AC40" s="396" t="s">
        <v>117</v>
      </c>
      <c r="AD40" s="396" t="s">
        <v>143</v>
      </c>
      <c r="AE40" s="396" t="s">
        <v>194</v>
      </c>
      <c r="AF40" s="396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0</v>
      </c>
      <c r="AN40" s="47" t="s">
        <v>102</v>
      </c>
      <c r="AO40" s="396" t="s">
        <v>117</v>
      </c>
      <c r="AQ40" s="44" t="s">
        <v>111</v>
      </c>
      <c r="AR40" s="45">
        <f xml:space="preserve"> AM51</f>
        <v>0</v>
      </c>
      <c r="AS40" s="45">
        <f xml:space="preserve"> J52</f>
        <v>1000.000001</v>
      </c>
      <c r="AU40" s="44" t="s">
        <v>118</v>
      </c>
      <c r="AV40" s="46">
        <f xml:space="preserve"> G53 - J53</f>
        <v>0</v>
      </c>
      <c r="AW40" s="397"/>
      <c r="AX40" s="397" t="s">
        <v>119</v>
      </c>
    </row>
    <row r="41" spans="1:50" s="362" customFormat="1" ht="15" hidden="1" customHeight="1">
      <c r="C41" s="344" t="s">
        <v>214</v>
      </c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W41" s="398" t="s">
        <v>100</v>
      </c>
      <c r="X41" s="399" t="s">
        <v>101</v>
      </c>
      <c r="Y41" s="395"/>
      <c r="Z41" s="370"/>
      <c r="AA41" s="400">
        <f xml:space="preserve"> IF(IFERROR(SEARCH(Z41, $F$48), 0) = 0, 0, AB41)</f>
        <v>0</v>
      </c>
      <c r="AB41" s="401">
        <v>0</v>
      </c>
      <c r="AC41" s="401">
        <v>1</v>
      </c>
      <c r="AD41" s="401"/>
      <c r="AE41" s="401"/>
      <c r="AF41" s="401"/>
      <c r="AH41" s="370"/>
      <c r="AI41" s="400">
        <f xml:space="preserve"> IF(IFERROR(SEARCH(AH41, $AE$51), 0) = 0, 0, AJ41)</f>
        <v>0</v>
      </c>
      <c r="AJ41" s="401">
        <v>0</v>
      </c>
      <c r="AL41" s="370"/>
      <c r="AM41" s="400">
        <f xml:space="preserve"> IF(IFERROR(SEARCH(AL41,$F$51), 0) = 0, 0, AN41)</f>
        <v>0</v>
      </c>
      <c r="AN41" s="401">
        <v>0</v>
      </c>
      <c r="AO41" s="401">
        <v>1</v>
      </c>
      <c r="AQ41" s="370"/>
      <c r="AR41" s="401">
        <f xml:space="preserve"> IF(IFERROR( SEARCH(AQ41,#REF!), 0) = 0, 0, AS41)</f>
        <v>0</v>
      </c>
      <c r="AS41" s="401">
        <v>0</v>
      </c>
      <c r="AU41" s="370" t="s">
        <v>133</v>
      </c>
      <c r="AV41" s="402">
        <f xml:space="preserve"> IF(IFERROR(SEARCH(AU41, $L$55), 0) = 0, 0, AW41)</f>
        <v>0</v>
      </c>
      <c r="AW41" s="401">
        <f xml:space="preserve"> AV40</f>
        <v>0</v>
      </c>
      <c r="AX41" s="401" t="s">
        <v>112</v>
      </c>
    </row>
    <row r="42" spans="1:50" s="362" customFormat="1" ht="15" customHeight="1"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W42" s="41" t="s">
        <v>91</v>
      </c>
      <c r="X42" s="42" t="s">
        <v>92</v>
      </c>
      <c r="Y42" s="395"/>
      <c r="Z42" s="404" t="s">
        <v>129</v>
      </c>
      <c r="AA42" s="400">
        <f xml:space="preserve"> IF(IFERROR(SEARCH(Z42, $F$48), 0) = 0, 0, AB42)</f>
        <v>0</v>
      </c>
      <c r="AB42" s="400">
        <f xml:space="preserve"> G48</f>
        <v>0</v>
      </c>
      <c r="AC42" s="400"/>
      <c r="AD42" s="400" t="s">
        <v>144</v>
      </c>
      <c r="AE42" s="400"/>
      <c r="AF42" s="400"/>
      <c r="AH42" s="404" t="s">
        <v>137</v>
      </c>
      <c r="AI42" s="400">
        <f xml:space="preserve"> IF(IFERROR(SEARCH(AH42, $AE$51), 0) = 0, 0, AJ42)</f>
        <v>0</v>
      </c>
      <c r="AJ42" s="400">
        <f xml:space="preserve"> G49</f>
        <v>0</v>
      </c>
      <c r="AL42" s="370" t="s">
        <v>139</v>
      </c>
      <c r="AM42" s="400">
        <f xml:space="preserve"> IF(IFERROR(SEARCH(AL42,$F$51), 0) = 0, 0, AN42)</f>
        <v>0</v>
      </c>
      <c r="AN42" s="401">
        <f xml:space="preserve"> G51 * 1000</f>
        <v>0</v>
      </c>
      <c r="AO42" s="401"/>
      <c r="AQ42" s="404" t="s">
        <v>139</v>
      </c>
      <c r="AR42" s="401">
        <f xml:space="preserve"> IF(IFERROR( SEARCH(AQ42,#REF!), 0) = 0, 0, AS42)</f>
        <v>0</v>
      </c>
      <c r="AS42" s="401">
        <f xml:space="preserve"> AR40 / 1000</f>
        <v>0</v>
      </c>
      <c r="AU42" s="370" t="s">
        <v>134</v>
      </c>
      <c r="AV42" s="402">
        <f xml:space="preserve"> IF(IFERROR(SEARCH(AU42, $L$55), 0) = 0, 0, AW42)</f>
        <v>0</v>
      </c>
      <c r="AW42" s="401">
        <f xml:space="preserve"> AV40 * 7</f>
        <v>0</v>
      </c>
      <c r="AX42" s="401" t="s">
        <v>113</v>
      </c>
    </row>
    <row r="43" spans="1:50" s="362" customFormat="1" ht="15" customHeight="1">
      <c r="T43" s="405" t="s">
        <v>74</v>
      </c>
      <c r="U43" s="405">
        <f xml:space="preserve"> IF(ISERR(G50), 0, IF(AND(ISNUMBER(G50), G50 &gt; 0), G50, 0))</f>
        <v>0</v>
      </c>
      <c r="W43" s="398" t="s">
        <v>93</v>
      </c>
      <c r="X43" s="399">
        <v>0.45359237000000002</v>
      </c>
      <c r="Y43" s="395"/>
      <c r="Z43" s="404" t="s">
        <v>130</v>
      </c>
      <c r="AA43" s="400">
        <f xml:space="preserve"> IF(IFERROR(SEARCH(Z43, $F$48), 0) = 0, 0, AB43)</f>
        <v>0</v>
      </c>
      <c r="AB43" s="401">
        <f xml:space="preserve"> G48 * 1000</f>
        <v>0</v>
      </c>
      <c r="AC43" s="401"/>
      <c r="AD43" s="401"/>
      <c r="AE43" s="401"/>
      <c r="AF43" s="401"/>
      <c r="AH43" s="404" t="s">
        <v>155</v>
      </c>
      <c r="AI43" s="400">
        <f xml:space="preserve"> IF(IFERROR(SEARCH(AH43, $AE$51), 0) = 0, 0, AJ43)</f>
        <v>0</v>
      </c>
      <c r="AJ43" s="400">
        <f xml:space="preserve"> G49 * X43 / X48</f>
        <v>0</v>
      </c>
      <c r="AL43" s="404" t="s">
        <v>140</v>
      </c>
      <c r="AM43" s="400">
        <f xml:space="preserve"> IF(IFERROR(SEARCH(AL43,$F$51), 0) = 0, 0, AN43)</f>
        <v>0</v>
      </c>
      <c r="AN43" s="400">
        <f xml:space="preserve"> G51</f>
        <v>0</v>
      </c>
      <c r="AO43" s="400"/>
      <c r="AQ43" s="404" t="s">
        <v>142</v>
      </c>
      <c r="AR43" s="401">
        <f xml:space="preserve"> IF(IFERROR( SEARCH(AQ43,#REF!), 0) = 0, 0, AS43)</f>
        <v>0</v>
      </c>
      <c r="AS43" s="401">
        <f xml:space="preserve"> AR40 / 1000 * X43</f>
        <v>0</v>
      </c>
      <c r="AU43" s="370" t="s">
        <v>135</v>
      </c>
      <c r="AV43" s="402">
        <f xml:space="preserve"> IF(IFERROR(SEARCH(AU43, $L$55), 0) = 0, 0, AW43)</f>
        <v>0</v>
      </c>
      <c r="AW43" s="401">
        <f xml:space="preserve"> AV40 * 30</f>
        <v>0</v>
      </c>
      <c r="AX43" s="401" t="s">
        <v>114</v>
      </c>
    </row>
    <row r="44" spans="1:50" s="362" customFormat="1" ht="15" customHeight="1">
      <c r="A44" s="343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Your_De-Sulph and SBGx for your biogas reactor, based on their respective RIICs</v>
      </c>
      <c r="H44" s="392"/>
      <c r="L44" s="392"/>
      <c r="Q44" s="406"/>
      <c r="R44" s="406"/>
      <c r="T44" s="405" t="s">
        <v>75</v>
      </c>
      <c r="U44" s="405">
        <f xml:space="preserve"> IF(ISERR(G52), 0, IF(AND(ISNUMBER(G52), G52 &gt; 0), G52, 0))</f>
        <v>0</v>
      </c>
      <c r="W44" s="398" t="s">
        <v>94</v>
      </c>
      <c r="X44" s="399">
        <v>1016.0469000000001</v>
      </c>
      <c r="Y44" s="395"/>
      <c r="Z44" s="404" t="s">
        <v>131</v>
      </c>
      <c r="AA44" s="400">
        <f t="shared" ref="AA44:AA47" si="3" xml:space="preserve"> IF(IFERROR(SEARCH(Z44, $F$48), 0) = 0, 0, AB44)</f>
        <v>0</v>
      </c>
      <c r="AB44" s="400">
        <f xml:space="preserve"> G48 * 1 * AI46</f>
        <v>0</v>
      </c>
      <c r="AC44" s="400">
        <v>1</v>
      </c>
      <c r="AD44" s="400"/>
      <c r="AE44" s="400" t="str">
        <f xml:space="preserve"> AH42</f>
        <v>Kilogram per litre [kg/l]</v>
      </c>
      <c r="AF44" s="400" t="s">
        <v>192</v>
      </c>
      <c r="AH44" s="404" t="s">
        <v>138</v>
      </c>
      <c r="AI44" s="400">
        <f xml:space="preserve"> IF(IFERROR(SEARCH(AH44, $AE$51), 0) = 0, 0, AJ44)</f>
        <v>0</v>
      </c>
      <c r="AJ44" s="400">
        <f xml:space="preserve"> G49 * X43 / X49</f>
        <v>0</v>
      </c>
      <c r="AL44" s="404" t="s">
        <v>141</v>
      </c>
      <c r="AM44" s="400">
        <f t="shared" ref="AM44:AM49" si="4" xml:space="preserve"> IF(IFERROR(SEARCH(AL44,$F$51), 0) = 0, 0, AN44)</f>
        <v>0</v>
      </c>
      <c r="AN44" s="400">
        <f xml:space="preserve"> IF(AI46 = 0, 0, G51 / (1 * AI46) * 1000)</f>
        <v>0</v>
      </c>
      <c r="AO44" s="400">
        <v>1</v>
      </c>
      <c r="AQ44" s="404" t="s">
        <v>153</v>
      </c>
      <c r="AR44" s="401">
        <f xml:space="preserve"> IF(IFERROR( SEARCH(AQ44,#REF!), 0) = 0, 0, AS44)</f>
        <v>0</v>
      </c>
      <c r="AS44" s="401">
        <f xml:space="preserve"> AR40 / 1000 * X44</f>
        <v>0</v>
      </c>
      <c r="AU44" s="370" t="s">
        <v>136</v>
      </c>
      <c r="AV44" s="402">
        <f xml:space="preserve"> IF(IFERROR(SEARCH(AU44, $L$55), 0) = 0, 0, AW44)</f>
        <v>0</v>
      </c>
      <c r="AW44" s="401">
        <f xml:space="preserve"> AV40 * 365</f>
        <v>0</v>
      </c>
      <c r="AX44" s="401" t="s">
        <v>116</v>
      </c>
    </row>
    <row r="45" spans="1:50" s="362" customFormat="1" ht="15" customHeight="1">
      <c r="A45" s="343"/>
      <c r="B45" s="8"/>
      <c r="C45" s="362" t="s">
        <v>248</v>
      </c>
      <c r="H45" s="392"/>
      <c r="L45" s="392"/>
      <c r="Q45" s="406"/>
      <c r="R45" s="406"/>
      <c r="T45" s="405" t="s">
        <v>76</v>
      </c>
      <c r="U45" s="405">
        <f xml:space="preserve"> IF(ISERR(J52), 0, IF(AND(ISNUMBER(J52), J52 &gt; 0), J52, 0))</f>
        <v>1000.000001</v>
      </c>
      <c r="W45" s="398" t="s">
        <v>95</v>
      </c>
      <c r="X45" s="399">
        <v>907.18474000000003</v>
      </c>
      <c r="Y45" s="395"/>
      <c r="Z45" s="404" t="s">
        <v>132</v>
      </c>
      <c r="AA45" s="400">
        <f t="shared" si="3"/>
        <v>0</v>
      </c>
      <c r="AB45" s="400">
        <f xml:space="preserve"> G48 * X43</f>
        <v>0</v>
      </c>
      <c r="AC45" s="400"/>
      <c r="AD45" s="400" t="s">
        <v>145</v>
      </c>
      <c r="AE45" s="400"/>
      <c r="AF45" s="400"/>
      <c r="AL45" s="404" t="s">
        <v>142</v>
      </c>
      <c r="AM45" s="400">
        <f t="shared" si="4"/>
        <v>0</v>
      </c>
      <c r="AN45" s="400">
        <f xml:space="preserve"> G51 / X43 * 1000</f>
        <v>0</v>
      </c>
      <c r="AO45" s="400"/>
      <c r="AQ45" s="404" t="s">
        <v>152</v>
      </c>
      <c r="AR45" s="401">
        <f xml:space="preserve"> IF(IFERROR( SEARCH(AQ45,#REF!), 0) = 0, 0, AS45)</f>
        <v>0</v>
      </c>
      <c r="AS45" s="401">
        <f xml:space="preserve"> AR40 / 1000 * X45</f>
        <v>0</v>
      </c>
    </row>
    <row r="46" spans="1:50" s="362" customFormat="1" ht="15" customHeight="1">
      <c r="A46" s="343"/>
      <c r="B46" s="8"/>
      <c r="C46" s="528" t="s">
        <v>312</v>
      </c>
      <c r="D46" s="21"/>
      <c r="E46" s="275" t="s">
        <v>208</v>
      </c>
      <c r="F46" s="407"/>
      <c r="G46" s="408" t="str">
        <f xml:space="preserve"> IF(ISBLANK(F46), " ← Tip: For more information hover the cursor/arrow over the cell without clicking on or having selected it.", "")</f>
        <v xml:space="preserve"> ← Tip: For more information hover the cursor/arrow over the cell without clicking on or having selected it.</v>
      </c>
      <c r="L46" s="392"/>
      <c r="P46" s="409"/>
      <c r="Q46" s="406"/>
      <c r="R46" s="406"/>
      <c r="T46" s="405" t="s">
        <v>77</v>
      </c>
      <c r="U46" s="405">
        <f xml:space="preserve"> IF(ISERR(#REF!), 0, IF(AND(ISNUMBER(#REF!),#REF! &gt; 0),#REF!, 0))</f>
        <v>0</v>
      </c>
      <c r="W46" s="398" t="s">
        <v>190</v>
      </c>
      <c r="X46" s="399" t="s">
        <v>190</v>
      </c>
      <c r="Y46" s="395"/>
      <c r="Z46" s="404" t="s">
        <v>156</v>
      </c>
      <c r="AA46" s="400">
        <f t="shared" si="3"/>
        <v>0</v>
      </c>
      <c r="AB46" s="400">
        <f xml:space="preserve"> G48 * X44</f>
        <v>0</v>
      </c>
      <c r="AC46" s="400"/>
      <c r="AD46" s="400"/>
      <c r="AE46" s="400"/>
      <c r="AF46" s="400"/>
      <c r="AH46" s="347" t="s">
        <v>104</v>
      </c>
      <c r="AI46" s="397">
        <f xml:space="preserve"> SUM(AI41:AI44)</f>
        <v>0</v>
      </c>
      <c r="AL46" s="404" t="s">
        <v>153</v>
      </c>
      <c r="AM46" s="400">
        <f t="shared" si="4"/>
        <v>0</v>
      </c>
      <c r="AN46" s="400">
        <f xml:space="preserve"> G51 / X44 * 1000</f>
        <v>0</v>
      </c>
      <c r="AO46" s="400"/>
      <c r="AU46" s="347" t="s">
        <v>115</v>
      </c>
      <c r="AV46" s="397">
        <f xml:space="preserve"> SUM(AV41:AV44)</f>
        <v>0</v>
      </c>
      <c r="AW46" s="397" t="str">
        <f xml:space="preserve"> VLOOKUP(AV46, AV41:AX44, 3, FALSE)</f>
        <v>daily</v>
      </c>
      <c r="AX46" s="410"/>
    </row>
    <row r="47" spans="1:50" s="362" customFormat="1" ht="15" customHeight="1">
      <c r="A47" s="343"/>
      <c r="G47" s="23" t="str">
        <f xml:space="preserve"> G18</f>
        <v>Your_De-Sulph</v>
      </c>
      <c r="H47" s="23"/>
      <c r="J47" s="25" t="str">
        <f xml:space="preserve"> U13</f>
        <v>SBGx by SwissBiogas.com</v>
      </c>
      <c r="K47" s="25"/>
      <c r="L47" s="363"/>
      <c r="Q47" s="406"/>
      <c r="R47" s="406"/>
      <c r="W47" s="41" t="s">
        <v>96</v>
      </c>
      <c r="X47" s="42" t="s">
        <v>97</v>
      </c>
      <c r="Y47" s="395"/>
      <c r="Z47" s="404" t="s">
        <v>151</v>
      </c>
      <c r="AA47" s="400">
        <f t="shared" si="3"/>
        <v>0</v>
      </c>
      <c r="AB47" s="400">
        <f xml:space="preserve"> G48 * X45</f>
        <v>0</v>
      </c>
      <c r="AC47" s="400"/>
      <c r="AD47" s="400"/>
      <c r="AE47" s="400"/>
      <c r="AF47" s="400"/>
      <c r="AL47" s="404" t="s">
        <v>152</v>
      </c>
      <c r="AM47" s="400">
        <f t="shared" si="4"/>
        <v>0</v>
      </c>
      <c r="AN47" s="400">
        <f xml:space="preserve"> G51 / X45 * 1000</f>
        <v>0</v>
      </c>
      <c r="AO47" s="400"/>
      <c r="AQ47" s="347" t="e">
        <f xml:space="preserve"> "Price per " &amp;#REF!</f>
        <v>#REF!</v>
      </c>
      <c r="AR47" s="397">
        <f xml:space="preserve"> SUM(AR41:AR45)</f>
        <v>0</v>
      </c>
      <c r="AS47" s="397">
        <f xml:space="preserve"> IF(AR40 &gt; 0, AR47 / AR40 * AS40, 0)</f>
        <v>0</v>
      </c>
    </row>
    <row r="48" spans="1:50" s="362" customFormat="1" ht="15" customHeight="1">
      <c r="A48" s="343"/>
      <c r="C48" s="411" t="s">
        <v>195</v>
      </c>
      <c r="D48" s="411"/>
      <c r="E48" s="60" t="s">
        <v>209</v>
      </c>
      <c r="F48" s="61"/>
      <c r="G48" s="412"/>
      <c r="H48" s="27"/>
      <c r="J48" s="25"/>
      <c r="K48" s="25"/>
      <c r="L48" s="363"/>
      <c r="Q48" s="406"/>
      <c r="R48" s="406"/>
      <c r="W48" s="398" t="s">
        <v>98</v>
      </c>
      <c r="X48" s="399">
        <v>4.5460900000000004</v>
      </c>
      <c r="Y48" s="395"/>
      <c r="Z48" s="404" t="s">
        <v>157</v>
      </c>
      <c r="AA48" s="400">
        <f xml:space="preserve"> IF(IFERROR(SEARCH(Z48, $F$48), 0) = 0, 0, AB48)</f>
        <v>0</v>
      </c>
      <c r="AB48" s="400">
        <f xml:space="preserve"> G48 * X48 * AI46</f>
        <v>0</v>
      </c>
      <c r="AC48" s="400">
        <v>1</v>
      </c>
      <c r="AD48" s="400"/>
      <c r="AE48" s="400" t="str">
        <f xml:space="preserve"> AH43</f>
        <v>Pound per Imperial gallon [lb/gal]</v>
      </c>
      <c r="AF48" s="400" t="s">
        <v>193</v>
      </c>
      <c r="AG48" s="395"/>
      <c r="AH48" s="395"/>
      <c r="AL48" s="404" t="s">
        <v>154</v>
      </c>
      <c r="AM48" s="400">
        <f t="shared" si="4"/>
        <v>0</v>
      </c>
      <c r="AN48" s="400">
        <f xml:space="preserve"> IF(AI46 = 0, 0, G51 / (X48 * AI46) * 1000)</f>
        <v>0</v>
      </c>
      <c r="AO48" s="400">
        <v>1</v>
      </c>
    </row>
    <row r="49" spans="1:50" s="362" customFormat="1" ht="15" customHeight="1">
      <c r="A49" s="343"/>
      <c r="C49" s="411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342"/>
      <c r="E49" s="271"/>
      <c r="F49" s="370"/>
      <c r="G49" s="412"/>
      <c r="H49" s="27"/>
      <c r="J49" s="25"/>
      <c r="K49" s="25"/>
      <c r="L49" s="363"/>
      <c r="Q49" s="406"/>
      <c r="R49" s="406"/>
      <c r="W49" s="413" t="s">
        <v>164</v>
      </c>
      <c r="X49" s="414">
        <v>3.7854117839999999</v>
      </c>
      <c r="Y49" s="415"/>
      <c r="Z49" s="404" t="s">
        <v>165</v>
      </c>
      <c r="AA49" s="400">
        <f xml:space="preserve"> IF(IFERROR(SEARCH(Z49, $F$48), 0) = 0, 0, AB49)</f>
        <v>0</v>
      </c>
      <c r="AB49" s="416">
        <f xml:space="preserve"> G48 * X49 * AI46</f>
        <v>0</v>
      </c>
      <c r="AC49" s="416">
        <v>1</v>
      </c>
      <c r="AD49" s="416"/>
      <c r="AE49" s="416" t="str">
        <f xml:space="preserve"> AH44</f>
        <v>Pound per US gallon [lb/gal]</v>
      </c>
      <c r="AF49" s="416" t="s">
        <v>193</v>
      </c>
      <c r="AL49" s="404" t="s">
        <v>166</v>
      </c>
      <c r="AM49" s="400">
        <f t="shared" si="4"/>
        <v>0</v>
      </c>
      <c r="AN49" s="416">
        <f xml:space="preserve"> IF(AI46 = 0, 0, G51 / (X49 * AI46) * 1000)</f>
        <v>0</v>
      </c>
      <c r="AO49" s="416">
        <v>1</v>
      </c>
    </row>
    <row r="50" spans="1:50" s="362" customFormat="1" ht="15" customHeight="1">
      <c r="A50" s="343"/>
      <c r="C50" s="57" t="s">
        <v>244</v>
      </c>
      <c r="D50" s="57" t="s">
        <v>334</v>
      </c>
      <c r="E50" s="417"/>
      <c r="F50" s="418"/>
      <c r="G50" s="296">
        <f xml:space="preserve"> AA51</f>
        <v>0</v>
      </c>
      <c r="H50" s="531" t="s">
        <v>202</v>
      </c>
      <c r="J50" s="284">
        <f xml:space="preserve"> IF(ISERR(U43), 0, U43 / L31 * H31)</f>
        <v>0</v>
      </c>
      <c r="K50" s="69"/>
      <c r="L50" s="68" t="str">
        <f xml:space="preserve"> IF(AND(U43 &gt; 0, J50 &gt; 0, U43 &gt; J50), "Factor " &amp; TEXT(U43 / J50, "0.0") &amp; " x", "")</f>
        <v/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/>
      </c>
      <c r="Q50" s="406"/>
      <c r="R50" s="406"/>
      <c r="W50" s="395"/>
      <c r="X50" s="419"/>
      <c r="Y50" s="395"/>
      <c r="Z50" s="395"/>
      <c r="AA50" s="395"/>
      <c r="AB50" s="420" t="s">
        <v>117</v>
      </c>
      <c r="AC50" s="395" t="s">
        <v>143</v>
      </c>
      <c r="AD50" s="395"/>
      <c r="AE50" s="395"/>
      <c r="AF50" s="395"/>
      <c r="AN50" s="409" t="s">
        <v>117</v>
      </c>
    </row>
    <row r="51" spans="1:50" s="362" customFormat="1" ht="15" customHeight="1">
      <c r="A51" s="343"/>
      <c r="C51" s="342" t="s">
        <v>297</v>
      </c>
      <c r="D51" s="342"/>
      <c r="E51" s="60" t="s">
        <v>209</v>
      </c>
      <c r="F51" s="407"/>
      <c r="G51" s="421"/>
      <c r="H51" s="27"/>
      <c r="J51" s="422"/>
      <c r="K51" s="423"/>
      <c r="L51" s="363"/>
      <c r="P51" s="409"/>
      <c r="Q51" s="406"/>
      <c r="R51" s="406"/>
      <c r="Z51" s="424" t="s">
        <v>105</v>
      </c>
      <c r="AA51" s="425">
        <f xml:space="preserve"> SUM(AA41:AA49)</f>
        <v>0</v>
      </c>
      <c r="AB51" s="397">
        <f xml:space="preserve"> IF(ISBLANK(F48), 1, VLOOKUP(F48,Z42:AC49,4,FALSE))</f>
        <v>1</v>
      </c>
      <c r="AC51" s="397">
        <f xml:space="preserve"> IF(ISBLANK(F48), 1, VLOOKUP(F48, Z42:AD49, 5, FALSE))</f>
        <v>1</v>
      </c>
      <c r="AE51" s="397" t="b">
        <f xml:space="preserve"> IF(ISERROR(VLOOKUP(F48, Z42:AE49, 6, FALSE)), FALSE, VLOOKUP(F48, Z42:AE49, 6, FALSE))</f>
        <v>0</v>
      </c>
      <c r="AF51" s="397" t="e">
        <f xml:space="preserve"> VLOOKUP(F48, Z42:AF49, 7, FALSE)</f>
        <v>#N/A</v>
      </c>
      <c r="AL51" s="347" t="s">
        <v>110</v>
      </c>
      <c r="AM51" s="397">
        <f xml:space="preserve"> SUM(AM41:AM49)</f>
        <v>0</v>
      </c>
      <c r="AN51" s="397">
        <f xml:space="preserve"> IF(ISBLANK(F51), 1, VLOOKUP(F51, AL42:AO49,4,FALSE))</f>
        <v>1</v>
      </c>
    </row>
    <row r="52" spans="1:50" s="362" customFormat="1" ht="15" customHeight="1">
      <c r="A52" s="343"/>
      <c r="C52" s="342" t="str">
        <f xml:space="preserve"> "Price comparison btw. your additive and " &amp; U12 &amp; " per metric ton [/t]"</f>
        <v>Price comparison btw. your additive and SBGx per metric ton [/t]</v>
      </c>
      <c r="D52" s="342"/>
      <c r="E52" s="342"/>
      <c r="F52" s="342"/>
      <c r="G52" s="335">
        <f xml:space="preserve"> AM51</f>
        <v>0</v>
      </c>
      <c r="H52" s="27"/>
      <c r="J52" s="412">
        <v>1000.000001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 xml:space="preserve"> ← Example - Please contact us for a binding additive price per metric ton in your currency.</v>
      </c>
      <c r="N52" s="426"/>
      <c r="Q52" s="406"/>
      <c r="R52" s="406"/>
      <c r="Y52" s="395"/>
      <c r="Z52" s="406"/>
      <c r="AA52" s="406"/>
    </row>
    <row r="53" spans="1:50" s="362" customFormat="1" ht="15" customHeight="1">
      <c r="A53" s="343"/>
      <c r="C53" s="17" t="s">
        <v>245</v>
      </c>
      <c r="D53" s="17" t="s">
        <v>333</v>
      </c>
      <c r="E53" s="17"/>
      <c r="F53" s="17"/>
      <c r="G53" s="77">
        <f xml:space="preserve"> IF(ISERR(U43), 0, IF(ISERR(U44), 0, IF(AND(U43 &gt; 0, U44 &gt; 0), U43 * U44 / 1000, 0)))</f>
        <v>0</v>
      </c>
      <c r="H53" s="531" t="s">
        <v>202</v>
      </c>
      <c r="J53" s="59">
        <f xml:space="preserve"> IF(ISERR(J50), 0, IF(ISERR(U45), 0, IF(AND(J50 &gt; 0, U45 &gt; 0), J50 * U45 / 1000, 0)))</f>
        <v>0</v>
      </c>
      <c r="K53" s="70"/>
      <c r="L53" s="68" t="str">
        <f xml:space="preserve"> IF(AND(G53 &gt; 0, J53 &gt; 0, G53 &gt; J53), "Factor " &amp; TEXT(G53 / J53, "0.0") &amp; " x", "")</f>
        <v/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/>
      </c>
      <c r="O53" s="8"/>
      <c r="Y53" s="395"/>
      <c r="Z53" s="395"/>
      <c r="AA53" s="395"/>
    </row>
    <row r="54" spans="1:50" s="362" customFormat="1" ht="15" customHeight="1">
      <c r="C54" s="49"/>
      <c r="G54" s="390"/>
      <c r="H54" s="390"/>
      <c r="J54" s="427"/>
      <c r="K54" s="427"/>
      <c r="L54" s="427" t="s">
        <v>120</v>
      </c>
      <c r="V54" s="419"/>
      <c r="Y54" s="395"/>
      <c r="Z54" s="395" t="s">
        <v>148</v>
      </c>
      <c r="AA54" s="395"/>
      <c r="AH54" s="362" t="s">
        <v>148</v>
      </c>
      <c r="AL54" s="362" t="s">
        <v>148</v>
      </c>
      <c r="AQ54" s="362" t="s">
        <v>148</v>
      </c>
    </row>
    <row r="55" spans="1:50" s="362" customFormat="1" ht="15" customHeight="1">
      <c r="A55" s="343"/>
      <c r="B55" s="8"/>
      <c r="C55" s="57" t="s">
        <v>215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Please enter the needed values to complete the calculation.</v>
      </c>
      <c r="E55" s="57"/>
      <c r="F55" s="57"/>
      <c r="G55" s="57"/>
      <c r="H55" s="57"/>
      <c r="I55" s="57"/>
      <c r="J55" s="57"/>
      <c r="K55" s="57"/>
      <c r="L55" s="428" t="s">
        <v>136</v>
      </c>
      <c r="N55" s="344"/>
      <c r="O55" s="344"/>
      <c r="Q55" s="344"/>
      <c r="R55" s="344"/>
      <c r="T55" s="362" t="s">
        <v>158</v>
      </c>
      <c r="V55" s="419"/>
      <c r="W55" s="344"/>
      <c r="X55" s="344"/>
      <c r="Y55" s="395"/>
      <c r="Z55" s="429" t="str">
        <f xml:space="preserve"> Z42</f>
        <v>Kilogram [kg/day]</v>
      </c>
      <c r="AA55" s="395"/>
      <c r="AB55" s="395"/>
      <c r="AC55" s="395"/>
      <c r="AD55" s="395"/>
      <c r="AE55" s="395"/>
      <c r="AF55" s="395"/>
      <c r="AG55" s="395"/>
      <c r="AH55" s="429" t="str">
        <f xml:space="preserve"> AH42</f>
        <v>Kilogram per litre [kg/l]</v>
      </c>
      <c r="AI55" s="344"/>
      <c r="AJ55" s="344"/>
      <c r="AK55" s="344"/>
      <c r="AL55" s="429" t="str">
        <f xml:space="preserve"> AL42</f>
        <v>Kilogram [/kg]</v>
      </c>
      <c r="AM55" s="344"/>
      <c r="AN55" s="344"/>
      <c r="AO55" s="344"/>
      <c r="AP55" s="344"/>
      <c r="AQ55" s="429" t="str">
        <f xml:space="preserve"> AQ42</f>
        <v>Kilogram [/kg]</v>
      </c>
      <c r="AR55" s="344"/>
      <c r="AT55" s="344"/>
      <c r="AU55" s="344"/>
      <c r="AV55" s="344"/>
      <c r="AW55" s="344"/>
      <c r="AX55" s="344"/>
    </row>
    <row r="56" spans="1:50" s="362" customFormat="1" ht="15" customHeight="1">
      <c r="A56" s="343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430"/>
      <c r="M56" s="403"/>
      <c r="N56" s="403"/>
      <c r="O56" s="354"/>
      <c r="P56" s="403"/>
      <c r="Q56" s="403"/>
      <c r="R56" s="403"/>
      <c r="S56" s="403"/>
      <c r="T56" s="395" t="s">
        <v>147</v>
      </c>
      <c r="V56" s="419"/>
      <c r="W56" s="344"/>
      <c r="X56" s="344"/>
      <c r="Y56" s="395"/>
      <c r="Z56" s="429" t="str">
        <f xml:space="preserve"> Z43</f>
        <v>Metric ton (Tonne) [t/day]</v>
      </c>
      <c r="AA56" s="395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  <c r="AL56" s="429" t="str">
        <f xml:space="preserve"> AL43</f>
        <v>Metric ton (Tonne) [/t]</v>
      </c>
      <c r="AM56" s="344"/>
      <c r="AN56" s="344"/>
      <c r="AO56" s="344"/>
      <c r="AP56" s="344"/>
      <c r="AQ56" s="344"/>
      <c r="AR56" s="344"/>
      <c r="AT56" s="344"/>
      <c r="AU56" s="344"/>
      <c r="AV56" s="344"/>
      <c r="AW56" s="344"/>
      <c r="AX56" s="344"/>
    </row>
    <row r="57" spans="1:50" s="362" customFormat="1" ht="15" customHeight="1">
      <c r="A57" s="343"/>
      <c r="B57" s="431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431"/>
      <c r="T57" s="432" t="s">
        <v>252</v>
      </c>
      <c r="U57" s="433">
        <v>1</v>
      </c>
      <c r="V57" s="433">
        <f xml:space="preserve"> IF(IFERROR(SEARCH(T57, $F$46), 0) = 0, 0, U57)</f>
        <v>0</v>
      </c>
      <c r="W57" s="344"/>
      <c r="X57" s="344"/>
      <c r="Y57" s="395"/>
      <c r="Z57" s="429" t="str">
        <f xml:space="preserve"> Z44</f>
        <v>Litre [l/day]</v>
      </c>
      <c r="AA57" s="395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429" t="str">
        <f xml:space="preserve"> AL44</f>
        <v>Litre [/l]</v>
      </c>
      <c r="AM57" s="344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</row>
    <row r="58" spans="1:50" ht="15" customHeight="1">
      <c r="A58" s="368"/>
      <c r="B58" s="74" t="s">
        <v>56</v>
      </c>
      <c r="C58" s="74" t="s">
        <v>246</v>
      </c>
      <c r="D58" s="356"/>
      <c r="E58" s="356"/>
      <c r="F58" s="356"/>
      <c r="G58" s="356"/>
      <c r="H58" s="356"/>
      <c r="I58" s="356"/>
      <c r="J58" s="434" t="s">
        <v>247</v>
      </c>
      <c r="K58" s="356"/>
      <c r="L58" s="356"/>
      <c r="M58" s="356"/>
      <c r="N58" s="356"/>
      <c r="O58" s="356"/>
      <c r="P58" s="356"/>
      <c r="Q58" s="356"/>
      <c r="R58" s="356"/>
      <c r="S58" s="356"/>
      <c r="T58" s="435" t="s">
        <v>159</v>
      </c>
      <c r="U58" s="436">
        <v>2</v>
      </c>
      <c r="V58" s="433">
        <f xml:space="preserve"> IF(IFERROR(SEARCH(T58, $F$46), 0) = 0, 0, U58)</f>
        <v>0</v>
      </c>
      <c r="Y58" s="395"/>
      <c r="Z58" s="395" t="s">
        <v>149</v>
      </c>
      <c r="AA58" s="395"/>
      <c r="AH58" s="344" t="s">
        <v>149</v>
      </c>
      <c r="AL58" s="344" t="s">
        <v>149</v>
      </c>
      <c r="AQ58" s="344" t="s">
        <v>149</v>
      </c>
    </row>
    <row r="59" spans="1:50" ht="15" customHeight="1">
      <c r="A59" s="368"/>
      <c r="C59" s="411" t="str">
        <f xml:space="preserve"> "Volume of daily produced biogas in " &amp; IF(ISBLANK(H59), "[m³/day]", "")</f>
        <v xml:space="preserve">Volume of daily produced biogas in </v>
      </c>
      <c r="D59" s="411"/>
      <c r="E59" s="411"/>
      <c r="F59" s="411"/>
      <c r="G59" s="411"/>
      <c r="H59" s="705" t="s">
        <v>272</v>
      </c>
      <c r="I59" s="706"/>
      <c r="J59" s="437">
        <v>41250.000001</v>
      </c>
      <c r="K59" s="438"/>
      <c r="L59" s="248" t="str">
        <f xml:space="preserve"> IF(MOD(ROUND(SUM(J59,J60,J67) * 1000000, 0), 10) = 3, " ← Complete example data set", "")</f>
        <v xml:space="preserve"> ← Complete example data set</v>
      </c>
      <c r="N59" s="362"/>
      <c r="O59" s="258"/>
      <c r="P59" s="258"/>
      <c r="T59" s="439" t="s">
        <v>146</v>
      </c>
      <c r="U59" s="436">
        <v>3</v>
      </c>
      <c r="V59" s="433">
        <f xml:space="preserve"> IF(IFERROR(SEARCH(T59, $F$46), 0) = 0, 0, U59)</f>
        <v>0</v>
      </c>
      <c r="Y59" s="395"/>
      <c r="Z59" s="429" t="str">
        <f xml:space="preserve"> Z45</f>
        <v>Pound [lb/day]</v>
      </c>
      <c r="AA59" s="395"/>
      <c r="AH59" s="440" t="str">
        <f xml:space="preserve"> AH43</f>
        <v>Pound per Imperial gallon [lb/gal]</v>
      </c>
      <c r="AL59" s="440" t="str">
        <f xml:space="preserve"> AL45</f>
        <v>Pound [/lb]</v>
      </c>
      <c r="AQ59" s="440" t="str">
        <f xml:space="preserve"> AQ43</f>
        <v>Pound [/lb]</v>
      </c>
    </row>
    <row r="60" spans="1:50" ht="15" customHeight="1">
      <c r="A60" s="368"/>
      <c r="C60" s="342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342"/>
      <c r="E60" s="342"/>
      <c r="F60" s="342"/>
      <c r="G60" s="342"/>
      <c r="H60" s="705" t="s">
        <v>189</v>
      </c>
      <c r="I60" s="706"/>
      <c r="J60" s="441">
        <v>1750.0000010000001</v>
      </c>
      <c r="K60" s="438"/>
      <c r="L60" s="83" t="str">
        <f xml:space="preserve"> IF(L59 &lt;&gt; "", " ←", "")</f>
        <v xml:space="preserve"> ←</v>
      </c>
      <c r="N60" s="362"/>
      <c r="O60" s="442"/>
      <c r="P60" s="442"/>
      <c r="T60" s="406"/>
      <c r="V60" s="419"/>
      <c r="Y60" s="395"/>
      <c r="Z60" s="429" t="str">
        <f xml:space="preserve"> Z46</f>
        <v>Imperial ton [t/day]</v>
      </c>
      <c r="AA60" s="395"/>
      <c r="AL60" s="440" t="str">
        <f xml:space="preserve"> AL46</f>
        <v>Imperial ton [/t]</v>
      </c>
      <c r="AQ60" s="440" t="str">
        <f xml:space="preserve"> AQ44</f>
        <v>Imperial ton [/t]</v>
      </c>
    </row>
    <row r="61" spans="1:50" ht="15" hidden="1" customHeight="1">
      <c r="A61" s="368"/>
      <c r="C61" s="17" t="s">
        <v>205</v>
      </c>
      <c r="D61" s="17"/>
      <c r="E61" s="17"/>
      <c r="F61" s="17"/>
      <c r="G61" s="17"/>
      <c r="H61" s="17"/>
      <c r="I61" s="244"/>
      <c r="J61" s="250">
        <f xml:space="preserve"> H98</f>
        <v>100619.63196177667</v>
      </c>
      <c r="K61" s="251"/>
      <c r="L61" s="286"/>
      <c r="N61" s="362"/>
      <c r="O61" s="442"/>
      <c r="P61" s="263"/>
      <c r="Q61" s="199"/>
      <c r="T61" s="362"/>
      <c r="V61" s="347">
        <f xml:space="preserve"> SUM(V57:V59)</f>
        <v>0</v>
      </c>
      <c r="Z61" s="440" t="str">
        <f xml:space="preserve"> Z48</f>
        <v>Imperial gallon [gal/day]</v>
      </c>
      <c r="AL61" s="440" t="str">
        <f xml:space="preserve"> AL48</f>
        <v>Imperial gallon [/gal]</v>
      </c>
    </row>
    <row r="62" spans="1:50" ht="15" customHeight="1">
      <c r="A62" s="368"/>
      <c r="C62" s="411" t="s">
        <v>298</v>
      </c>
      <c r="D62" s="411"/>
      <c r="E62" s="411"/>
      <c r="F62" s="411"/>
      <c r="G62" s="411"/>
      <c r="H62" s="699" t="s">
        <v>213</v>
      </c>
      <c r="I62" s="700"/>
      <c r="J62" s="441"/>
      <c r="K62" s="443"/>
      <c r="L62" s="82"/>
      <c r="N62" s="444"/>
      <c r="O62" s="444"/>
      <c r="P62" s="362"/>
      <c r="Q62" s="199"/>
      <c r="X62" s="419"/>
      <c r="Z62" s="344" t="s">
        <v>150</v>
      </c>
      <c r="AH62" s="344" t="s">
        <v>150</v>
      </c>
      <c r="AL62" s="344" t="s">
        <v>150</v>
      </c>
      <c r="AQ62" s="344" t="s">
        <v>150</v>
      </c>
    </row>
    <row r="63" spans="1:50" ht="15" customHeight="1">
      <c r="A63" s="368"/>
      <c r="C63" s="342" t="s">
        <v>206</v>
      </c>
      <c r="D63" s="342"/>
      <c r="E63" s="342"/>
      <c r="F63" s="342"/>
      <c r="G63" s="342"/>
      <c r="H63" s="701"/>
      <c r="I63" s="702"/>
      <c r="J63" s="445"/>
      <c r="K63" s="446"/>
      <c r="L63" s="18"/>
      <c r="X63" s="419"/>
      <c r="Z63" s="440" t="str">
        <f xml:space="preserve"> Z45</f>
        <v>Pound [lb/day]</v>
      </c>
      <c r="AH63" s="440" t="str">
        <f xml:space="preserve"> AH44</f>
        <v>Pound per US gallon [lb/gal]</v>
      </c>
      <c r="AL63" s="440" t="str">
        <f xml:space="preserve"> AL45</f>
        <v>Pound [/lb]</v>
      </c>
      <c r="AQ63" s="440" t="str">
        <f xml:space="preserve"> AQ43</f>
        <v>Pound [/lb]</v>
      </c>
    </row>
    <row r="64" spans="1:50" ht="15" customHeight="1">
      <c r="A64" s="368"/>
      <c r="C64" s="342" t="s">
        <v>207</v>
      </c>
      <c r="D64" s="342"/>
      <c r="E64" s="342"/>
      <c r="F64" s="342"/>
      <c r="G64" s="342"/>
      <c r="H64" s="701"/>
      <c r="I64" s="702"/>
      <c r="J64" s="447"/>
      <c r="K64" s="448"/>
      <c r="L64" s="18"/>
      <c r="O64" s="449"/>
      <c r="P64" s="450"/>
      <c r="Z64" s="440" t="str">
        <f xml:space="preserve"> Z47</f>
        <v>US short ton [t/day]</v>
      </c>
      <c r="AL64" s="440" t="str">
        <f xml:space="preserve"> AL47</f>
        <v>US short ton [/t]</v>
      </c>
      <c r="AQ64" s="440" t="str">
        <f xml:space="preserve"> AQ45</f>
        <v>US short ton [/t]</v>
      </c>
    </row>
    <row r="65" spans="1:51" ht="15" customHeight="1">
      <c r="A65" s="368"/>
      <c r="C65" s="537" t="s">
        <v>337</v>
      </c>
      <c r="D65" s="342"/>
      <c r="E65" s="342"/>
      <c r="F65" s="342"/>
      <c r="G65" s="342"/>
      <c r="H65" s="703"/>
      <c r="I65" s="704"/>
      <c r="J65" s="451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452"/>
      <c r="P65" s="450"/>
      <c r="Z65" s="440" t="str">
        <f xml:space="preserve"> Z49</f>
        <v>US gallon [gal/day]</v>
      </c>
      <c r="AL65" s="440" t="str">
        <f xml:space="preserve"> AL49</f>
        <v>US gallon [/gal]</v>
      </c>
    </row>
    <row r="66" spans="1:51" ht="15" hidden="1" customHeight="1">
      <c r="A66" s="368"/>
      <c r="C66" s="17" t="s">
        <v>203</v>
      </c>
      <c r="D66" s="17"/>
      <c r="E66" s="17"/>
      <c r="F66" s="17"/>
      <c r="G66" s="17"/>
      <c r="H66" s="453"/>
      <c r="I66" s="454"/>
      <c r="J66" s="250">
        <f xml:space="preserve"> H110</f>
        <v>0</v>
      </c>
      <c r="K66" s="455"/>
      <c r="L66" s="286"/>
      <c r="N66" s="79"/>
      <c r="O66" s="79"/>
      <c r="P66" s="79"/>
      <c r="Q66" s="199"/>
    </row>
    <row r="67" spans="1:51" ht="15" customHeight="1">
      <c r="A67" s="368"/>
      <c r="C67" s="342" t="s">
        <v>293</v>
      </c>
      <c r="D67" s="342"/>
      <c r="E67" s="342"/>
      <c r="F67" s="342"/>
      <c r="G67" s="342"/>
      <c r="H67" s="342"/>
      <c r="I67" s="370"/>
      <c r="J67" s="441">
        <v>1.7000010000000001</v>
      </c>
      <c r="K67" s="72"/>
      <c r="L67" s="344" t="str">
        <f xml:space="preserve"> IF(L59 &lt;&gt; "", " ←", IF(AND(ISNUMBER(J67), J67 &lt;= 1), " Recommendation: Use a value greater than 1 for β; See footnote A.", ""))</f>
        <v xml:space="preserve"> ←</v>
      </c>
    </row>
    <row r="68" spans="1:51" s="79" customFormat="1" ht="15" customHeight="1">
      <c r="A68" s="196"/>
      <c r="C68" s="79" t="s">
        <v>294</v>
      </c>
      <c r="D68" s="278"/>
      <c r="E68" s="278"/>
      <c r="G68" s="290"/>
      <c r="H68" s="290"/>
      <c r="I68" s="290"/>
      <c r="J68" s="304"/>
      <c r="K68" s="290"/>
      <c r="L68" s="290"/>
      <c r="O68" s="279"/>
    </row>
    <row r="69" spans="1:51" s="79" customFormat="1" ht="8.1" customHeight="1">
      <c r="A69" s="196"/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368"/>
      <c r="B70" s="344"/>
      <c r="C70" s="449"/>
      <c r="D70" s="19"/>
      <c r="E70" s="19"/>
      <c r="F70" s="449"/>
      <c r="G70" s="23" t="str">
        <f xml:space="preserve"> G18</f>
        <v>Your_De-Sulph</v>
      </c>
      <c r="H70" s="23"/>
      <c r="I70" s="344"/>
      <c r="J70" s="26" t="str">
        <f xml:space="preserve"> U13</f>
        <v>SBGx by SwissBiogas.com</v>
      </c>
      <c r="K70" s="26"/>
      <c r="L70" s="456"/>
      <c r="M70" s="344"/>
      <c r="N70" s="344"/>
      <c r="O70" s="344"/>
      <c r="P70" s="344"/>
      <c r="Q70" s="457"/>
      <c r="R70" s="457"/>
      <c r="S70" s="458"/>
    </row>
    <row r="71" spans="1:51" s="79" customFormat="1" ht="15" customHeight="1">
      <c r="A71" s="368"/>
      <c r="B71" s="344"/>
      <c r="C71" s="57" t="s">
        <v>55</v>
      </c>
      <c r="D71" s="57" t="s">
        <v>191</v>
      </c>
      <c r="E71" s="57"/>
      <c r="F71" s="417"/>
      <c r="G71" s="283">
        <f xml:space="preserve"> H117</f>
        <v>628.18242350749949</v>
      </c>
      <c r="H71" s="532" t="s">
        <v>202</v>
      </c>
      <c r="I71" s="344"/>
      <c r="J71" s="284">
        <f xml:space="preserve"> H118</f>
        <v>451.3250590545581</v>
      </c>
      <c r="K71" s="62"/>
      <c r="L71" s="456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</row>
    <row r="72" spans="1:51" s="79" customFormat="1" ht="8.1" customHeight="1">
      <c r="A72" s="196"/>
      <c r="C72" s="344"/>
      <c r="D72" s="8"/>
      <c r="E72" s="8"/>
      <c r="F72" s="362"/>
      <c r="G72" s="24"/>
      <c r="H72" s="31"/>
      <c r="I72" s="344"/>
      <c r="J72" s="76"/>
      <c r="K72" s="53"/>
      <c r="L72" s="197"/>
      <c r="M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  <c r="AM72" s="344"/>
      <c r="AN72" s="344"/>
      <c r="AO72" s="344"/>
      <c r="AP72" s="344"/>
      <c r="AQ72" s="344"/>
      <c r="AR72" s="344"/>
      <c r="AS72" s="344"/>
      <c r="AT72" s="344"/>
      <c r="AU72" s="344"/>
      <c r="AV72" s="344"/>
      <c r="AW72" s="344"/>
      <c r="AX72" s="344"/>
      <c r="AY72" s="344"/>
    </row>
    <row r="73" spans="1:51" ht="15" customHeight="1">
      <c r="B73" s="459"/>
      <c r="C73" s="388"/>
      <c r="D73" s="460"/>
      <c r="E73" s="460"/>
      <c r="F73" s="459"/>
      <c r="G73" s="459"/>
      <c r="H73" s="210"/>
      <c r="I73" s="459"/>
      <c r="J73" s="459"/>
      <c r="K73" s="459"/>
      <c r="L73" s="459"/>
      <c r="M73" s="459"/>
      <c r="O73" s="459"/>
    </row>
    <row r="74" spans="1:51" ht="15" customHeight="1">
      <c r="B74" s="459"/>
      <c r="C74" s="707" t="s">
        <v>235</v>
      </c>
      <c r="D74" s="707"/>
      <c r="E74" s="707"/>
      <c r="F74" s="707"/>
      <c r="G74" s="707"/>
      <c r="H74" s="210"/>
      <c r="I74" s="459"/>
      <c r="J74" s="459"/>
      <c r="K74" s="459"/>
      <c r="L74" s="452" t="s">
        <v>43</v>
      </c>
      <c r="M74" s="459"/>
      <c r="O74" s="459"/>
    </row>
    <row r="75" spans="1:51" ht="15" customHeight="1">
      <c r="B75" s="461"/>
      <c r="C75" s="461"/>
      <c r="D75" s="461"/>
      <c r="E75" s="461"/>
      <c r="F75" s="461"/>
      <c r="G75" s="461"/>
      <c r="H75" s="461"/>
      <c r="I75" s="461"/>
      <c r="J75" s="461"/>
      <c r="K75" s="461"/>
      <c r="L75" s="354"/>
      <c r="M75" s="461"/>
      <c r="N75" s="354"/>
      <c r="O75" s="461"/>
      <c r="P75" s="354"/>
      <c r="Q75" s="354"/>
      <c r="R75" s="354"/>
      <c r="S75" s="354"/>
    </row>
    <row r="76" spans="1:51" s="79" customFormat="1" ht="15" customHeight="1">
      <c r="A76" s="344"/>
      <c r="B76" s="344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4"/>
      <c r="AF76" s="344"/>
      <c r="AG76" s="344"/>
      <c r="AH76" s="344"/>
      <c r="AI76" s="344"/>
      <c r="AJ76" s="344"/>
      <c r="AK76" s="344"/>
      <c r="AL76" s="344"/>
      <c r="AM76" s="344"/>
      <c r="AN76" s="344"/>
      <c r="AO76" s="344"/>
      <c r="AP76" s="344"/>
      <c r="AQ76" s="344"/>
      <c r="AR76" s="344"/>
      <c r="AS76" s="344"/>
      <c r="AT76" s="344"/>
      <c r="AU76" s="344"/>
      <c r="AV76" s="344"/>
      <c r="AW76" s="344"/>
      <c r="AX76" s="344"/>
      <c r="AY76" s="344"/>
    </row>
    <row r="77" spans="1:51" ht="15" customHeight="1">
      <c r="A77" s="344"/>
    </row>
    <row r="78" spans="1:51" ht="15" customHeight="1">
      <c r="A78" s="344"/>
    </row>
    <row r="79" spans="1:51" ht="15" customHeight="1">
      <c r="A79" s="344"/>
    </row>
    <row r="80" spans="1:51" ht="15" customHeight="1">
      <c r="A80" s="344"/>
    </row>
    <row r="81" spans="1:19" ht="15" customHeight="1">
      <c r="A81" s="344"/>
    </row>
    <row r="82" spans="1:19" ht="15" customHeight="1">
      <c r="A82" s="344"/>
    </row>
    <row r="83" spans="1:19" ht="15" customHeight="1">
      <c r="B83" s="459"/>
      <c r="H83" s="209"/>
      <c r="M83" s="459"/>
      <c r="N83" s="459"/>
      <c r="O83" s="459"/>
    </row>
    <row r="84" spans="1:19" ht="15" customHeight="1"/>
    <row r="85" spans="1:19" ht="15" customHeight="1"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356"/>
      <c r="Q85" s="356"/>
      <c r="R85" s="356"/>
      <c r="S85" s="356"/>
    </row>
    <row r="86" spans="1:19" ht="15" customHeight="1">
      <c r="B86" s="459"/>
      <c r="C86" s="459"/>
      <c r="D86" s="459"/>
      <c r="E86" s="459"/>
      <c r="F86" s="459"/>
      <c r="G86" s="459"/>
      <c r="H86" s="459"/>
      <c r="I86" s="459"/>
      <c r="J86" s="459"/>
      <c r="K86" s="459"/>
      <c r="L86" s="459"/>
      <c r="M86" s="459"/>
      <c r="N86" s="459"/>
      <c r="O86" s="459"/>
    </row>
    <row r="87" spans="1:19" ht="15" hidden="1" customHeight="1">
      <c r="B87" s="459"/>
      <c r="C87" s="343"/>
      <c r="D87" s="459"/>
      <c r="E87" s="459"/>
      <c r="F87" s="459"/>
      <c r="G87" s="459"/>
      <c r="H87" s="459"/>
      <c r="I87" s="459"/>
      <c r="J87" s="459"/>
      <c r="K87" s="459"/>
      <c r="L87" s="459"/>
      <c r="M87" s="459"/>
      <c r="N87" s="459"/>
      <c r="O87" s="459"/>
    </row>
    <row r="88" spans="1:19" ht="15" hidden="1" customHeight="1">
      <c r="B88" s="459"/>
      <c r="C88" s="459" t="s">
        <v>271</v>
      </c>
      <c r="D88" s="459"/>
      <c r="E88" s="459"/>
      <c r="F88" s="459"/>
      <c r="G88" s="459"/>
      <c r="H88" s="463" t="s">
        <v>272</v>
      </c>
      <c r="I88" s="459"/>
      <c r="J88" s="459"/>
      <c r="K88" s="459"/>
      <c r="L88" s="459"/>
      <c r="M88" s="459"/>
      <c r="N88" s="459"/>
      <c r="O88" s="459"/>
    </row>
    <row r="89" spans="1:19" ht="15" hidden="1" customHeight="1">
      <c r="B89" s="459"/>
      <c r="C89" s="343"/>
      <c r="D89" s="459"/>
      <c r="E89" s="459"/>
      <c r="F89" s="459"/>
      <c r="G89" s="459"/>
      <c r="H89" s="464" t="s">
        <v>273</v>
      </c>
      <c r="I89" s="459"/>
      <c r="J89" s="459"/>
      <c r="K89" s="459"/>
      <c r="M89" s="459"/>
      <c r="N89" s="459"/>
      <c r="O89" s="459"/>
    </row>
    <row r="90" spans="1:19" ht="15" hidden="1" customHeight="1">
      <c r="B90" s="343"/>
      <c r="C90" s="462"/>
      <c r="D90" s="462"/>
      <c r="E90" s="462"/>
      <c r="F90" s="462"/>
      <c r="G90" s="462"/>
      <c r="H90" s="464" t="s">
        <v>274</v>
      </c>
      <c r="I90" s="462"/>
      <c r="J90" s="462"/>
      <c r="K90" s="462"/>
      <c r="L90" s="356"/>
      <c r="M90" s="462"/>
      <c r="N90" s="462"/>
      <c r="O90" s="462"/>
      <c r="P90" s="356"/>
      <c r="Q90" s="356"/>
      <c r="R90" s="356"/>
      <c r="S90" s="356"/>
    </row>
    <row r="91" spans="1:19" ht="15" hidden="1" customHeight="1">
      <c r="B91" s="45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</row>
    <row r="92" spans="1:19" ht="15" hidden="1" customHeight="1">
      <c r="B92" s="459"/>
      <c r="C92" s="459" t="s">
        <v>187</v>
      </c>
      <c r="D92" s="459"/>
      <c r="E92" s="459"/>
      <c r="F92" s="459"/>
      <c r="G92" s="459"/>
      <c r="H92" s="464" t="s">
        <v>189</v>
      </c>
      <c r="I92" s="459"/>
      <c r="J92" s="459"/>
      <c r="K92" s="459"/>
      <c r="L92" s="459"/>
      <c r="M92" s="459"/>
      <c r="N92" s="459"/>
      <c r="O92" s="459"/>
    </row>
    <row r="93" spans="1:19" ht="15" hidden="1" customHeight="1">
      <c r="B93" s="459"/>
      <c r="F93" s="459"/>
      <c r="G93" s="459"/>
      <c r="H93" s="464" t="s">
        <v>188</v>
      </c>
      <c r="I93" s="459"/>
      <c r="J93" s="459"/>
      <c r="K93" s="459"/>
      <c r="M93" s="459"/>
      <c r="N93" s="459"/>
      <c r="O93" s="459"/>
    </row>
    <row r="94" spans="1:19" ht="15" hidden="1" customHeight="1">
      <c r="B94" s="459"/>
      <c r="C94" s="356"/>
      <c r="D94" s="356"/>
      <c r="E94" s="356"/>
      <c r="F94" s="462"/>
      <c r="G94" s="462"/>
      <c r="H94" s="459"/>
      <c r="I94" s="459"/>
      <c r="J94" s="459"/>
      <c r="K94" s="459"/>
      <c r="L94" s="459"/>
      <c r="M94" s="459"/>
      <c r="N94" s="459"/>
      <c r="O94" s="459"/>
    </row>
    <row r="95" spans="1:19" ht="15" hidden="1" customHeight="1">
      <c r="B95" s="459"/>
      <c r="C95" s="462" t="s">
        <v>27</v>
      </c>
      <c r="D95" s="356"/>
      <c r="E95" s="356"/>
      <c r="F95" s="356"/>
      <c r="G95" s="356"/>
      <c r="H95" s="465">
        <v>55.844999999999999</v>
      </c>
      <c r="J95" s="466"/>
      <c r="K95" s="466"/>
      <c r="L95" s="459"/>
      <c r="M95" s="459"/>
      <c r="N95" s="459"/>
      <c r="O95" s="459"/>
    </row>
    <row r="96" spans="1:19" ht="15" hidden="1" customHeight="1">
      <c r="B96" s="459"/>
      <c r="C96" s="462" t="s">
        <v>172</v>
      </c>
      <c r="D96" s="356"/>
      <c r="E96" s="356"/>
      <c r="F96" s="356"/>
      <c r="G96" s="356"/>
      <c r="H96" s="465">
        <v>34.08</v>
      </c>
      <c r="J96" s="466" t="s">
        <v>173</v>
      </c>
      <c r="K96" s="466"/>
      <c r="L96" s="459"/>
      <c r="M96" s="459"/>
      <c r="N96" s="459"/>
      <c r="O96" s="459"/>
    </row>
    <row r="97" spans="2:18" ht="15" hidden="1" customHeight="1">
      <c r="B97" s="459"/>
      <c r="C97" s="462" t="s">
        <v>299</v>
      </c>
      <c r="D97" s="356"/>
      <c r="E97" s="356"/>
      <c r="F97" s="356"/>
      <c r="G97" s="356"/>
      <c r="H97" s="465">
        <v>24.45</v>
      </c>
      <c r="J97" s="466" t="s">
        <v>174</v>
      </c>
      <c r="K97" s="466"/>
      <c r="L97" s="459"/>
      <c r="M97" s="459"/>
      <c r="N97" s="459"/>
      <c r="O97" s="459"/>
    </row>
    <row r="98" spans="2:18" ht="15" hidden="1" customHeight="1">
      <c r="C98" s="504" t="s">
        <v>300</v>
      </c>
      <c r="D98" s="505"/>
      <c r="E98" s="505"/>
      <c r="F98" s="505"/>
      <c r="G98" s="506"/>
      <c r="H98" s="494">
        <f xml:space="preserve"> IF(H60 = H93, H97 * J60 / H96, J60) / 1000 / H97 * H96 * IF(H59 = H89, J59 * X48 / 1000, IF(H59 = H90, J59 * X49 / 1000, J59))</f>
        <v>100619.63196177667</v>
      </c>
      <c r="L98" s="344" t="s">
        <v>186</v>
      </c>
    </row>
    <row r="99" spans="2:18" ht="15" hidden="1" customHeight="1"/>
    <row r="100" spans="2:18" ht="15" hidden="1" customHeight="1">
      <c r="B100" s="459"/>
      <c r="C100" s="462" t="s">
        <v>28</v>
      </c>
      <c r="D100" s="356"/>
      <c r="E100" s="356"/>
      <c r="F100" s="356"/>
      <c r="G100" s="356"/>
      <c r="H100" s="467">
        <f xml:space="preserve"> IF(J64 &gt; 0, 10 ^ -J64, 0)</f>
        <v>0</v>
      </c>
      <c r="J100" s="468"/>
      <c r="K100" s="459"/>
      <c r="L100" s="459"/>
      <c r="M100" s="459"/>
      <c r="N100" s="459"/>
      <c r="O100" s="459"/>
    </row>
    <row r="101" spans="2:18" ht="15" hidden="1" customHeight="1">
      <c r="B101" s="459"/>
      <c r="C101" s="462" t="s">
        <v>29</v>
      </c>
      <c r="D101" s="356"/>
      <c r="E101" s="356"/>
      <c r="F101" s="356"/>
      <c r="G101" s="356"/>
      <c r="H101" s="467">
        <f xml:space="preserve"> IF(J63 &gt; 0, 10 ^ -(1351.9 / (J63 + 273.15) + 0.0992 + 0.00792 * (J63 + 273.15)), 0)</f>
        <v>0</v>
      </c>
      <c r="J101" s="459"/>
      <c r="K101" s="459"/>
      <c r="L101" s="459"/>
      <c r="M101" s="459"/>
      <c r="N101" s="459"/>
      <c r="O101" s="459"/>
    </row>
    <row r="102" spans="2:18" ht="15" hidden="1" customHeight="1">
      <c r="B102" s="459"/>
      <c r="C102" s="462" t="s">
        <v>30</v>
      </c>
      <c r="D102" s="356"/>
      <c r="E102" s="356"/>
      <c r="F102" s="356"/>
      <c r="G102" s="356"/>
      <c r="H102" s="469">
        <f xml:space="preserve"> 10 ^ -11.96</f>
        <v>1.0964781961431817E-12</v>
      </c>
      <c r="J102" s="389"/>
      <c r="K102" s="389"/>
      <c r="L102" s="459"/>
      <c r="M102" s="459"/>
      <c r="N102" s="459"/>
      <c r="O102" s="459"/>
    </row>
    <row r="103" spans="2:18" ht="15" hidden="1" customHeight="1">
      <c r="B103" s="459"/>
      <c r="C103" s="462" t="s">
        <v>171</v>
      </c>
      <c r="D103" s="356"/>
      <c r="E103" s="356"/>
      <c r="F103" s="356"/>
      <c r="G103" s="356"/>
      <c r="H103" s="467">
        <f xml:space="preserve"> IF(H101 * H100 &gt; 0, (1 + H101 / H100 + H101 * H102 / H100 ^ 2) ^ -1, 0)</f>
        <v>0</v>
      </c>
      <c r="J103" s="389"/>
      <c r="K103" s="389"/>
      <c r="L103" s="459"/>
      <c r="M103" s="459"/>
      <c r="N103" s="459"/>
      <c r="O103" s="459"/>
    </row>
    <row r="104" spans="2:18" ht="15" hidden="1" customHeight="1">
      <c r="B104" s="459"/>
      <c r="C104" s="509" t="s">
        <v>306</v>
      </c>
      <c r="D104" s="356"/>
      <c r="E104" s="356"/>
      <c r="F104" s="356"/>
      <c r="G104" s="356"/>
      <c r="H104" s="467">
        <f xml:space="preserve"> IF(H103 &gt; 0, H101 / H100 * H103, 0)</f>
        <v>0</v>
      </c>
      <c r="J104" s="470" t="s">
        <v>176</v>
      </c>
      <c r="K104" s="470"/>
      <c r="L104" s="471"/>
      <c r="M104" s="471"/>
      <c r="N104" s="471"/>
      <c r="O104" s="471"/>
      <c r="P104" s="345"/>
      <c r="Q104" s="345"/>
      <c r="R104" s="345"/>
    </row>
    <row r="105" spans="2:18" ht="15" hidden="1" customHeight="1">
      <c r="B105" s="459"/>
      <c r="C105" s="509" t="s">
        <v>305</v>
      </c>
      <c r="D105" s="356"/>
      <c r="E105" s="356"/>
      <c r="F105" s="356"/>
      <c r="G105" s="472"/>
      <c r="H105" s="467" t="e">
        <f xml:space="preserve"> H101 * H102 / H100 ^ 2 * H103</f>
        <v>#DIV/0!</v>
      </c>
      <c r="J105" s="220" t="s">
        <v>169</v>
      </c>
      <c r="K105" s="470"/>
      <c r="L105" s="471"/>
      <c r="M105" s="471"/>
      <c r="N105" s="471"/>
      <c r="O105" s="471"/>
      <c r="P105" s="345"/>
      <c r="Q105" s="345"/>
      <c r="R105" s="345"/>
    </row>
    <row r="106" spans="2:18" ht="15" hidden="1" customHeight="1">
      <c r="B106" s="459"/>
      <c r="C106" s="241" t="s">
        <v>161</v>
      </c>
      <c r="D106" s="242"/>
      <c r="E106" s="242"/>
      <c r="F106" s="242"/>
      <c r="G106" s="242"/>
      <c r="H106" s="233"/>
      <c r="J106" s="389"/>
      <c r="K106" s="389"/>
      <c r="L106" s="459"/>
      <c r="M106" s="459"/>
      <c r="N106" s="459"/>
      <c r="O106" s="459"/>
    </row>
    <row r="107" spans="2:18" ht="15" hidden="1" customHeight="1">
      <c r="B107" s="459"/>
      <c r="C107" s="509" t="s">
        <v>303</v>
      </c>
      <c r="G107" s="459"/>
      <c r="H107" s="462"/>
      <c r="I107" s="459"/>
    </row>
    <row r="108" spans="2:18" ht="15" hidden="1" customHeight="1">
      <c r="B108" s="459"/>
      <c r="C108" s="510" t="s">
        <v>304</v>
      </c>
      <c r="G108" s="459"/>
      <c r="H108" s="459"/>
      <c r="I108" s="459"/>
    </row>
    <row r="109" spans="2:18" ht="15" hidden="1" customHeight="1">
      <c r="B109" s="459"/>
      <c r="C109" s="473" t="s">
        <v>283</v>
      </c>
      <c r="D109" s="356"/>
      <c r="E109" s="356"/>
      <c r="F109" s="356"/>
      <c r="G109" s="472"/>
      <c r="H109" s="467">
        <f xml:space="preserve"> IF(J60 * H103 &gt; 0, EXP((LN(J60) - 6.42) / 0.78) / H103, 0)</f>
        <v>0</v>
      </c>
      <c r="J109" s="474"/>
      <c r="K109" s="474"/>
      <c r="O109" s="459"/>
    </row>
    <row r="110" spans="2:18" ht="15" hidden="1" customHeight="1">
      <c r="B110" s="459"/>
      <c r="C110" s="507" t="s">
        <v>301</v>
      </c>
      <c r="D110" s="505"/>
      <c r="E110" s="505"/>
      <c r="F110" s="505"/>
      <c r="G110" s="506"/>
      <c r="H110" s="494">
        <f xml:space="preserve"> IF(ISNUMBER(J65), J65, H109) * J62</f>
        <v>0</v>
      </c>
      <c r="M110" s="474"/>
      <c r="N110" s="475"/>
      <c r="O110" s="459"/>
    </row>
    <row r="111" spans="2:18" ht="15" hidden="1" customHeight="1">
      <c r="B111" s="459"/>
      <c r="C111" s="459"/>
    </row>
    <row r="112" spans="2:18" ht="15" hidden="1" customHeight="1">
      <c r="B112" s="459"/>
      <c r="C112" s="459"/>
    </row>
    <row r="113" spans="1:15" ht="15" hidden="1" customHeight="1">
      <c r="B113" s="459"/>
      <c r="C113" s="508" t="s">
        <v>211</v>
      </c>
      <c r="D113" s="505"/>
      <c r="E113" s="505"/>
      <c r="F113" s="505"/>
      <c r="G113" s="506"/>
      <c r="H113" s="476">
        <f xml:space="preserve"> IF( H98 &gt; 0, H95 / H96 * (H98 + H110), 0)</f>
        <v>164879.79304299937</v>
      </c>
      <c r="L113" s="287"/>
      <c r="M113" s="362"/>
      <c r="N113" s="362"/>
    </row>
    <row r="114" spans="1:15" ht="15" hidden="1" customHeight="1">
      <c r="B114" s="459"/>
      <c r="C114" s="234" t="s">
        <v>210</v>
      </c>
      <c r="D114" s="477"/>
      <c r="E114" s="477"/>
      <c r="F114" s="477"/>
      <c r="G114" s="477"/>
      <c r="H114" s="476">
        <f xml:space="preserve"> IF(AND(J67 &gt; 0, H98 &gt; 0), J67 * H95 / H96 * (H98 + H110), 0)</f>
        <v>280295.81305289199</v>
      </c>
      <c r="J114" s="474"/>
      <c r="K114" s="459"/>
      <c r="L114" s="495"/>
      <c r="M114" s="389"/>
      <c r="N114" s="389"/>
      <c r="O114" s="459"/>
    </row>
    <row r="115" spans="1:15" ht="15" hidden="1" customHeight="1">
      <c r="B115" s="459"/>
      <c r="C115" s="236" t="s">
        <v>179</v>
      </c>
      <c r="D115" s="449"/>
      <c r="E115" s="449"/>
      <c r="F115" s="449"/>
      <c r="G115" s="449"/>
      <c r="H115" s="460"/>
      <c r="J115" s="459"/>
      <c r="K115" s="459"/>
      <c r="L115" s="495"/>
      <c r="M115" s="389"/>
      <c r="N115" s="389"/>
      <c r="O115" s="459"/>
    </row>
    <row r="116" spans="1:15" s="499" customFormat="1" ht="15" hidden="1" customHeight="1">
      <c r="A116" s="496"/>
      <c r="B116" s="468"/>
      <c r="C116" s="497"/>
      <c r="D116" s="364"/>
      <c r="E116" s="364"/>
      <c r="F116" s="364"/>
      <c r="G116" s="498"/>
      <c r="H116" s="497"/>
      <c r="J116" s="511"/>
      <c r="K116" s="468"/>
      <c r="O116" s="468"/>
    </row>
    <row r="117" spans="1:15" s="499" customFormat="1" ht="15" hidden="1" customHeight="1">
      <c r="A117" s="496"/>
      <c r="B117" s="468"/>
      <c r="C117" s="497"/>
      <c r="D117" s="364"/>
      <c r="E117" s="364"/>
      <c r="F117" s="364"/>
      <c r="G117" s="498" t="str">
        <f xml:space="preserve"> G18</f>
        <v>Your_De-Sulph</v>
      </c>
      <c r="H117" s="502">
        <f xml:space="preserve"> IF(V28 &gt; 0, H114 / V28 * 100 / 1000, 0)</f>
        <v>628.18242350749949</v>
      </c>
      <c r="J117" s="497"/>
      <c r="K117" s="468"/>
      <c r="O117" s="468"/>
    </row>
    <row r="118" spans="1:15" s="499" customFormat="1" ht="15" hidden="1" customHeight="1">
      <c r="A118" s="496"/>
      <c r="B118" s="468"/>
      <c r="C118" s="497"/>
      <c r="D118" s="364"/>
      <c r="E118" s="364"/>
      <c r="F118" s="364"/>
      <c r="G118" s="498" t="str">
        <f xml:space="preserve"> U13</f>
        <v>SBGx by SwissBiogas.com</v>
      </c>
      <c r="H118" s="502">
        <f xml:space="preserve"> H114 / X28 * 100 / 1000</f>
        <v>451.3250590545581</v>
      </c>
      <c r="J118" s="497"/>
      <c r="K118" s="468"/>
      <c r="O118" s="468"/>
    </row>
    <row r="119" spans="1:15" s="499" customFormat="1" ht="15" hidden="1" customHeight="1">
      <c r="A119" s="496"/>
      <c r="B119" s="468"/>
      <c r="C119" s="497"/>
      <c r="D119" s="364"/>
      <c r="E119" s="364"/>
      <c r="F119" s="364"/>
      <c r="G119" s="503" t="s">
        <v>302</v>
      </c>
      <c r="H119" s="497">
        <f xml:space="preserve"> H117 / H118</f>
        <v>1.3918624966746242</v>
      </c>
      <c r="J119" s="497"/>
      <c r="K119" s="468"/>
      <c r="O119" s="468"/>
    </row>
    <row r="120" spans="1:15" s="499" customFormat="1" ht="15" hidden="1" customHeight="1">
      <c r="A120" s="496"/>
      <c r="B120" s="468"/>
      <c r="C120" s="497"/>
      <c r="D120" s="364"/>
      <c r="E120" s="364"/>
      <c r="F120" s="364"/>
      <c r="G120" s="498"/>
      <c r="H120" s="497"/>
      <c r="J120" s="468"/>
      <c r="K120" s="468"/>
      <c r="O120" s="468"/>
    </row>
    <row r="121" spans="1:15" s="499" customFormat="1" ht="15" hidden="1" customHeight="1">
      <c r="A121" s="496"/>
      <c r="B121" s="468"/>
      <c r="C121" s="500"/>
      <c r="D121" s="501"/>
      <c r="E121" s="501"/>
      <c r="F121" s="501"/>
      <c r="G121" s="501"/>
      <c r="H121" s="468"/>
      <c r="J121" s="468"/>
      <c r="K121" s="468"/>
      <c r="O121" s="468"/>
    </row>
    <row r="122" spans="1:15" s="499" customFormat="1" ht="15" hidden="1" customHeight="1">
      <c r="A122" s="496"/>
      <c r="B122" s="468"/>
      <c r="C122" s="468"/>
      <c r="H122" s="468"/>
      <c r="J122" s="468"/>
      <c r="K122" s="468"/>
      <c r="L122" s="468"/>
      <c r="M122" s="468"/>
      <c r="N122" s="468"/>
      <c r="O122" s="468"/>
    </row>
    <row r="123" spans="1:15" ht="18" hidden="1" customHeight="1">
      <c r="B123" s="459"/>
      <c r="C123" s="459" t="s">
        <v>33</v>
      </c>
      <c r="D123" s="459"/>
      <c r="E123" s="459"/>
      <c r="F123" s="459"/>
      <c r="G123" s="459"/>
      <c r="H123" s="459"/>
      <c r="I123" s="459"/>
      <c r="J123" s="459"/>
      <c r="K123" s="459"/>
      <c r="L123" s="459"/>
      <c r="M123" s="459"/>
      <c r="N123" s="459"/>
      <c r="O123" s="459"/>
    </row>
    <row r="124" spans="1:15" ht="18" hidden="1" customHeight="1">
      <c r="B124" s="459"/>
      <c r="C124" s="459" t="s">
        <v>34</v>
      </c>
      <c r="D124" s="478"/>
      <c r="E124" s="478"/>
      <c r="F124" s="459"/>
      <c r="G124" s="459"/>
      <c r="H124" s="459"/>
      <c r="I124" s="459"/>
      <c r="J124" s="459"/>
      <c r="K124" s="459"/>
      <c r="L124" s="459"/>
      <c r="M124" s="459"/>
      <c r="N124" s="459"/>
      <c r="O124" s="459"/>
    </row>
    <row r="125" spans="1:15" ht="15" hidden="1" customHeight="1">
      <c r="B125" s="459"/>
      <c r="C125" s="459" t="s">
        <v>35</v>
      </c>
      <c r="D125" s="479"/>
      <c r="E125" s="479"/>
      <c r="F125" s="459"/>
      <c r="G125" s="459"/>
      <c r="H125" s="459"/>
      <c r="I125" s="459"/>
      <c r="J125" s="459"/>
      <c r="K125" s="459"/>
      <c r="L125" s="459"/>
      <c r="M125" s="459"/>
      <c r="N125" s="459"/>
      <c r="O125" s="459"/>
    </row>
    <row r="126" spans="1:15" ht="15" hidden="1" customHeight="1">
      <c r="B126" s="459"/>
      <c r="C126" s="459"/>
      <c r="D126" s="460"/>
      <c r="E126" s="460"/>
      <c r="F126" s="459"/>
      <c r="G126" s="459"/>
      <c r="H126" s="459"/>
      <c r="I126" s="459"/>
      <c r="J126" s="459"/>
      <c r="K126" s="459"/>
      <c r="L126" s="459"/>
      <c r="M126" s="459"/>
      <c r="N126" s="459"/>
      <c r="O126" s="459"/>
    </row>
    <row r="127" spans="1:15" ht="15" hidden="1" customHeight="1">
      <c r="B127" s="395"/>
      <c r="C127" s="460" t="s">
        <v>36</v>
      </c>
      <c r="D127" s="460"/>
      <c r="E127" s="460"/>
      <c r="F127" s="459"/>
      <c r="G127" s="459"/>
      <c r="H127" s="459"/>
      <c r="I127" s="459"/>
      <c r="J127" s="459"/>
      <c r="K127" s="459"/>
      <c r="L127" s="395"/>
      <c r="M127" s="395"/>
      <c r="N127" s="395"/>
      <c r="O127" s="395"/>
    </row>
    <row r="128" spans="1:15" ht="15" hidden="1" customHeight="1">
      <c r="B128" s="395"/>
      <c r="C128" s="195" t="s">
        <v>37</v>
      </c>
      <c r="D128" s="459"/>
      <c r="E128" s="459"/>
      <c r="F128" s="459"/>
      <c r="G128" s="459"/>
      <c r="H128" s="459"/>
      <c r="I128" s="459"/>
      <c r="J128" s="395"/>
      <c r="K128" s="395"/>
      <c r="L128" s="395"/>
      <c r="M128" s="395"/>
      <c r="N128" s="395"/>
      <c r="O128" s="395"/>
    </row>
    <row r="129" spans="2:15" ht="18" hidden="1" customHeight="1">
      <c r="B129" s="395"/>
      <c r="C129" s="459" t="s">
        <v>38</v>
      </c>
      <c r="D129" s="460"/>
      <c r="E129" s="460"/>
      <c r="F129" s="459"/>
      <c r="G129" s="395"/>
      <c r="H129" s="459"/>
      <c r="I129" s="459"/>
      <c r="J129" s="395"/>
      <c r="K129" s="395"/>
      <c r="L129" s="395"/>
      <c r="M129" s="395"/>
      <c r="N129" s="395"/>
      <c r="O129" s="395"/>
    </row>
    <row r="130" spans="2:15" ht="15" hidden="1" customHeight="1">
      <c r="B130" s="395"/>
      <c r="C130" s="195" t="s">
        <v>39</v>
      </c>
      <c r="D130" s="419"/>
      <c r="E130" s="419"/>
      <c r="F130" s="395"/>
      <c r="G130" s="395"/>
      <c r="H130" s="395"/>
      <c r="I130" s="395"/>
      <c r="J130" s="395"/>
      <c r="K130" s="395"/>
      <c r="L130" s="395"/>
      <c r="M130" s="395"/>
      <c r="N130" s="395"/>
      <c r="O130" s="395"/>
    </row>
    <row r="131" spans="2:15" ht="15" hidden="1" customHeight="1">
      <c r="B131" s="395"/>
      <c r="C131" s="459" t="s">
        <v>40</v>
      </c>
      <c r="D131" s="419"/>
      <c r="E131" s="419"/>
      <c r="F131" s="395"/>
      <c r="G131" s="395"/>
      <c r="H131" s="395"/>
      <c r="I131" s="395"/>
      <c r="J131" s="395"/>
      <c r="K131" s="395"/>
      <c r="L131" s="395"/>
      <c r="M131" s="395"/>
      <c r="N131" s="395"/>
      <c r="O131" s="395"/>
    </row>
    <row r="132" spans="2:15" ht="15" hidden="1" customHeight="1">
      <c r="B132" s="395"/>
      <c r="C132" s="7" t="s">
        <v>41</v>
      </c>
      <c r="D132" s="419"/>
      <c r="E132" s="419"/>
      <c r="F132" s="395"/>
      <c r="G132" s="395"/>
      <c r="H132" s="395"/>
      <c r="I132" s="395"/>
      <c r="J132" s="395"/>
      <c r="K132" s="395"/>
      <c r="L132" s="395"/>
      <c r="M132" s="395"/>
      <c r="N132" s="395"/>
      <c r="O132" s="395"/>
    </row>
    <row r="133" spans="2:15" ht="15" hidden="1" customHeight="1">
      <c r="B133" s="395"/>
      <c r="C133" s="459" t="s">
        <v>42</v>
      </c>
      <c r="D133" s="419"/>
      <c r="E133" s="419"/>
      <c r="F133" s="395"/>
      <c r="G133" s="395"/>
      <c r="H133" s="395"/>
      <c r="I133" s="395"/>
      <c r="J133" s="395"/>
      <c r="K133" s="395"/>
      <c r="L133" s="395"/>
      <c r="M133" s="395"/>
      <c r="N133" s="395"/>
      <c r="O133" s="395"/>
    </row>
    <row r="134" spans="2:15" ht="15" hidden="1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  <row r="141" spans="2:15" ht="15" customHeight="1"/>
    <row r="142" spans="2:15" ht="15" customHeight="1"/>
    <row r="143" spans="2:15" ht="15" customHeight="1"/>
    <row r="144" spans="2:15" ht="15" customHeight="1"/>
  </sheetData>
  <sheetProtection sheet="1" objects="1" scenarios="1" selectLockedCells="1"/>
  <mergeCells count="4">
    <mergeCell ref="H62:I65"/>
    <mergeCell ref="H60:I60"/>
    <mergeCell ref="C74:G74"/>
    <mergeCell ref="H59:I59"/>
  </mergeCells>
  <conditionalFormatting sqref="G20:G30">
    <cfRule type="expression" dxfId="29" priority="8">
      <formula xml:space="preserve"> NOT(N20 = "")</formula>
    </cfRule>
  </conditionalFormatting>
  <conditionalFormatting sqref="J59:J60 J62:J65 J67">
    <cfRule type="expression" dxfId="28" priority="7">
      <formula xml:space="preserve"> AND(MOD(J59 * 1000000, 100) &gt; 0.99, MOD(J59 * 1000000, 100) &lt; 1.01)</formula>
    </cfRule>
  </conditionalFormatting>
  <conditionalFormatting sqref="J52">
    <cfRule type="expression" dxfId="27" priority="6">
      <formula xml:space="preserve"> NOT($L$52 = "")</formula>
    </cfRule>
  </conditionalFormatting>
  <conditionalFormatting sqref="G49">
    <cfRule type="expression" dxfId="26" priority="28">
      <formula xml:space="preserve"> OR(NOT($AB$51), ISBLANK($F$48))</formula>
    </cfRule>
  </conditionalFormatting>
  <conditionalFormatting sqref="C65">
    <cfRule type="expression" dxfId="25" priority="3">
      <formula xml:space="preserve"> AND(ISBLANK($J$65), K65 = "")</formula>
    </cfRule>
  </conditionalFormatting>
  <conditionalFormatting sqref="L67">
    <cfRule type="expression" dxfId="24" priority="2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8" r:id="rId1"/>
    <hyperlink ref="C130" r:id="rId2"/>
    <hyperlink ref="C132" r:id="rId3"/>
    <hyperlink ref="J105" r:id="rId4"/>
    <hyperlink ref="C74:F74" r:id="rId5" display="Source:  https://swissbiogas.com/ Resources - Download Area"/>
  </hyperlinks>
  <pageMargins left="0.39370078740157483" right="0.39370078740157483" top="0.47244094488188981" bottom="0.47244094488188981" header="0.31496062992125984" footer="0.31496062992125984"/>
  <pageSetup paperSize="9" scale="84" orientation="portrait" horizontalDpi="0" verticalDpi="0" r:id="rId6"/>
  <ignoredErrors>
    <ignoredError sqref="D26" formula="1"/>
  </ignoredError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zoomScaleNormal="100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216</v>
      </c>
    </row>
    <row r="5" spans="2:50" ht="15" hidden="1" customHeight="1">
      <c r="B5" s="209" t="s">
        <v>217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0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168</v>
      </c>
      <c r="D18" s="8"/>
      <c r="E18" s="8"/>
      <c r="F18" s="337" t="s">
        <v>249</v>
      </c>
      <c r="G18" s="23" t="str">
        <f xml:space="preserve"> IF(OR(F18 = "", F18 = " ", F18 = "  "), "Your Additive", F18)</f>
        <v>My_Fe(OH)₃_Additive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32.506888497920507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30.865647555674123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tr">
        <f xml:space="preserve"> IF(OR(H20 &gt; 0, J20 &gt; 0), "Iron(II) oxide", "")</f>
        <v>Iron(II) oxide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tr">
        <f xml:space="preserve"> IF(OR(H21 &gt; 0, J21 &gt; 0), "Iron(III) oxide", "")</f>
        <v>Iron(III) oxide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tr">
        <f xml:space="preserve"> IF(OR(H22 &gt; 0, J22 &gt; 0), "Iron(II,III) oxide", "")</f>
        <v/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tr">
        <f xml:space="preserve"> IF(OR(H23 &gt; 0, J23 &gt; 0), "Iron(II) chloride", "")</f>
        <v/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tr">
        <f xml:space="preserve"> IF(OR(H24 &gt; 0, J24 &gt; 0), "Iron(III) chloride", "")</f>
        <v/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tr">
        <f xml:space="preserve"> IF(OR(H25 &gt; 0, J25 &gt; 0), "Iron(III) oxide-hydroxide", "")</f>
        <v/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33.96674671007014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tr">
        <f xml:space="preserve"> IF(OR(H26 &gt; 0, J26 &gt; 0), "Iron(II) hydroxide", "")</f>
        <v/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>Fe³⁺, "ferric"</v>
      </c>
      <c r="E27" s="30"/>
      <c r="F27" s="113" t="str">
        <f xml:space="preserve"> IF(OR(H27 &gt; 0, J27 &gt; 0), "Iron(III) hydroxide", "")</f>
        <v>Iron(III) hydroxide</v>
      </c>
      <c r="G27" s="305">
        <v>65</v>
      </c>
      <c r="H27" s="29">
        <f t="shared" si="0"/>
        <v>33.96674671007014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33.96674671007014</v>
      </c>
      <c r="W27" s="120">
        <f xml:space="preserve"> SUM(W18:W26)</f>
        <v>32.506888497920507</v>
      </c>
      <c r="X27" s="121">
        <f xml:space="preserve"> SUM(X18:X26)</f>
        <v>30.865647555674123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tr">
        <f xml:space="preserve"> IF(OR(H28 &gt; 0, J28 &gt; 0), "Iron(III) oxide trihydrate", "")</f>
        <v/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33.96674671007014</v>
      </c>
      <c r="W28" s="123"/>
      <c r="X28" s="125">
        <f xml:space="preserve"> SUM(W18:X26)</f>
        <v>63.372536053594629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170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51.29491499350631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/>
      <c r="H30" s="29"/>
      <c r="I30" s="87"/>
      <c r="J30" s="118" t="str">
        <f xml:space="preserve"> IF(X16 = 0, "", X16)</f>
        <v/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33.96674671007014</v>
      </c>
      <c r="I31" s="8"/>
      <c r="J31" s="52"/>
      <c r="K31" s="66"/>
      <c r="L31" s="67">
        <f xml:space="preserve"> X28</f>
        <v>63.372536053594629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/>
      </c>
      <c r="O31" s="106"/>
    </row>
    <row r="32" spans="1:24" s="106" customFormat="1" ht="12" customHeight="1">
      <c r="A32" s="137"/>
      <c r="C32" s="48" t="s">
        <v>198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199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215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86.6% higher than the RIIC of My_Fe(OH)₃_Additive.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1.9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190</v>
      </c>
      <c r="Y40" s="137"/>
      <c r="Z40" s="43" t="s">
        <v>106</v>
      </c>
      <c r="AA40" s="46">
        <f xml:space="preserve"> G48</f>
        <v>450</v>
      </c>
      <c r="AB40" s="47" t="s">
        <v>90</v>
      </c>
      <c r="AC40" s="138" t="s">
        <v>117</v>
      </c>
      <c r="AD40" s="138" t="s">
        <v>143</v>
      </c>
      <c r="AE40" s="268" t="s">
        <v>194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490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490</v>
      </c>
      <c r="AS40" s="45">
        <f xml:space="preserve"> J52</f>
        <v>800</v>
      </c>
      <c r="AU40" s="44" t="s">
        <v>118</v>
      </c>
      <c r="AV40" s="46">
        <f xml:space="preserve"> G53 - J53</f>
        <v>27.545297898699914</v>
      </c>
      <c r="AW40" s="139"/>
      <c r="AX40" s="139" t="s">
        <v>119</v>
      </c>
    </row>
    <row r="41" spans="1:50" s="106" customFormat="1" ht="15" hidden="1" customHeight="1">
      <c r="C41" s="288" t="s">
        <v>214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27.545297898699914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450</v>
      </c>
      <c r="AB42" s="142">
        <f xml:space="preserve"> G48</f>
        <v>450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490000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0.49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192.8170852908994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450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450000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490</v>
      </c>
      <c r="AN43" s="142">
        <f xml:space="preserve"> G51</f>
        <v>490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0.22226026130000001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826.35893696099743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My_Fe(OH)₃_Additive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490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192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497.86298099999999</v>
      </c>
      <c r="AU44" s="113" t="s">
        <v>136</v>
      </c>
      <c r="AV44" s="144">
        <f xml:space="preserve"> IF(IFERROR(SEARCH(AU44, $L$55), 0) = 0, 0, AW44)</f>
        <v>10054.033733025468</v>
      </c>
      <c r="AW44" s="143">
        <f xml:space="preserve"> AV40 * 365</f>
        <v>10054.033733025468</v>
      </c>
      <c r="AX44" s="143" t="s">
        <v>116</v>
      </c>
    </row>
    <row r="45" spans="1:50" s="106" customFormat="1" ht="15" customHeight="1">
      <c r="A45" s="137"/>
      <c r="B45" s="8"/>
      <c r="C45" s="303" t="s">
        <v>248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800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0</v>
      </c>
      <c r="AB45" s="142">
        <f xml:space="preserve"> G48 * X43</f>
        <v>204.1165665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1080265.0847059002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444.52052259999999</v>
      </c>
    </row>
    <row r="46" spans="1:50" s="106" customFormat="1" ht="15" customHeight="1">
      <c r="A46" s="137"/>
      <c r="B46" s="8"/>
      <c r="C46" s="8" t="s">
        <v>219</v>
      </c>
      <c r="D46" s="21"/>
      <c r="E46" s="275" t="s">
        <v>208</v>
      </c>
      <c r="F46" s="339" t="s">
        <v>252</v>
      </c>
      <c r="G46" s="293" t="s">
        <v>277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190</v>
      </c>
      <c r="X46" s="265" t="s">
        <v>190</v>
      </c>
      <c r="Y46" s="137"/>
      <c r="Z46" s="146" t="s">
        <v>156</v>
      </c>
      <c r="AA46" s="142">
        <f t="shared" si="3"/>
        <v>0</v>
      </c>
      <c r="AB46" s="142">
        <f xml:space="preserve"> G48 * X44</f>
        <v>457221.10500000004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482.26120270629235</v>
      </c>
      <c r="AO46" s="142"/>
      <c r="AU46" s="90" t="s">
        <v>115</v>
      </c>
      <c r="AV46" s="139">
        <f xml:space="preserve"> SUM(AV41:AV44)</f>
        <v>10054.033733025468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249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408233.13300000003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540.13254235295005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195</v>
      </c>
      <c r="D48" s="150"/>
      <c r="E48" s="60" t="s">
        <v>209</v>
      </c>
      <c r="F48" s="308" t="s">
        <v>129</v>
      </c>
      <c r="G48" s="309">
        <v>450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193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164</v>
      </c>
      <c r="X49" s="152">
        <v>3.7854117839999999</v>
      </c>
      <c r="Y49" s="153"/>
      <c r="Z49" s="146" t="s">
        <v>165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193</v>
      </c>
      <c r="AL49" s="146" t="s">
        <v>166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244</v>
      </c>
      <c r="D50" s="57" t="s">
        <v>204</v>
      </c>
      <c r="E50" s="155"/>
      <c r="F50" s="156"/>
      <c r="G50" s="296">
        <v>450</v>
      </c>
      <c r="H50" s="27"/>
      <c r="J50" s="284">
        <f xml:space="preserve"> IF(ISERR(U43), 0, U43 / L31 * H31)</f>
        <v>241.19337762662511</v>
      </c>
      <c r="K50" s="69"/>
      <c r="L50" s="68" t="str">
        <f xml:space="preserve"> IF(AND(U43 &gt; 0, J50 &gt; 0, U43 &gt; J50), "Factor " &amp; TEXT(U43 / J50, "0.0") &amp; " x", "")</f>
        <v>Factor 1.9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46.4% additive dosage reduction; Dosage factor = 1.9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196</v>
      </c>
      <c r="D51" s="159"/>
      <c r="E51" s="60" t="s">
        <v>209</v>
      </c>
      <c r="F51" s="339" t="s">
        <v>140</v>
      </c>
      <c r="G51" s="310">
        <v>490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450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si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490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490</v>
      </c>
      <c r="H52" s="27"/>
      <c r="J52" s="338">
        <v>800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245</v>
      </c>
      <c r="D53" s="17" t="s">
        <v>197</v>
      </c>
      <c r="E53" s="17"/>
      <c r="F53" s="17"/>
      <c r="G53" s="77">
        <f xml:space="preserve"> IF(ISERR(U43), 0, IF(ISERR(U44), 0, IF(AND(U43 &gt; 0, U44 &gt; 0), U43 * U44 / 1000, 0)))</f>
        <v>220.5</v>
      </c>
      <c r="H53" s="133"/>
      <c r="J53" s="59">
        <v>192.95470210130009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12.5%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215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10,054.--. (Minus 12.5%)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252</v>
      </c>
      <c r="U57" s="166">
        <v>1</v>
      </c>
      <c r="V57" s="166">
        <f xml:space="preserve"> IF(IFERROR(SEARCH(T57, $F$46), 0) = 0, 0, U57)</f>
        <v>1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246</v>
      </c>
      <c r="D58" s="98"/>
      <c r="E58" s="98"/>
      <c r="F58" s="98"/>
      <c r="G58" s="98"/>
      <c r="H58" s="98"/>
      <c r="I58" s="98"/>
      <c r="J58" s="302" t="s">
        <v>247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08" t="s">
        <v>272</v>
      </c>
      <c r="I59" s="709"/>
      <c r="J59" s="312">
        <v>19000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10" t="s">
        <v>189</v>
      </c>
      <c r="I60" s="709"/>
      <c r="J60" s="313">
        <v>2100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205</v>
      </c>
      <c r="D61" s="17"/>
      <c r="E61" s="17"/>
      <c r="F61" s="17"/>
      <c r="G61" s="17"/>
      <c r="H61" s="17"/>
      <c r="I61" s="244"/>
      <c r="J61" s="250">
        <v>55615.21472392638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1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40" t="s">
        <v>269</v>
      </c>
      <c r="D62" s="150"/>
      <c r="E62" s="150"/>
      <c r="F62" s="150"/>
      <c r="G62" s="150"/>
      <c r="H62" s="711" t="s">
        <v>213</v>
      </c>
      <c r="I62" s="712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341" t="s">
        <v>206</v>
      </c>
      <c r="D63" s="159"/>
      <c r="E63" s="159"/>
      <c r="F63" s="159"/>
      <c r="G63" s="159"/>
      <c r="H63" s="713"/>
      <c r="I63" s="714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341" t="s">
        <v>207</v>
      </c>
      <c r="D64" s="159"/>
      <c r="E64" s="159"/>
      <c r="F64" s="159"/>
      <c r="G64" s="159"/>
      <c r="H64" s="713"/>
      <c r="I64" s="714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253</v>
      </c>
      <c r="D65" s="159"/>
      <c r="E65" s="159"/>
      <c r="F65" s="159"/>
      <c r="G65" s="159"/>
      <c r="H65" s="715"/>
      <c r="I65" s="716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203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218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212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My_Fe(OH)₃_Additive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191</v>
      </c>
      <c r="E71" s="57"/>
      <c r="F71" s="155"/>
      <c r="G71" s="283">
        <f xml:space="preserve"> IF(V28 &gt; 0, H114 / V28 * 100 / 1000, 0)</f>
        <v>456.11388809815952</v>
      </c>
      <c r="H71" s="276"/>
      <c r="I71" s="87"/>
      <c r="J71" s="284">
        <f xml:space="preserve"> H114 / X28 * 100 / 1000</f>
        <v>244.47033167290579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17" t="s">
        <v>235</v>
      </c>
      <c r="D74" s="717"/>
      <c r="E74" s="717"/>
      <c r="F74" s="717"/>
      <c r="G74" s="717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271</v>
      </c>
      <c r="D88" s="203"/>
      <c r="E88" s="203"/>
      <c r="F88" s="203"/>
      <c r="G88" s="203"/>
      <c r="H88" s="332" t="s">
        <v>272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273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274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187</v>
      </c>
      <c r="D92" s="203"/>
      <c r="E92" s="203"/>
      <c r="F92" s="203"/>
      <c r="G92" s="203"/>
      <c r="H92" s="257" t="s">
        <v>189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188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172</v>
      </c>
      <c r="D96" s="98"/>
      <c r="E96" s="98"/>
      <c r="F96" s="98"/>
      <c r="G96" s="98"/>
      <c r="H96" s="324">
        <v>34.08</v>
      </c>
      <c r="I96" s="87"/>
      <c r="J96" s="200" t="s">
        <v>173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175</v>
      </c>
      <c r="D97" s="98"/>
      <c r="E97" s="98"/>
      <c r="F97" s="98"/>
      <c r="G97" s="98"/>
      <c r="H97" s="324">
        <v>24.45</v>
      </c>
      <c r="I97" s="87"/>
      <c r="J97" s="282" t="s">
        <v>174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184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55615.21472392638</v>
      </c>
      <c r="I98" s="87"/>
      <c r="J98" s="87"/>
      <c r="K98" s="87"/>
      <c r="L98" s="255" t="s">
        <v>186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171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182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176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183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169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185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211</v>
      </c>
      <c r="H113" s="192">
        <f xml:space="preserve"> IF( H98 &gt; 0, H95 / H96 * (H98 + H110), 0)</f>
        <v>91133.5582822086</v>
      </c>
      <c r="L113" s="232" t="s">
        <v>180</v>
      </c>
    </row>
    <row r="114" spans="2:15" ht="15" hidden="1" customHeight="1">
      <c r="B114" s="174"/>
      <c r="C114" s="234" t="s">
        <v>210</v>
      </c>
      <c r="D114" s="235"/>
      <c r="E114" s="235"/>
      <c r="F114" s="235"/>
      <c r="G114" s="235"/>
      <c r="H114" s="192">
        <f xml:space="preserve"> IF(AND(J67 &gt; 0, H98 &gt; 0), J67 * H95 / H96 * (H98 + H110), 0)</f>
        <v>154927.04907975459</v>
      </c>
      <c r="J114" s="201"/>
      <c r="K114" s="174"/>
      <c r="L114" s="230">
        <f xml:space="preserve"> J60 / 1000 / H97 * H96 * J59</f>
        <v>55615.21472392638</v>
      </c>
      <c r="M114" s="174"/>
      <c r="N114" s="229" t="s">
        <v>178</v>
      </c>
      <c r="O114" s="174"/>
    </row>
    <row r="115" spans="2:15" ht="15" hidden="1" customHeight="1">
      <c r="B115" s="174"/>
      <c r="C115" s="236" t="s">
        <v>179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154927.04907975459</v>
      </c>
      <c r="M115" s="174"/>
      <c r="N115" s="229" t="s">
        <v>181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177</v>
      </c>
      <c r="H116" s="227">
        <f xml:space="preserve"> (IF(AND(ISNUMBER(J65), J65 &gt; 0), J65, H109) * J62 + J60 / 1000 / H97 * H96 * J59)</f>
        <v>55615.21472392638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23" priority="5">
      <formula xml:space="preserve"> NOT(N20 = "")</formula>
    </cfRule>
  </conditionalFormatting>
  <conditionalFormatting sqref="J59:J60 J62:J65 J67">
    <cfRule type="expression" dxfId="22" priority="4">
      <formula xml:space="preserve"> AND(MOD(J59 * 1000000, 100) &gt; 0.99, MOD(J59 * 1000000, 100) &lt; 1.01)</formula>
    </cfRule>
  </conditionalFormatting>
  <conditionalFormatting sqref="J52">
    <cfRule type="expression" dxfId="21" priority="3">
      <formula xml:space="preserve"> NOT($L$52 = "")</formula>
    </cfRule>
  </conditionalFormatting>
  <conditionalFormatting sqref="G49">
    <cfRule type="expression" dxfId="20" priority="6">
      <formula xml:space="preserve"> OR(NOT($AB$51), ISBLANK($F$48))</formula>
    </cfRule>
  </conditionalFormatting>
  <conditionalFormatting sqref="C65">
    <cfRule type="expression" dxfId="19" priority="2">
      <formula xml:space="preserve"> AND(ISBLANK($J$65), K65 = "")</formula>
    </cfRule>
  </conditionalFormatting>
  <conditionalFormatting sqref="L67">
    <cfRule type="expression" dxfId="18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zoomScaleNormal="100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216</v>
      </c>
    </row>
    <row r="5" spans="2:50" ht="15" hidden="1" customHeight="1">
      <c r="B5" s="209" t="s">
        <v>217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0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168</v>
      </c>
      <c r="D18" s="8"/>
      <c r="E18" s="8"/>
      <c r="F18" s="337" t="s">
        <v>249</v>
      </c>
      <c r="G18" s="23" t="str">
        <f xml:space="preserve"> IF(OR(F18 = "", F18 = " ", F18 = "  "), "Your Additive", F18)</f>
        <v>My_Fe(OH)₃_Additive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32.506888497920507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30.865647555674123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tr">
        <f xml:space="preserve"> IF(OR(H20 &gt; 0, J20 &gt; 0), "Iron(II) oxide", "")</f>
        <v>Iron(II) oxide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tr">
        <f xml:space="preserve"> IF(OR(H21 &gt; 0, J21 &gt; 0), "Iron(III) oxide", "")</f>
        <v>Iron(III) oxide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tr">
        <f xml:space="preserve"> IF(OR(H22 &gt; 0, J22 &gt; 0), "Iron(II,III) oxide", "")</f>
        <v/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tr">
        <f xml:space="preserve"> IF(OR(H23 &gt; 0, J23 &gt; 0), "Iron(II) chloride", "")</f>
        <v/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tr">
        <f xml:space="preserve"> IF(OR(H24 &gt; 0, J24 &gt; 0), "Iron(III) chloride", "")</f>
        <v/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tr">
        <f xml:space="preserve"> IF(OR(H25 &gt; 0, J25 &gt; 0), "Iron(III) oxide-hydroxide", "")</f>
        <v/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33.96674671007014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tr">
        <f xml:space="preserve"> IF(OR(H26 &gt; 0, J26 &gt; 0), "Iron(II) hydroxide", "")</f>
        <v/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>Fe³⁺, "ferric"</v>
      </c>
      <c r="E27" s="30"/>
      <c r="F27" s="113" t="str">
        <f xml:space="preserve"> IF(OR(H27 &gt; 0, J27 &gt; 0), "Iron(III) hydroxide", "")</f>
        <v>Iron(III) hydroxide</v>
      </c>
      <c r="G27" s="305">
        <v>65</v>
      </c>
      <c r="H27" s="29">
        <f t="shared" si="0"/>
        <v>33.96674671007014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33.96674671007014</v>
      </c>
      <c r="W27" s="120">
        <f xml:space="preserve"> SUM(W18:W26)</f>
        <v>32.506888497920507</v>
      </c>
      <c r="X27" s="121">
        <f xml:space="preserve"> SUM(X18:X26)</f>
        <v>30.865647555674123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tr">
        <f xml:space="preserve"> IF(OR(H28 &gt; 0, J28 &gt; 0), "Iron(III) oxide trihydrate", "")</f>
        <v/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33.96674671007014</v>
      </c>
      <c r="W28" s="123"/>
      <c r="X28" s="125">
        <f xml:space="preserve"> SUM(W18:X26)</f>
        <v>63.372536053594629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170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51.29491499350631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/>
      <c r="H30" s="29"/>
      <c r="I30" s="87"/>
      <c r="J30" s="118" t="str">
        <f xml:space="preserve"> IF(X16 = 0, "", X16)</f>
        <v/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33.96674671007014</v>
      </c>
      <c r="I31" s="8"/>
      <c r="J31" s="52"/>
      <c r="K31" s="66"/>
      <c r="L31" s="67">
        <f xml:space="preserve"> X28</f>
        <v>63.372536053594629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/>
      </c>
      <c r="O31" s="106"/>
    </row>
    <row r="32" spans="1:24" s="106" customFormat="1" ht="12" customHeight="1">
      <c r="A32" s="137"/>
      <c r="C32" s="48" t="s">
        <v>198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199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215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86.6% higher than the RIIC of My_Fe(OH)₃_Additive.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1.9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190</v>
      </c>
      <c r="Y40" s="137"/>
      <c r="Z40" s="43" t="s">
        <v>106</v>
      </c>
      <c r="AA40" s="46">
        <f xml:space="preserve"> G48</f>
        <v>450</v>
      </c>
      <c r="AB40" s="47" t="s">
        <v>90</v>
      </c>
      <c r="AC40" s="138" t="s">
        <v>117</v>
      </c>
      <c r="AD40" s="138" t="s">
        <v>143</v>
      </c>
      <c r="AE40" s="268" t="s">
        <v>194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490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490</v>
      </c>
      <c r="AS40" s="45">
        <f xml:space="preserve"> J52</f>
        <v>800</v>
      </c>
      <c r="AU40" s="44" t="s">
        <v>118</v>
      </c>
      <c r="AV40" s="46">
        <f xml:space="preserve"> G53 - J53</f>
        <v>27.545297898699914</v>
      </c>
      <c r="AW40" s="139"/>
      <c r="AX40" s="139" t="s">
        <v>119</v>
      </c>
    </row>
    <row r="41" spans="1:50" s="106" customFormat="1" ht="15" hidden="1" customHeight="1">
      <c r="C41" s="288" t="s">
        <v>214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27.545297898699914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450</v>
      </c>
      <c r="AB42" s="142">
        <f xml:space="preserve"> G48</f>
        <v>450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490000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0.49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192.8170852908994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450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450000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490</v>
      </c>
      <c r="AN43" s="142">
        <f xml:space="preserve"> G51</f>
        <v>490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0.22226026130000001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826.35893696099743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My_Fe(OH)₃_Additive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490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192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497.86298099999999</v>
      </c>
      <c r="AU44" s="113" t="s">
        <v>136</v>
      </c>
      <c r="AV44" s="144">
        <f xml:space="preserve"> IF(IFERROR(SEARCH(AU44, $L$55), 0) = 0, 0, AW44)</f>
        <v>10054.033733025468</v>
      </c>
      <c r="AW44" s="143">
        <f xml:space="preserve"> AV40 * 365</f>
        <v>10054.033733025468</v>
      </c>
      <c r="AX44" s="143" t="s">
        <v>116</v>
      </c>
    </row>
    <row r="45" spans="1:50" s="106" customFormat="1" ht="15" customHeight="1">
      <c r="A45" s="137"/>
      <c r="B45" s="8"/>
      <c r="C45" s="303" t="s">
        <v>248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800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0</v>
      </c>
      <c r="AB45" s="142">
        <f xml:space="preserve"> G48 * X43</f>
        <v>204.1165665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1080265.0847059002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444.52052259999999</v>
      </c>
    </row>
    <row r="46" spans="1:50" s="106" customFormat="1" ht="15" customHeight="1">
      <c r="A46" s="137"/>
      <c r="B46" s="8"/>
      <c r="C46" s="8" t="s">
        <v>219</v>
      </c>
      <c r="D46" s="21"/>
      <c r="E46" s="275" t="s">
        <v>208</v>
      </c>
      <c r="F46" s="336" t="s">
        <v>252</v>
      </c>
      <c r="G46" s="293" t="s">
        <v>277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190</v>
      </c>
      <c r="X46" s="265" t="s">
        <v>190</v>
      </c>
      <c r="Y46" s="137"/>
      <c r="Z46" s="146" t="s">
        <v>156</v>
      </c>
      <c r="AA46" s="142">
        <f t="shared" si="3"/>
        <v>0</v>
      </c>
      <c r="AB46" s="142">
        <f xml:space="preserve"> G48 * X44</f>
        <v>457221.10500000004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482.26120270629235</v>
      </c>
      <c r="AO46" s="142"/>
      <c r="AU46" s="90" t="s">
        <v>115</v>
      </c>
      <c r="AV46" s="139">
        <f xml:space="preserve"> SUM(AV41:AV44)</f>
        <v>10054.033733025468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249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408233.13300000003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540.13254235295005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195</v>
      </c>
      <c r="D48" s="150"/>
      <c r="E48" s="60" t="s">
        <v>209</v>
      </c>
      <c r="F48" s="308" t="s">
        <v>129</v>
      </c>
      <c r="G48" s="309">
        <v>450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193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164</v>
      </c>
      <c r="X49" s="152">
        <v>3.7854117839999999</v>
      </c>
      <c r="Y49" s="153"/>
      <c r="Z49" s="146" t="s">
        <v>165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193</v>
      </c>
      <c r="AL49" s="146" t="s">
        <v>166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244</v>
      </c>
      <c r="D50" s="57" t="s">
        <v>204</v>
      </c>
      <c r="E50" s="155"/>
      <c r="F50" s="156"/>
      <c r="G50" s="296">
        <v>450</v>
      </c>
      <c r="H50" s="27"/>
      <c r="J50" s="284">
        <f xml:space="preserve"> IF(ISERR(U43), 0, U43 / L31 * H31)</f>
        <v>241.19337762662511</v>
      </c>
      <c r="K50" s="69"/>
      <c r="L50" s="68" t="str">
        <f xml:space="preserve"> IF(AND(U43 &gt; 0, J50 &gt; 0, U43 &gt; J50), "Factor " &amp; TEXT(U43 / J50, "0.0") &amp; " x", "")</f>
        <v>Factor 1.9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46.4% additive dosage reduction; Dosage factor = 1.9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196</v>
      </c>
      <c r="D51" s="159"/>
      <c r="E51" s="60" t="s">
        <v>209</v>
      </c>
      <c r="F51" s="336" t="s">
        <v>140</v>
      </c>
      <c r="G51" s="310">
        <v>490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450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si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490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490</v>
      </c>
      <c r="H52" s="27"/>
      <c r="J52" s="338">
        <v>800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245</v>
      </c>
      <c r="D53" s="17" t="s">
        <v>197</v>
      </c>
      <c r="E53" s="17"/>
      <c r="F53" s="17"/>
      <c r="G53" s="77">
        <f xml:space="preserve"> IF(ISERR(U43), 0, IF(ISERR(U44), 0, IF(AND(U43 &gt; 0, U44 &gt; 0), U43 * U44 / 1000, 0)))</f>
        <v>220.5</v>
      </c>
      <c r="H53" s="133"/>
      <c r="J53" s="59">
        <v>192.95470210130009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12.5%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215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10,054.--. (Minus 12.5%)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252</v>
      </c>
      <c r="U57" s="166">
        <v>1</v>
      </c>
      <c r="V57" s="166">
        <f xml:space="preserve"> IF(IFERROR(SEARCH(T57, $F$46), 0) = 0, 0, U57)</f>
        <v>1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246</v>
      </c>
      <c r="D58" s="98"/>
      <c r="E58" s="98"/>
      <c r="F58" s="98"/>
      <c r="G58" s="98"/>
      <c r="H58" s="98"/>
      <c r="I58" s="98"/>
      <c r="J58" s="302" t="s">
        <v>247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08" t="s">
        <v>272</v>
      </c>
      <c r="I59" s="709"/>
      <c r="J59" s="312">
        <v>19000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10" t="s">
        <v>189</v>
      </c>
      <c r="I60" s="709"/>
      <c r="J60" s="313">
        <v>2100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205</v>
      </c>
      <c r="D61" s="17"/>
      <c r="E61" s="17"/>
      <c r="F61" s="17"/>
      <c r="G61" s="17"/>
      <c r="H61" s="17"/>
      <c r="I61" s="244"/>
      <c r="J61" s="250">
        <v>55615.21472392638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1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40" t="s">
        <v>269</v>
      </c>
      <c r="D62" s="150"/>
      <c r="E62" s="150"/>
      <c r="F62" s="150"/>
      <c r="G62" s="150"/>
      <c r="H62" s="711" t="s">
        <v>213</v>
      </c>
      <c r="I62" s="712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341" t="s">
        <v>206</v>
      </c>
      <c r="D63" s="159"/>
      <c r="E63" s="159"/>
      <c r="F63" s="159"/>
      <c r="G63" s="159"/>
      <c r="H63" s="713"/>
      <c r="I63" s="714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341" t="s">
        <v>207</v>
      </c>
      <c r="D64" s="159"/>
      <c r="E64" s="159"/>
      <c r="F64" s="159"/>
      <c r="G64" s="159"/>
      <c r="H64" s="713"/>
      <c r="I64" s="714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253</v>
      </c>
      <c r="D65" s="159"/>
      <c r="E65" s="159"/>
      <c r="F65" s="159"/>
      <c r="G65" s="159"/>
      <c r="H65" s="715"/>
      <c r="I65" s="716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203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218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212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My_Fe(OH)₃_Additive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191</v>
      </c>
      <c r="E71" s="57"/>
      <c r="F71" s="155"/>
      <c r="G71" s="283">
        <f xml:space="preserve"> IF(V28 &gt; 0, H114 / V28 * 100 / 1000, 0)</f>
        <v>456.11388809815952</v>
      </c>
      <c r="H71" s="276"/>
      <c r="I71" s="87"/>
      <c r="J71" s="284">
        <f xml:space="preserve"> H114 / X28 * 100 / 1000</f>
        <v>244.47033167290579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17" t="s">
        <v>235</v>
      </c>
      <c r="D74" s="717"/>
      <c r="E74" s="717"/>
      <c r="F74" s="717"/>
      <c r="G74" s="717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271</v>
      </c>
      <c r="D88" s="203"/>
      <c r="E88" s="203"/>
      <c r="F88" s="203"/>
      <c r="G88" s="203"/>
      <c r="H88" s="332" t="s">
        <v>272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273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274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187</v>
      </c>
      <c r="D92" s="203"/>
      <c r="E92" s="203"/>
      <c r="F92" s="203"/>
      <c r="G92" s="203"/>
      <c r="H92" s="257" t="s">
        <v>189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188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172</v>
      </c>
      <c r="D96" s="98"/>
      <c r="E96" s="98"/>
      <c r="F96" s="98"/>
      <c r="G96" s="98"/>
      <c r="H96" s="324">
        <v>34.08</v>
      </c>
      <c r="I96" s="87"/>
      <c r="J96" s="200" t="s">
        <v>173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175</v>
      </c>
      <c r="D97" s="98"/>
      <c r="E97" s="98"/>
      <c r="F97" s="98"/>
      <c r="G97" s="98"/>
      <c r="H97" s="324">
        <v>24.45</v>
      </c>
      <c r="I97" s="87"/>
      <c r="J97" s="282" t="s">
        <v>174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184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55615.21472392638</v>
      </c>
      <c r="I98" s="87"/>
      <c r="J98" s="87"/>
      <c r="K98" s="87"/>
      <c r="L98" s="255" t="s">
        <v>186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171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182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176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183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169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185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211</v>
      </c>
      <c r="H113" s="192">
        <f xml:space="preserve"> IF( H98 &gt; 0, H95 / H96 * (H98 + H110), 0)</f>
        <v>91133.5582822086</v>
      </c>
      <c r="L113" s="232" t="s">
        <v>180</v>
      </c>
    </row>
    <row r="114" spans="2:15" ht="15" hidden="1" customHeight="1">
      <c r="B114" s="174"/>
      <c r="C114" s="234" t="s">
        <v>210</v>
      </c>
      <c r="D114" s="235"/>
      <c r="E114" s="235"/>
      <c r="F114" s="235"/>
      <c r="G114" s="235"/>
      <c r="H114" s="192">
        <f xml:space="preserve"> IF(AND(J67 &gt; 0, H98 &gt; 0), J67 * H95 / H96 * (H98 + H110), 0)</f>
        <v>154927.04907975459</v>
      </c>
      <c r="J114" s="201"/>
      <c r="K114" s="174"/>
      <c r="L114" s="230">
        <f xml:space="preserve"> J60 / 1000 / H97 * H96 * J59</f>
        <v>55615.21472392638</v>
      </c>
      <c r="M114" s="174"/>
      <c r="N114" s="229" t="s">
        <v>178</v>
      </c>
      <c r="O114" s="174"/>
    </row>
    <row r="115" spans="2:15" ht="15" hidden="1" customHeight="1">
      <c r="B115" s="174"/>
      <c r="C115" s="236" t="s">
        <v>179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154927.04907975459</v>
      </c>
      <c r="M115" s="174"/>
      <c r="N115" s="229" t="s">
        <v>181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177</v>
      </c>
      <c r="H116" s="227">
        <f xml:space="preserve"> (IF(AND(ISNUMBER(J65), J65 &gt; 0), J65, H109) * J62 + J60 / 1000 / H97 * H96 * J59)</f>
        <v>55615.21472392638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7" priority="5">
      <formula xml:space="preserve"> NOT(N20 = "")</formula>
    </cfRule>
  </conditionalFormatting>
  <conditionalFormatting sqref="J59:J60 J62:J65 J67">
    <cfRule type="expression" dxfId="16" priority="4">
      <formula xml:space="preserve"> AND(MOD(J59 * 1000000, 100) &gt; 0.99, MOD(J59 * 1000000, 100) &lt; 1.01)</formula>
    </cfRule>
  </conditionalFormatting>
  <conditionalFormatting sqref="J52">
    <cfRule type="expression" dxfId="15" priority="3">
      <formula xml:space="preserve"> NOT($L$52 = "")</formula>
    </cfRule>
  </conditionalFormatting>
  <conditionalFormatting sqref="G49">
    <cfRule type="expression" dxfId="14" priority="6">
      <formula xml:space="preserve"> OR(NOT($AB$51), ISBLANK($F$48))</formula>
    </cfRule>
  </conditionalFormatting>
  <conditionalFormatting sqref="C65">
    <cfRule type="expression" dxfId="13" priority="2">
      <formula xml:space="preserve"> AND(ISBLANK($J$65), K65 = "")</formula>
    </cfRule>
  </conditionalFormatting>
  <conditionalFormatting sqref="L67">
    <cfRule type="expression" dxfId="12" priority="1">
      <formula>$L$59 &lt;&gt; ""</formula>
    </cfRule>
  </conditionalFormatting>
  <dataValidations count="8">
    <dataValidation type="list" allowBlank="1" showInputMessage="1" showErrorMessage="1" sqref="H59:I59">
      <formula1>$H$88:$H$90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list" allowBlank="1" showInputMessage="1" showErrorMessage="1" sqref="H60">
      <formula1>$H$92:$H$93</formula1>
    </dataValidation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InputMessage="1" showErrorMessage="1" sqref="F46">
      <formula1>$T$57:$T$59</formula1>
    </dataValidation>
    <dataValidation type="list" allowBlank="1" showInputMessage="1" showErrorMessage="1" errorTitle="Invalit timeframe" error="Please select one of the timeframes offered in the list box." sqref="L55:L56">
      <formula1>$AU$41:$AU$44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216</v>
      </c>
    </row>
    <row r="5" spans="2:50" ht="15" hidden="1" customHeight="1">
      <c r="B5" s="209" t="s">
        <v>217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168</v>
      </c>
      <c r="D18" s="8"/>
      <c r="E18" s="8"/>
      <c r="F18" s="337" t="s">
        <v>250</v>
      </c>
      <c r="G18" s="23" t="str">
        <f xml:space="preserve"> IF(OR(F18 = "", F18 = " ", F18 = "  "), "Your Additive", F18)</f>
        <v>My_FeCl₃_Additive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31.856750727962098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30.24833460456064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">
        <v>278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31.856750727962098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">
        <v>279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30.24833460456064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">
        <v>277</v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14.460124287933711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">
        <v>277</v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>Fe³⁺, "ferric"</v>
      </c>
      <c r="E24" s="30"/>
      <c r="F24" s="113" t="s">
        <v>280</v>
      </c>
      <c r="G24" s="305">
        <v>42</v>
      </c>
      <c r="H24" s="29">
        <f t="shared" si="0"/>
        <v>14.460124287933711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">
        <v>277</v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0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">
        <v>277</v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/>
      </c>
      <c r="E27" s="30"/>
      <c r="F27" s="113" t="s">
        <v>277</v>
      </c>
      <c r="G27" s="305"/>
      <c r="H27" s="29">
        <f t="shared" si="0"/>
        <v>0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14.460124287933711</v>
      </c>
      <c r="W27" s="120">
        <f xml:space="preserve"> SUM(W18:W26)</f>
        <v>31.856750727962098</v>
      </c>
      <c r="X27" s="121">
        <f xml:space="preserve"> SUM(X18:X26)</f>
        <v>30.24833460456064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">
        <v>277</v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14.460124287933711</v>
      </c>
      <c r="W28" s="123"/>
      <c r="X28" s="125">
        <f xml:space="preserve"> SUM(W18:X26)</f>
        <v>62.105085332522734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170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51.294914993506325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>
        <v>0</v>
      </c>
      <c r="H30" s="29"/>
      <c r="I30" s="87"/>
      <c r="J30" s="118">
        <f xml:space="preserve"> IF(X16 = 0, "", X16)</f>
        <v>2</v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14.460124287933711</v>
      </c>
      <c r="I31" s="8"/>
      <c r="J31" s="52"/>
      <c r="K31" s="66"/>
      <c r="L31" s="67">
        <f xml:space="preserve"> X28</f>
        <v>62.105085332522734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06"/>
    </row>
    <row r="32" spans="1:24" s="106" customFormat="1" ht="12" customHeight="1">
      <c r="A32" s="137"/>
      <c r="C32" s="48" t="s">
        <v>198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199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215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329.5% higher than the RIIC of My_FeCl₃_Additive.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4.3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190</v>
      </c>
      <c r="Y40" s="137"/>
      <c r="Z40" s="43" t="s">
        <v>106</v>
      </c>
      <c r="AA40" s="46">
        <f xml:space="preserve"> G48</f>
        <v>750</v>
      </c>
      <c r="AB40" s="47" t="s">
        <v>90</v>
      </c>
      <c r="AC40" s="138" t="s">
        <v>117</v>
      </c>
      <c r="AD40" s="138" t="s">
        <v>143</v>
      </c>
      <c r="AE40" s="268" t="s">
        <v>194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235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231.28853599179328</v>
      </c>
      <c r="AS40" s="45">
        <f xml:space="preserve"> J52</f>
        <v>750</v>
      </c>
      <c r="AU40" s="44" t="s">
        <v>118</v>
      </c>
      <c r="AV40" s="46">
        <f xml:space="preserve"> G53 - J53</f>
        <v>19.276650730780545</v>
      </c>
      <c r="AW40" s="139"/>
      <c r="AX40" s="139" t="s">
        <v>119</v>
      </c>
    </row>
    <row r="41" spans="1:50" s="106" customFormat="1" ht="15" hidden="1" customHeight="1">
      <c r="C41" s="288" t="s">
        <v>214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19.276650730780545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0</v>
      </c>
      <c r="AB42" s="142">
        <f xml:space="preserve"> G48</f>
        <v>750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235000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0.23128853599179328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134.93655511546382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340.1942775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750000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0</v>
      </c>
      <c r="AN43" s="142">
        <f xml:space="preserve"> G51</f>
        <v>235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0.10491071519434782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578.29952192341636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My_FeCl₃_Additive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231.28853599179328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192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235</v>
      </c>
      <c r="AU44" s="113" t="s">
        <v>136</v>
      </c>
      <c r="AV44" s="144">
        <f xml:space="preserve"> IF(IFERROR(SEARCH(AU44, $L$55), 0) = 0, 0, AW44)</f>
        <v>7035.9775167348989</v>
      </c>
      <c r="AW44" s="143">
        <f xml:space="preserve"> AV40 * 365</f>
        <v>7035.9775167348989</v>
      </c>
      <c r="AX44" s="143" t="s">
        <v>116</v>
      </c>
    </row>
    <row r="45" spans="1:50" s="106" customFormat="1" ht="15" customHeight="1">
      <c r="A45" s="137"/>
      <c r="B45" s="8"/>
      <c r="C45" s="303" t="s">
        <v>248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750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340.1942775</v>
      </c>
      <c r="AB45" s="142">
        <f xml:space="preserve"> G48 * X43</f>
        <v>340.1942775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518086.31613446231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209.82143038869563</v>
      </c>
    </row>
    <row r="46" spans="1:50" s="106" customFormat="1" ht="15" customHeight="1">
      <c r="A46" s="137"/>
      <c r="B46" s="8"/>
      <c r="C46" s="8" t="s">
        <v>219</v>
      </c>
      <c r="D46" s="21"/>
      <c r="E46" s="275" t="s">
        <v>208</v>
      </c>
      <c r="F46" s="336" t="s">
        <v>159</v>
      </c>
      <c r="G46" s="293" t="s">
        <v>277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190</v>
      </c>
      <c r="X46" s="265" t="s">
        <v>190</v>
      </c>
      <c r="Y46" s="137"/>
      <c r="Z46" s="146" t="s">
        <v>156</v>
      </c>
      <c r="AA46" s="142">
        <f t="shared" si="3"/>
        <v>0</v>
      </c>
      <c r="AB46" s="142">
        <f xml:space="preserve"> G48 * X44</f>
        <v>762035.17500000005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231.28853599179328</v>
      </c>
      <c r="AN46" s="142">
        <f xml:space="preserve"> G51 / X44 * 1000</f>
        <v>231.28853599179328</v>
      </c>
      <c r="AO46" s="142"/>
      <c r="AU46" s="90" t="s">
        <v>115</v>
      </c>
      <c r="AV46" s="139">
        <f xml:space="preserve"> SUM(AV41:AV44)</f>
        <v>7035.9775167348989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250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680388.55500000005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259.04315806723116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195</v>
      </c>
      <c r="D48" s="150"/>
      <c r="E48" s="60" t="s">
        <v>209</v>
      </c>
      <c r="F48" s="308" t="s">
        <v>132</v>
      </c>
      <c r="G48" s="309">
        <v>750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193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164</v>
      </c>
      <c r="X49" s="152">
        <v>3.7854117839999999</v>
      </c>
      <c r="Y49" s="153"/>
      <c r="Z49" s="146" t="s">
        <v>165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193</v>
      </c>
      <c r="AL49" s="146" t="s">
        <v>166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244</v>
      </c>
      <c r="D50" s="57" t="s">
        <v>204</v>
      </c>
      <c r="E50" s="155"/>
      <c r="F50" s="156"/>
      <c r="G50" s="296">
        <v>340.1942775</v>
      </c>
      <c r="H50" s="27"/>
      <c r="J50" s="284">
        <f xml:space="preserve"> IF(ISERR(U43), 0, U43 / L31 * H31)</f>
        <v>79.208514219973765</v>
      </c>
      <c r="K50" s="69"/>
      <c r="L50" s="68" t="str">
        <f xml:space="preserve"> IF(AND(U43 &gt; 0, J50 &gt; 0, U43 &gt; J50), "Factor " &amp; TEXT(U43 / J50, "0.0") &amp; " x", "")</f>
        <v>Factor 4.3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76.7% additive dosage reduction; Dosage factor = 4.3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196</v>
      </c>
      <c r="D51" s="159"/>
      <c r="E51" s="60" t="s">
        <v>209</v>
      </c>
      <c r="F51" s="336" t="s">
        <v>153</v>
      </c>
      <c r="G51" s="310">
        <v>235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340.1942775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uk/us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231.28853599179328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231.28853599179328</v>
      </c>
      <c r="H52" s="27"/>
      <c r="J52" s="338">
        <v>750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245</v>
      </c>
      <c r="D53" s="17" t="s">
        <v>197</v>
      </c>
      <c r="E53" s="17"/>
      <c r="F53" s="17"/>
      <c r="G53" s="77">
        <f xml:space="preserve"> IF(ISERR(U43), 0, IF(ISERR(U44), 0, IF(AND(U43 &gt; 0, U44 &gt; 0), U43 * U44 / 1000, 0)))</f>
        <v>78.683036395760865</v>
      </c>
      <c r="H53" s="133"/>
      <c r="J53" s="59">
        <v>59.40638566498032</v>
      </c>
      <c r="K53" s="70"/>
      <c r="L53" s="68" t="str">
        <f xml:space="preserve"> IF(AND(G53 &gt; 0, J53 &gt; 0, G53 &gt; J53), "Factor " &amp; TEXT(G53 / J53, "0.0") &amp; " x", "")</f>
        <v>Factor 1.3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24.5% additive cost reduction; Cost factor = 1.3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215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7,036.--. (Minus 24.5%)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252</v>
      </c>
      <c r="U57" s="166">
        <v>1</v>
      </c>
      <c r="V57" s="166">
        <f xml:space="preserve"> IF(IFERROR(SEARCH(T57, $F$46), 0) = 0, 0, U57)</f>
        <v>0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246</v>
      </c>
      <c r="D58" s="98"/>
      <c r="E58" s="98"/>
      <c r="F58" s="98"/>
      <c r="G58" s="98"/>
      <c r="H58" s="98"/>
      <c r="I58" s="98"/>
      <c r="J58" s="302" t="s">
        <v>247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2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08" t="s">
        <v>272</v>
      </c>
      <c r="I59" s="709"/>
      <c r="J59" s="312">
        <v>3650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10" t="s">
        <v>189</v>
      </c>
      <c r="I60" s="709"/>
      <c r="J60" s="313">
        <v>3500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205</v>
      </c>
      <c r="D61" s="17"/>
      <c r="E61" s="17"/>
      <c r="F61" s="17"/>
      <c r="G61" s="17"/>
      <c r="H61" s="17"/>
      <c r="I61" s="244"/>
      <c r="J61" s="250">
        <v>17806.625766871162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2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25" t="s">
        <v>269</v>
      </c>
      <c r="D62" s="150"/>
      <c r="E62" s="150"/>
      <c r="F62" s="150"/>
      <c r="G62" s="150"/>
      <c r="H62" s="711" t="s">
        <v>213</v>
      </c>
      <c r="I62" s="712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285" t="s">
        <v>206</v>
      </c>
      <c r="D63" s="159"/>
      <c r="E63" s="159"/>
      <c r="F63" s="159"/>
      <c r="G63" s="159"/>
      <c r="H63" s="713"/>
      <c r="I63" s="714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285" t="s">
        <v>207</v>
      </c>
      <c r="D64" s="159"/>
      <c r="E64" s="159"/>
      <c r="F64" s="159"/>
      <c r="G64" s="159"/>
      <c r="H64" s="713"/>
      <c r="I64" s="714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253</v>
      </c>
      <c r="D65" s="159"/>
      <c r="E65" s="159"/>
      <c r="F65" s="159"/>
      <c r="G65" s="159"/>
      <c r="H65" s="715"/>
      <c r="I65" s="716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203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218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212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My_FeCl₃_Additive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191</v>
      </c>
      <c r="E71" s="57"/>
      <c r="F71" s="155"/>
      <c r="G71" s="283">
        <f xml:space="preserve"> IF(V28 &gt; 0, H114 / V28 * 100 / 1000, 0)</f>
        <v>343.03879345603275</v>
      </c>
      <c r="H71" s="276"/>
      <c r="I71" s="87"/>
      <c r="J71" s="284">
        <f xml:space="preserve"> H114 / X28 * 100 / 1000</f>
        <v>79.870811905308472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17" t="s">
        <v>235</v>
      </c>
      <c r="D74" s="717"/>
      <c r="E74" s="717"/>
      <c r="F74" s="717"/>
      <c r="G74" s="717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271</v>
      </c>
      <c r="D88" s="203"/>
      <c r="E88" s="203"/>
      <c r="F88" s="203"/>
      <c r="G88" s="203"/>
      <c r="H88" s="332" t="s">
        <v>272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273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274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187</v>
      </c>
      <c r="D92" s="203"/>
      <c r="E92" s="203"/>
      <c r="F92" s="203"/>
      <c r="G92" s="203"/>
      <c r="H92" s="257" t="s">
        <v>189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188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172</v>
      </c>
      <c r="D96" s="98"/>
      <c r="E96" s="98"/>
      <c r="F96" s="98"/>
      <c r="G96" s="98"/>
      <c r="H96" s="324">
        <v>34.08</v>
      </c>
      <c r="I96" s="87"/>
      <c r="J96" s="200" t="s">
        <v>173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175</v>
      </c>
      <c r="D97" s="98"/>
      <c r="E97" s="98"/>
      <c r="F97" s="98"/>
      <c r="G97" s="98"/>
      <c r="H97" s="324">
        <v>24.45</v>
      </c>
      <c r="I97" s="87"/>
      <c r="J97" s="282" t="s">
        <v>174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184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17806.625766871162</v>
      </c>
      <c r="I98" s="87"/>
      <c r="J98" s="87"/>
      <c r="K98" s="87"/>
      <c r="L98" s="255" t="s">
        <v>186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171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182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176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183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169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185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211</v>
      </c>
      <c r="H113" s="192">
        <f xml:space="preserve"> IF( H98 &gt; 0, H95 / H96 * (H98 + H110), 0)</f>
        <v>29178.726993865028</v>
      </c>
      <c r="L113" s="232" t="s">
        <v>180</v>
      </c>
    </row>
    <row r="114" spans="2:15" ht="15" hidden="1" customHeight="1">
      <c r="B114" s="174"/>
      <c r="C114" s="234" t="s">
        <v>210</v>
      </c>
      <c r="D114" s="235"/>
      <c r="E114" s="235"/>
      <c r="F114" s="235"/>
      <c r="G114" s="235"/>
      <c r="H114" s="192">
        <f xml:space="preserve"> IF(AND(J67 &gt; 0, H98 &gt; 0), J67 * H95 / H96 * (H98 + H110), 0)</f>
        <v>49603.835889570546</v>
      </c>
      <c r="J114" s="201"/>
      <c r="K114" s="174"/>
      <c r="L114" s="230">
        <f xml:space="preserve"> J60 / 1000 / H97 * H96 * J59</f>
        <v>17806.625766871162</v>
      </c>
      <c r="M114" s="174"/>
      <c r="N114" s="229" t="s">
        <v>178</v>
      </c>
      <c r="O114" s="174"/>
    </row>
    <row r="115" spans="2:15" ht="15" hidden="1" customHeight="1">
      <c r="B115" s="174"/>
      <c r="C115" s="236" t="s">
        <v>179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49603.835889570546</v>
      </c>
      <c r="M115" s="174"/>
      <c r="N115" s="229" t="s">
        <v>181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177</v>
      </c>
      <c r="H116" s="227">
        <f xml:space="preserve"> (IF(AND(ISNUMBER(J65), J65 &gt; 0), J65, H109) * J62 + J60 / 1000 / H97 * H96 * J59)</f>
        <v>17806.625766871162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1" priority="5">
      <formula xml:space="preserve"> NOT(N20 = "")</formula>
    </cfRule>
  </conditionalFormatting>
  <conditionalFormatting sqref="J59:J60 J62:J65 J67">
    <cfRule type="expression" dxfId="10" priority="4">
      <formula xml:space="preserve"> AND(MOD(J59 * 1000000, 100) &gt; 0.99, MOD(J59 * 1000000, 100) &lt; 1.01)</formula>
    </cfRule>
  </conditionalFormatting>
  <conditionalFormatting sqref="J52">
    <cfRule type="expression" dxfId="9" priority="3">
      <formula xml:space="preserve"> NOT($L$52 = "")</formula>
    </cfRule>
  </conditionalFormatting>
  <conditionalFormatting sqref="G49">
    <cfRule type="expression" dxfId="8" priority="6">
      <formula xml:space="preserve"> OR(NOT($AB$51), ISBLANK($F$48))</formula>
    </cfRule>
  </conditionalFormatting>
  <conditionalFormatting sqref="C65">
    <cfRule type="expression" dxfId="7" priority="2">
      <formula xml:space="preserve"> AND(ISBLANK($J$65), K65 = "")</formula>
    </cfRule>
  </conditionalFormatting>
  <conditionalFormatting sqref="L67">
    <cfRule type="expression" dxfId="6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216</v>
      </c>
    </row>
    <row r="5" spans="2:50" ht="15" hidden="1" customHeight="1">
      <c r="B5" s="209" t="s">
        <v>217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1.5</v>
      </c>
      <c r="W16" s="100" t="s">
        <v>80</v>
      </c>
      <c r="X16" s="102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168</v>
      </c>
      <c r="D18" s="8"/>
      <c r="E18" s="8"/>
      <c r="F18" s="337" t="s">
        <v>251</v>
      </c>
      <c r="G18" s="23" t="str">
        <f xml:space="preserve"> IF(OR(F18 = "", F18 = " ", F18 = "  "), "Your Additive", F18)</f>
        <v>My_FeO(OH)_Additive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31.856750727962098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30.24833460456064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">
        <v>278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31.856750727962098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">
        <v>279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30.24833460456064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">
        <v>277</v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">
        <v>277</v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44.574562073854707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">
        <v>277</v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>Fe³⁺, "ferric"</v>
      </c>
      <c r="E25" s="30"/>
      <c r="F25" s="113" t="s">
        <v>281</v>
      </c>
      <c r="G25" s="306">
        <v>72</v>
      </c>
      <c r="H25" s="29">
        <f t="shared" si="0"/>
        <v>44.574562073854707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0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">
        <v>277</v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/>
      </c>
      <c r="E27" s="30"/>
      <c r="F27" s="113" t="s">
        <v>277</v>
      </c>
      <c r="G27" s="305"/>
      <c r="H27" s="29">
        <f t="shared" si="0"/>
        <v>0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44.574562073854707</v>
      </c>
      <c r="W27" s="120">
        <f xml:space="preserve"> SUM(W18:W26)</f>
        <v>31.856750727962098</v>
      </c>
      <c r="X27" s="121">
        <f xml:space="preserve"> SUM(X18:X26)</f>
        <v>30.24833460456064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">
        <v>277</v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44.574562073854707</v>
      </c>
      <c r="W28" s="123"/>
      <c r="X28" s="125">
        <f xml:space="preserve"> SUM(W18:X26)</f>
        <v>62.105085332522734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170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51.294914993506325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>
        <v>1.5</v>
      </c>
      <c r="H30" s="29"/>
      <c r="I30" s="87"/>
      <c r="J30" s="118">
        <f xml:space="preserve"> IF(X16 = 0, "", X16)</f>
        <v>2</v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44.574562073854707</v>
      </c>
      <c r="I31" s="8"/>
      <c r="J31" s="52"/>
      <c r="K31" s="66"/>
      <c r="L31" s="67">
        <f xml:space="preserve"> X28</f>
        <v>62.105085332522734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06"/>
    </row>
    <row r="32" spans="1:24" s="106" customFormat="1" ht="12" customHeight="1">
      <c r="A32" s="137"/>
      <c r="C32" s="48" t="s">
        <v>198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199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215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39.3% higher than the RIIC of My_FeO(OH)_Additive.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1.4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190</v>
      </c>
      <c r="Y40" s="137"/>
      <c r="Z40" s="43" t="s">
        <v>106</v>
      </c>
      <c r="AA40" s="46">
        <f xml:space="preserve"> G48</f>
        <v>500</v>
      </c>
      <c r="AB40" s="47" t="s">
        <v>90</v>
      </c>
      <c r="AC40" s="138" t="s">
        <v>117</v>
      </c>
      <c r="AD40" s="138" t="s">
        <v>143</v>
      </c>
      <c r="AE40" s="268" t="s">
        <v>194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990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1091.288197815144</v>
      </c>
      <c r="AS40" s="45">
        <f xml:space="preserve"> J52</f>
        <v>1340</v>
      </c>
      <c r="AU40" s="44" t="s">
        <v>118</v>
      </c>
      <c r="AV40" s="46">
        <f xml:space="preserve"> G53 - J53</f>
        <v>27.749720734420521</v>
      </c>
      <c r="AW40" s="139"/>
      <c r="AX40" s="139" t="s">
        <v>119</v>
      </c>
    </row>
    <row r="41" spans="1:50" s="106" customFormat="1" ht="15" hidden="1" customHeight="1">
      <c r="C41" s="288" t="s">
        <v>214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27.749720734420521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0</v>
      </c>
      <c r="AB42" s="142">
        <f xml:space="preserve"> G48</f>
        <v>500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990000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1.0912881978151441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194.24804514094365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226.79618500000001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500000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0</v>
      </c>
      <c r="AN43" s="142">
        <f xml:space="preserve"> G51</f>
        <v>990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0.49500000000000005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832.49162203261562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My_FeO(OH)_Additive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1091.288197815144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192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1108.799990396664</v>
      </c>
      <c r="AU44" s="113" t="s">
        <v>136</v>
      </c>
      <c r="AV44" s="144">
        <f xml:space="preserve"> IF(IFERROR(SEARCH(AU44, $L$55), 0) = 0, 0, AW44)</f>
        <v>10128.64806806349</v>
      </c>
      <c r="AW44" s="143">
        <f xml:space="preserve"> AV40 * 365</f>
        <v>10128.64806806349</v>
      </c>
      <c r="AX44" s="143" t="s">
        <v>116</v>
      </c>
    </row>
    <row r="45" spans="1:50" s="106" customFormat="1" ht="15" customHeight="1">
      <c r="A45" s="137"/>
      <c r="B45" s="8"/>
      <c r="C45" s="303" t="s">
        <v>248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1340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226.79618500000001</v>
      </c>
      <c r="AB45" s="142">
        <f xml:space="preserve"> G48 * X43</f>
        <v>226.79618500000001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2182576.3956302879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990.00000000000011</v>
      </c>
    </row>
    <row r="46" spans="1:50" s="106" customFormat="1" ht="15" customHeight="1">
      <c r="A46" s="137"/>
      <c r="B46" s="8"/>
      <c r="C46" s="8" t="s">
        <v>219</v>
      </c>
      <c r="D46" s="21"/>
      <c r="E46" s="275" t="s">
        <v>208</v>
      </c>
      <c r="F46" s="336" t="s">
        <v>146</v>
      </c>
      <c r="G46" s="293" t="s">
        <v>277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190</v>
      </c>
      <c r="X46" s="265" t="s">
        <v>190</v>
      </c>
      <c r="Y46" s="137"/>
      <c r="Z46" s="146" t="s">
        <v>156</v>
      </c>
      <c r="AA46" s="142">
        <f t="shared" si="3"/>
        <v>0</v>
      </c>
      <c r="AB46" s="142">
        <f xml:space="preserve"> G48 * X44</f>
        <v>508023.45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974.36447077393757</v>
      </c>
      <c r="AO46" s="142"/>
      <c r="AU46" s="90" t="s">
        <v>115</v>
      </c>
      <c r="AV46" s="139">
        <f xml:space="preserve"> SUM(AV41:AV44)</f>
        <v>10128.64806806349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251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453592.37</v>
      </c>
      <c r="AC47" s="142"/>
      <c r="AD47" s="142"/>
      <c r="AE47" s="142"/>
      <c r="AF47" s="142"/>
      <c r="AL47" s="146" t="s">
        <v>152</v>
      </c>
      <c r="AM47" s="142">
        <f t="shared" si="4"/>
        <v>1091.288197815144</v>
      </c>
      <c r="AN47" s="142">
        <f xml:space="preserve"> G51 / X45 * 1000</f>
        <v>1091.288197815144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195</v>
      </c>
      <c r="D48" s="150"/>
      <c r="E48" s="60" t="s">
        <v>209</v>
      </c>
      <c r="F48" s="308" t="s">
        <v>132</v>
      </c>
      <c r="G48" s="309">
        <v>500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193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164</v>
      </c>
      <c r="X49" s="152">
        <v>3.7854117839999999</v>
      </c>
      <c r="Y49" s="153"/>
      <c r="Z49" s="146" t="s">
        <v>165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193</v>
      </c>
      <c r="AL49" s="146" t="s">
        <v>166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244</v>
      </c>
      <c r="D50" s="57" t="s">
        <v>204</v>
      </c>
      <c r="E50" s="155"/>
      <c r="F50" s="156"/>
      <c r="G50" s="296">
        <v>226.79618500000001</v>
      </c>
      <c r="H50" s="27"/>
      <c r="J50" s="284">
        <f xml:space="preserve"> IF(ISERR(U43), 0, U43 / L31 * H31)</f>
        <v>162.77798464116998</v>
      </c>
      <c r="K50" s="69"/>
      <c r="L50" s="68" t="str">
        <f xml:space="preserve"> IF(AND(U43 &gt; 0, J50 &gt; 0, U43 &gt; J50), "Factor " &amp; TEXT(U43 / J50, "0.0") &amp; " x", "")</f>
        <v>Factor 1.4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28.2% additive dosage reduction; Dosage factor = 1.4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196</v>
      </c>
      <c r="D51" s="159"/>
      <c r="E51" s="60" t="s">
        <v>209</v>
      </c>
      <c r="F51" s="336" t="s">
        <v>152</v>
      </c>
      <c r="G51" s="310">
        <v>990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226.79618500000001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uk/us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1091.288197815144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1091.288197815144</v>
      </c>
      <c r="H52" s="27"/>
      <c r="J52" s="338">
        <v>1340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245</v>
      </c>
      <c r="D53" s="17" t="s">
        <v>197</v>
      </c>
      <c r="E53" s="17"/>
      <c r="F53" s="17"/>
      <c r="G53" s="77">
        <f xml:space="preserve"> IF(ISERR(U43), 0, IF(ISERR(U44), 0, IF(AND(U43 &gt; 0, U44 &gt; 0), U43 * U44 / 1000, 0)))</f>
        <v>247.5</v>
      </c>
      <c r="H53" s="133"/>
      <c r="J53" s="59">
        <v>219.75027926557948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11.2%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215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10,129.--. (Minus 11.2%)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252</v>
      </c>
      <c r="U57" s="166">
        <v>1</v>
      </c>
      <c r="V57" s="166">
        <f xml:space="preserve"> IF(IFERROR(SEARCH(T57, $F$46), 0) = 0, 0, U57)</f>
        <v>0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246</v>
      </c>
      <c r="D58" s="98"/>
      <c r="E58" s="98"/>
      <c r="F58" s="98"/>
      <c r="G58" s="98"/>
      <c r="H58" s="98"/>
      <c r="I58" s="98"/>
      <c r="J58" s="302" t="s">
        <v>247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08" t="s">
        <v>272</v>
      </c>
      <c r="I59" s="709"/>
      <c r="J59" s="312">
        <v>17500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3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10" t="s">
        <v>189</v>
      </c>
      <c r="I60" s="709"/>
      <c r="J60" s="313">
        <v>1500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205</v>
      </c>
      <c r="D61" s="17"/>
      <c r="E61" s="17"/>
      <c r="F61" s="17"/>
      <c r="G61" s="17"/>
      <c r="H61" s="17"/>
      <c r="I61" s="244"/>
      <c r="J61" s="250">
        <v>36588.95705521472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3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25" t="s">
        <v>269</v>
      </c>
      <c r="D62" s="150"/>
      <c r="E62" s="150"/>
      <c r="F62" s="150"/>
      <c r="G62" s="150"/>
      <c r="H62" s="718" t="s">
        <v>213</v>
      </c>
      <c r="I62" s="712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285" t="s">
        <v>206</v>
      </c>
      <c r="D63" s="159"/>
      <c r="E63" s="159"/>
      <c r="F63" s="159"/>
      <c r="G63" s="159"/>
      <c r="H63" s="713"/>
      <c r="I63" s="714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285" t="s">
        <v>207</v>
      </c>
      <c r="D64" s="159"/>
      <c r="E64" s="159"/>
      <c r="F64" s="159"/>
      <c r="G64" s="159"/>
      <c r="H64" s="713"/>
      <c r="I64" s="714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253</v>
      </c>
      <c r="D65" s="159"/>
      <c r="E65" s="159"/>
      <c r="F65" s="159"/>
      <c r="G65" s="159"/>
      <c r="H65" s="715"/>
      <c r="I65" s="716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203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218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212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My_FeO(OH)_Additive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191</v>
      </c>
      <c r="E71" s="57"/>
      <c r="F71" s="155"/>
      <c r="G71" s="283">
        <f xml:space="preserve"> IF(V28 &gt; 0, H114 / V28 * 100 / 1000, 0)</f>
        <v>228.66335739916056</v>
      </c>
      <c r="H71" s="276"/>
      <c r="I71" s="87"/>
      <c r="J71" s="284">
        <f xml:space="preserve"> H114 / X28 * 100 / 1000</f>
        <v>164.11810665474343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17" t="s">
        <v>235</v>
      </c>
      <c r="D74" s="717"/>
      <c r="E74" s="717"/>
      <c r="F74" s="717"/>
      <c r="G74" s="717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271</v>
      </c>
      <c r="D88" s="203"/>
      <c r="E88" s="203"/>
      <c r="F88" s="203"/>
      <c r="G88" s="203"/>
      <c r="H88" s="332" t="s">
        <v>272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273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274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187</v>
      </c>
      <c r="D92" s="203"/>
      <c r="E92" s="203"/>
      <c r="F92" s="203"/>
      <c r="G92" s="203"/>
      <c r="H92" s="257" t="s">
        <v>189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188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172</v>
      </c>
      <c r="D96" s="98"/>
      <c r="E96" s="98"/>
      <c r="F96" s="98"/>
      <c r="G96" s="98"/>
      <c r="H96" s="324">
        <v>34.08</v>
      </c>
      <c r="I96" s="87"/>
      <c r="J96" s="200" t="s">
        <v>173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175</v>
      </c>
      <c r="D97" s="98"/>
      <c r="E97" s="98"/>
      <c r="F97" s="98"/>
      <c r="G97" s="98"/>
      <c r="H97" s="324">
        <v>24.45</v>
      </c>
      <c r="I97" s="87"/>
      <c r="J97" s="282" t="s">
        <v>174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184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36588.95705521472</v>
      </c>
      <c r="I98" s="87"/>
      <c r="J98" s="87"/>
      <c r="K98" s="87"/>
      <c r="L98" s="255" t="s">
        <v>186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171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182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176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183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169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185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211</v>
      </c>
      <c r="H113" s="192">
        <f xml:space="preserve"> IF( H98 &gt; 0, H95 / H96 * (H98 + H110), 0)</f>
        <v>59956.288343558277</v>
      </c>
      <c r="L113" s="232" t="s">
        <v>180</v>
      </c>
    </row>
    <row r="114" spans="2:15" ht="15" hidden="1" customHeight="1">
      <c r="B114" s="174"/>
      <c r="C114" s="234" t="s">
        <v>210</v>
      </c>
      <c r="D114" s="235"/>
      <c r="E114" s="235"/>
      <c r="F114" s="235"/>
      <c r="G114" s="235"/>
      <c r="H114" s="192">
        <f xml:space="preserve"> IF(AND(J67 &gt; 0, H98 &gt; 0), J67 * H95 / H96 * (H98 + H110), 0)</f>
        <v>101925.69018404908</v>
      </c>
      <c r="J114" s="201"/>
      <c r="K114" s="174"/>
      <c r="L114" s="230">
        <f xml:space="preserve"> J60 / 1000 / H97 * H96 * J59</f>
        <v>36588.95705521472</v>
      </c>
      <c r="M114" s="174"/>
      <c r="N114" s="229" t="s">
        <v>178</v>
      </c>
      <c r="O114" s="174"/>
    </row>
    <row r="115" spans="2:15" ht="15" hidden="1" customHeight="1">
      <c r="B115" s="174"/>
      <c r="C115" s="236" t="s">
        <v>179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101925.69018404908</v>
      </c>
      <c r="M115" s="174"/>
      <c r="N115" s="229" t="s">
        <v>181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177</v>
      </c>
      <c r="H116" s="227">
        <f xml:space="preserve"> (IF(AND(ISNUMBER(J65), J65 &gt; 0), J65, H109) * J62 + J60 / 1000 / H97 * H96 * J59)</f>
        <v>36588.95705521472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5" priority="5">
      <formula xml:space="preserve"> NOT(N20 = "")</formula>
    </cfRule>
  </conditionalFormatting>
  <conditionalFormatting sqref="J59:J60 J62:J65 J67">
    <cfRule type="expression" dxfId="4" priority="4">
      <formula xml:space="preserve"> AND(MOD(J59 * 1000000, 100) &gt; 0.99, MOD(J59 * 1000000, 100) &lt; 1.01)</formula>
    </cfRule>
  </conditionalFormatting>
  <conditionalFormatting sqref="J52">
    <cfRule type="expression" dxfId="3" priority="3">
      <formula xml:space="preserve"> NOT($L$52 = "")</formula>
    </cfRule>
  </conditionalFormatting>
  <conditionalFormatting sqref="G49">
    <cfRule type="expression" dxfId="2" priority="6">
      <formula xml:space="preserve"> OR(NOT($AB$51), ISBLANK($F$48))</formula>
    </cfRule>
  </conditionalFormatting>
  <conditionalFormatting sqref="C65">
    <cfRule type="expression" dxfId="1" priority="2">
      <formula xml:space="preserve"> AND(ISBLANK($J$65), K65 = "")</formula>
    </cfRule>
  </conditionalFormatting>
  <conditionalFormatting sqref="L67">
    <cfRule type="expression" dxfId="0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N141"/>
  <sheetViews>
    <sheetView showGridLines="0" zoomScaleNormal="100" workbookViewId="0">
      <selection activeCell="C5" sqref="C5"/>
    </sheetView>
  </sheetViews>
  <sheetFormatPr defaultRowHeight="15"/>
  <cols>
    <col min="1" max="1" width="2.75" style="557" customWidth="1"/>
    <col min="2" max="2" width="31.5" style="557" customWidth="1"/>
    <col min="3" max="3" width="14.375" style="557" customWidth="1"/>
    <col min="4" max="4" width="3.625" style="557" customWidth="1"/>
    <col min="5" max="5" width="14.375" style="557" customWidth="1"/>
    <col min="6" max="6" width="3.625" style="557" customWidth="1"/>
    <col min="7" max="7" width="14.375" style="557" customWidth="1"/>
    <col min="8" max="8" width="3.625" style="557" customWidth="1"/>
    <col min="9" max="9" width="14.375" style="557" customWidth="1"/>
    <col min="10" max="10" width="3.625" style="557" customWidth="1"/>
    <col min="11" max="11" width="14.375" style="557" customWidth="1"/>
    <col min="12" max="12" width="9" style="557"/>
    <col min="13" max="13" width="16" style="557" customWidth="1"/>
    <col min="14" max="14" width="12.125" style="557" customWidth="1"/>
    <col min="15" max="15" width="13.75" style="557" customWidth="1"/>
    <col min="16" max="16" width="0.875" style="557" customWidth="1"/>
    <col min="17" max="17" width="9" style="557" customWidth="1"/>
    <col min="18" max="18" width="9" style="557"/>
    <col min="19" max="19" width="17.625" style="557" customWidth="1"/>
    <col min="20" max="32" width="7.625" style="557" customWidth="1"/>
    <col min="33" max="34" width="11.125" style="557" customWidth="1"/>
    <col min="35" max="92" width="9" style="557"/>
    <col min="93" max="93" width="11.625" style="557" customWidth="1"/>
    <col min="94" max="94" width="15" style="557" customWidth="1"/>
    <col min="95" max="95" width="17.375" style="557" customWidth="1"/>
    <col min="96" max="97" width="9" style="557"/>
    <col min="98" max="98" width="5.625" style="557" customWidth="1"/>
    <col min="99" max="99" width="11.625" style="557" customWidth="1"/>
    <col min="100" max="100" width="15" style="557" customWidth="1"/>
    <col min="101" max="101" width="17.75" style="557" customWidth="1"/>
    <col min="102" max="102" width="9.25" style="557" bestFit="1" customWidth="1"/>
    <col min="103" max="104" width="9" style="557"/>
    <col min="105" max="106" width="14.5" style="557" customWidth="1"/>
    <col min="107" max="108" width="9" style="557"/>
    <col min="109" max="110" width="13.875" style="557" customWidth="1"/>
    <col min="111" max="111" width="18.625" style="631" customWidth="1"/>
    <col min="112" max="112" width="18.625" style="632" customWidth="1"/>
    <col min="113" max="114" width="18.625" style="631" customWidth="1"/>
    <col min="115" max="116" width="14.75" style="557" customWidth="1"/>
    <col min="117" max="117" width="20.25" style="557" customWidth="1"/>
    <col min="118" max="118" width="28.25" style="557" customWidth="1"/>
    <col min="119" max="119" width="9.375" style="557" bestFit="1" customWidth="1"/>
    <col min="120" max="16384" width="9" style="557"/>
  </cols>
  <sheetData>
    <row r="1" spans="2:114" s="610" customFormat="1" ht="15" customHeight="1">
      <c r="DG1" s="631"/>
      <c r="DH1" s="631"/>
      <c r="DI1" s="631"/>
      <c r="DJ1" s="631"/>
    </row>
    <row r="2" spans="2:114" s="610" customFormat="1" ht="15" customHeight="1">
      <c r="B2" s="299" t="s">
        <v>270</v>
      </c>
      <c r="M2" s="299" t="s">
        <v>226</v>
      </c>
      <c r="DG2" s="631"/>
      <c r="DH2" s="631"/>
      <c r="DI2" s="631"/>
      <c r="DJ2" s="631"/>
    </row>
    <row r="3" spans="2:114" s="610" customFormat="1" ht="15" customHeight="1">
      <c r="M3" s="610" t="s">
        <v>330</v>
      </c>
      <c r="Q3" s="610" t="s">
        <v>225</v>
      </c>
      <c r="DG3" s="631"/>
      <c r="DH3" s="631"/>
      <c r="DI3" s="631"/>
      <c r="DJ3" s="631"/>
    </row>
    <row r="4" spans="2:114" s="610" customFormat="1" ht="15" customHeight="1">
      <c r="B4" s="611" t="s">
        <v>220</v>
      </c>
      <c r="C4" s="274" t="s">
        <v>188</v>
      </c>
      <c r="D4" s="612" t="s">
        <v>202</v>
      </c>
      <c r="E4" s="280" t="s">
        <v>189</v>
      </c>
      <c r="M4" s="613" t="s">
        <v>314</v>
      </c>
      <c r="N4" s="613"/>
      <c r="O4" s="614"/>
      <c r="Q4" s="613" t="s">
        <v>315</v>
      </c>
      <c r="R4" s="613"/>
      <c r="S4" s="614"/>
      <c r="DG4" s="631"/>
      <c r="DH4" s="631"/>
      <c r="DI4" s="631"/>
      <c r="DJ4" s="631"/>
    </row>
    <row r="5" spans="2:114" s="610" customFormat="1" ht="15" customHeight="1">
      <c r="B5" s="615"/>
      <c r="C5" s="616">
        <v>1000</v>
      </c>
      <c r="D5" s="617" t="s">
        <v>200</v>
      </c>
      <c r="E5" s="618">
        <f xml:space="preserve"> C5 *'RIIC Calculator'!H97 / 'RIIC Calculator'!H96</f>
        <v>717.42957746478874</v>
      </c>
      <c r="G5" s="619"/>
      <c r="M5" s="610" t="s">
        <v>224</v>
      </c>
      <c r="Q5" s="610" t="s">
        <v>243</v>
      </c>
      <c r="DG5" s="631"/>
      <c r="DH5" s="631"/>
      <c r="DI5" s="631"/>
      <c r="DJ5" s="631"/>
    </row>
    <row r="6" spans="2:114" s="610" customFormat="1" ht="15" customHeight="1">
      <c r="C6" s="620">
        <f xml:space="preserve"> E6 / 'RIIC Calculator'!H97 * 'RIIC Calculator'!H96</f>
        <v>1393.8650306748466</v>
      </c>
      <c r="D6" s="621" t="s">
        <v>201</v>
      </c>
      <c r="E6" s="281">
        <v>1000</v>
      </c>
      <c r="M6" s="610" t="s">
        <v>36</v>
      </c>
      <c r="N6" s="725" t="s">
        <v>234</v>
      </c>
      <c r="O6" s="725"/>
      <c r="P6" s="725"/>
      <c r="Q6" s="725"/>
      <c r="R6" s="725"/>
      <c r="S6" s="725"/>
      <c r="DG6" s="631"/>
      <c r="DH6" s="631"/>
      <c r="DI6" s="631"/>
      <c r="DJ6" s="631"/>
    </row>
    <row r="7" spans="2:114" s="610" customFormat="1" ht="15" customHeight="1">
      <c r="E7" s="622" t="s">
        <v>313</v>
      </c>
      <c r="N7" s="725" t="s">
        <v>238</v>
      </c>
      <c r="O7" s="725"/>
      <c r="P7" s="725"/>
      <c r="Q7" s="725"/>
      <c r="R7" s="725"/>
      <c r="S7" s="725"/>
      <c r="T7" s="609"/>
      <c r="DG7" s="631"/>
      <c r="DH7" s="631"/>
      <c r="DI7" s="631"/>
      <c r="DJ7" s="631"/>
    </row>
    <row r="8" spans="2:114" s="610" customFormat="1" ht="15" customHeight="1"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R8" s="623"/>
      <c r="DG8" s="631"/>
      <c r="DH8" s="631"/>
      <c r="DI8" s="631"/>
      <c r="DJ8" s="631"/>
    </row>
    <row r="9" spans="2:114">
      <c r="B9" s="563" t="s">
        <v>221</v>
      </c>
      <c r="C9" s="297" t="s">
        <v>192</v>
      </c>
      <c r="D9" s="558" t="s">
        <v>202</v>
      </c>
      <c r="E9" s="297" t="s">
        <v>275</v>
      </c>
      <c r="F9" s="558" t="s">
        <v>202</v>
      </c>
      <c r="G9" s="298" t="s">
        <v>276</v>
      </c>
    </row>
    <row r="10" spans="2:114">
      <c r="C10" s="564">
        <v>1000</v>
      </c>
      <c r="D10" s="559" t="s">
        <v>200</v>
      </c>
      <c r="E10" s="565">
        <f xml:space="preserve"> C10 / 'RIIC Calculator'!X43 * 'RIIC Calculator'!X48</f>
        <v>10022.412854960503</v>
      </c>
      <c r="F10" s="559" t="s">
        <v>200</v>
      </c>
      <c r="G10" s="566">
        <f xml:space="preserve"> C10 / 'RIIC Calculator'!X43 * 'RIIC Calculator'!X49</f>
        <v>8345.4044520193311</v>
      </c>
    </row>
    <row r="11" spans="2:114">
      <c r="C11" s="565">
        <f xml:space="preserve"> E11 * 'RIIC Calculator'!X43 / 'RIIC Calculator'!X48</f>
        <v>99.776372663101697</v>
      </c>
      <c r="D11" s="560" t="s">
        <v>201</v>
      </c>
      <c r="E11" s="564">
        <v>1000</v>
      </c>
      <c r="F11" s="559" t="s">
        <v>200</v>
      </c>
      <c r="G11" s="566">
        <f xml:space="preserve"> C11 / 'RIIC Calculator'!X43 * 'RIIC Calculator'!X49</f>
        <v>832.67418462898877</v>
      </c>
    </row>
    <row r="12" spans="2:114">
      <c r="C12" s="565">
        <f xml:space="preserve"> G12 * 'RIIC Calculator'!X43 / 'RIIC Calculator'!X49</f>
        <v>119.82642731689664</v>
      </c>
      <c r="D12" s="560" t="s">
        <v>201</v>
      </c>
      <c r="E12" s="565">
        <f xml:space="preserve"> C12 / 'RIIC Calculator'!X43 * 'RIIC Calculator'!X48</f>
        <v>1200.9499255048552</v>
      </c>
      <c r="F12" s="560" t="s">
        <v>201</v>
      </c>
      <c r="G12" s="567">
        <v>1000</v>
      </c>
      <c r="M12" s="299" t="s">
        <v>226</v>
      </c>
    </row>
    <row r="13" spans="2:114">
      <c r="M13" s="300" t="s">
        <v>91</v>
      </c>
      <c r="N13" s="301" t="s">
        <v>325</v>
      </c>
    </row>
    <row r="14" spans="2:114">
      <c r="M14" s="568" t="s">
        <v>326</v>
      </c>
      <c r="N14" s="569">
        <v>0.45359237000000002</v>
      </c>
    </row>
    <row r="15" spans="2:114">
      <c r="B15" s="563" t="s">
        <v>222</v>
      </c>
      <c r="C15" s="297" t="s">
        <v>316</v>
      </c>
      <c r="D15" s="558" t="s">
        <v>202</v>
      </c>
      <c r="E15" s="297" t="s">
        <v>320</v>
      </c>
      <c r="F15" s="558" t="s">
        <v>202</v>
      </c>
      <c r="G15" s="298" t="s">
        <v>317</v>
      </c>
      <c r="H15" s="558" t="s">
        <v>202</v>
      </c>
      <c r="I15" s="297" t="s">
        <v>318</v>
      </c>
      <c r="J15" s="558" t="s">
        <v>202</v>
      </c>
      <c r="K15" s="298" t="s">
        <v>319</v>
      </c>
      <c r="M15" s="568" t="s">
        <v>331</v>
      </c>
      <c r="N15" s="570">
        <v>1016.0469000000001</v>
      </c>
    </row>
    <row r="16" spans="2:114">
      <c r="C16" s="564">
        <v>1000</v>
      </c>
      <c r="D16" s="559" t="s">
        <v>200</v>
      </c>
      <c r="E16" s="565">
        <f xml:space="preserve"> C16 / 1000</f>
        <v>1</v>
      </c>
      <c r="F16" s="559" t="s">
        <v>200</v>
      </c>
      <c r="G16" s="566">
        <f xml:space="preserve"> C16 / 'RIIC Calculator'!$X$43</f>
        <v>2204.6226218487759</v>
      </c>
      <c r="H16" s="559" t="s">
        <v>200</v>
      </c>
      <c r="I16" s="566">
        <f xml:space="preserve"> G16 / 2240</f>
        <v>0.98420652761106064</v>
      </c>
      <c r="J16" s="559" t="s">
        <v>200</v>
      </c>
      <c r="K16" s="566">
        <f xml:space="preserve"> G16 / 2000</f>
        <v>1.1023113109243881</v>
      </c>
      <c r="M16" s="568" t="s">
        <v>327</v>
      </c>
      <c r="N16" s="569">
        <v>907.18474000000003</v>
      </c>
    </row>
    <row r="17" spans="2:19">
      <c r="C17" s="565">
        <f xml:space="preserve"> E17 * 1000</f>
        <v>10000</v>
      </c>
      <c r="D17" s="560" t="s">
        <v>201</v>
      </c>
      <c r="E17" s="564">
        <v>10</v>
      </c>
      <c r="F17" s="559" t="s">
        <v>200</v>
      </c>
      <c r="G17" s="566">
        <f xml:space="preserve"> C17 / 'RIIC Calculator'!$X$43</f>
        <v>22046.226218487758</v>
      </c>
      <c r="H17" s="559" t="s">
        <v>200</v>
      </c>
      <c r="I17" s="566">
        <f t="shared" ref="I17:I20" si="0" xml:space="preserve"> G17 / 2240</f>
        <v>9.8420652761106062</v>
      </c>
      <c r="J17" s="559" t="s">
        <v>200</v>
      </c>
      <c r="K17" s="566">
        <f t="shared" ref="K17:K19" si="1" xml:space="preserve"> G17 / 2000</f>
        <v>11.023113109243878</v>
      </c>
      <c r="M17" s="568" t="s">
        <v>190</v>
      </c>
      <c r="N17" s="569" t="s">
        <v>190</v>
      </c>
    </row>
    <row r="18" spans="2:19">
      <c r="C18" s="565">
        <f xml:space="preserve"> G18 * 'RIIC Calculator'!$X$43</f>
        <v>453.59237000000002</v>
      </c>
      <c r="D18" s="560" t="s">
        <v>201</v>
      </c>
      <c r="E18" s="565">
        <f xml:space="preserve"> C18 / 1000</f>
        <v>0.45359237000000002</v>
      </c>
      <c r="F18" s="560" t="s">
        <v>201</v>
      </c>
      <c r="G18" s="567">
        <v>1000</v>
      </c>
      <c r="H18" s="559" t="s">
        <v>200</v>
      </c>
      <c r="I18" s="566">
        <f t="shared" si="0"/>
        <v>0.44642857142857145</v>
      </c>
      <c r="J18" s="559" t="s">
        <v>200</v>
      </c>
      <c r="K18" s="566">
        <f t="shared" si="1"/>
        <v>0.5</v>
      </c>
      <c r="M18" s="300" t="s">
        <v>96</v>
      </c>
      <c r="N18" s="301" t="s">
        <v>321</v>
      </c>
    </row>
    <row r="19" spans="2:19">
      <c r="C19" s="565">
        <f xml:space="preserve"> G19 * 'RIIC Calculator'!$X$43</f>
        <v>1016.0469088000001</v>
      </c>
      <c r="D19" s="560" t="s">
        <v>201</v>
      </c>
      <c r="E19" s="565">
        <f t="shared" ref="E19:E20" si="2" xml:space="preserve"> C19 / 1000</f>
        <v>1.0160469088000001</v>
      </c>
      <c r="F19" s="560" t="s">
        <v>201</v>
      </c>
      <c r="G19" s="565">
        <f xml:space="preserve"> I19 * 2240</f>
        <v>2240</v>
      </c>
      <c r="H19" s="560" t="s">
        <v>201</v>
      </c>
      <c r="I19" s="564">
        <v>1</v>
      </c>
      <c r="J19" s="559" t="s">
        <v>200</v>
      </c>
      <c r="K19" s="566">
        <f t="shared" si="1"/>
        <v>1.1200000000000001</v>
      </c>
      <c r="M19" s="568" t="s">
        <v>328</v>
      </c>
      <c r="N19" s="569">
        <v>4.5460900000000004</v>
      </c>
    </row>
    <row r="20" spans="2:19">
      <c r="C20" s="565">
        <f xml:space="preserve"> G20 * 'RIIC Calculator'!$X$43</f>
        <v>907.18474000000003</v>
      </c>
      <c r="D20" s="560" t="s">
        <v>201</v>
      </c>
      <c r="E20" s="565">
        <f t="shared" si="2"/>
        <v>0.90718474000000004</v>
      </c>
      <c r="F20" s="560" t="s">
        <v>201</v>
      </c>
      <c r="G20" s="565">
        <f xml:space="preserve"> K20 * 2000</f>
        <v>2000</v>
      </c>
      <c r="H20" s="560" t="s">
        <v>201</v>
      </c>
      <c r="I20" s="566">
        <f t="shared" si="0"/>
        <v>0.8928571428571429</v>
      </c>
      <c r="J20" s="560" t="s">
        <v>201</v>
      </c>
      <c r="K20" s="567">
        <v>1</v>
      </c>
      <c r="M20" s="571" t="s">
        <v>329</v>
      </c>
      <c r="N20" s="572">
        <v>3.7854117839999999</v>
      </c>
    </row>
    <row r="21" spans="2:19">
      <c r="K21" s="561" t="s">
        <v>36</v>
      </c>
      <c r="M21" s="726" t="s">
        <v>237</v>
      </c>
      <c r="N21" s="726"/>
      <c r="O21" s="529"/>
      <c r="P21" s="556"/>
      <c r="Q21" s="556"/>
      <c r="R21" s="573"/>
      <c r="S21" s="573"/>
    </row>
    <row r="22" spans="2:19">
      <c r="M22" s="725" t="s">
        <v>236</v>
      </c>
      <c r="N22" s="725"/>
      <c r="O22" s="530"/>
      <c r="P22" s="556"/>
      <c r="Q22" s="556"/>
      <c r="R22" s="573"/>
      <c r="S22" s="573"/>
    </row>
    <row r="23" spans="2:19">
      <c r="B23" s="563" t="s">
        <v>223</v>
      </c>
      <c r="C23" s="297" t="s">
        <v>321</v>
      </c>
      <c r="D23" s="558" t="s">
        <v>202</v>
      </c>
      <c r="E23" s="297" t="s">
        <v>322</v>
      </c>
      <c r="F23" s="558" t="s">
        <v>202</v>
      </c>
      <c r="G23" s="298" t="s">
        <v>323</v>
      </c>
      <c r="H23" s="558" t="s">
        <v>202</v>
      </c>
      <c r="I23" s="298" t="s">
        <v>324</v>
      </c>
    </row>
    <row r="24" spans="2:19">
      <c r="C24" s="564">
        <v>1000</v>
      </c>
      <c r="D24" s="559" t="s">
        <v>200</v>
      </c>
      <c r="E24" s="565">
        <f xml:space="preserve"> C24 / 'RIIC Calculator'!$X$48</f>
        <v>219.96924829908778</v>
      </c>
      <c r="F24" s="559" t="s">
        <v>200</v>
      </c>
      <c r="G24" s="566">
        <f xml:space="preserve"> C24 / 'RIIC Calculator'!$X$49</f>
        <v>264.17205235814845</v>
      </c>
      <c r="H24" s="559" t="s">
        <v>200</v>
      </c>
      <c r="I24" s="566">
        <f xml:space="preserve"> C24 / 1000</f>
        <v>1</v>
      </c>
    </row>
    <row r="25" spans="2:19">
      <c r="C25" s="565">
        <f xml:space="preserve"> E25 * 'RIIC Calculator'!X48</f>
        <v>4546.09</v>
      </c>
      <c r="D25" s="560" t="s">
        <v>201</v>
      </c>
      <c r="E25" s="564">
        <v>1000</v>
      </c>
      <c r="F25" s="559" t="s">
        <v>200</v>
      </c>
      <c r="G25" s="566">
        <f xml:space="preserve"> C25 / 'RIIC Calculator'!$X$49</f>
        <v>1200.9499255048549</v>
      </c>
      <c r="H25" s="559" t="s">
        <v>200</v>
      </c>
      <c r="I25" s="566">
        <f t="shared" ref="I25:I26" si="3" xml:space="preserve"> C25 / 1000</f>
        <v>4.5460900000000004</v>
      </c>
    </row>
    <row r="26" spans="2:19">
      <c r="C26" s="565">
        <f xml:space="preserve"> G26 * 'RIIC Calculator'!X49</f>
        <v>3785.4117839999999</v>
      </c>
      <c r="D26" s="560" t="s">
        <v>201</v>
      </c>
      <c r="E26" s="565">
        <f xml:space="preserve"> C26 / 'RIIC Calculator'!$X$48</f>
        <v>832.67418462898877</v>
      </c>
      <c r="F26" s="560" t="s">
        <v>201</v>
      </c>
      <c r="G26" s="567">
        <v>1000</v>
      </c>
      <c r="H26" s="559" t="s">
        <v>200</v>
      </c>
      <c r="I26" s="566">
        <f t="shared" si="3"/>
        <v>3.7854117839999999</v>
      </c>
    </row>
    <row r="27" spans="2:19">
      <c r="C27" s="565">
        <f xml:space="preserve"> I27 * 1000</f>
        <v>1000</v>
      </c>
      <c r="D27" s="560" t="s">
        <v>201</v>
      </c>
      <c r="E27" s="565">
        <f xml:space="preserve"> C27 / 'RIIC Calculator'!$X$48</f>
        <v>219.96924829908778</v>
      </c>
      <c r="F27" s="560" t="s">
        <v>201</v>
      </c>
      <c r="G27" s="574">
        <f xml:space="preserve"> C27 / 'RIIC Calculator'!$X$49</f>
        <v>264.17205235814845</v>
      </c>
      <c r="H27" s="560" t="s">
        <v>201</v>
      </c>
      <c r="I27" s="567">
        <v>1</v>
      </c>
    </row>
    <row r="28" spans="2:19"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</row>
    <row r="29" spans="2:19">
      <c r="B29" s="562"/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2"/>
    </row>
    <row r="30" spans="2:19" ht="15" customHeight="1">
      <c r="B30" s="299" t="s">
        <v>227</v>
      </c>
    </row>
    <row r="31" spans="2:19" ht="15" customHeight="1"/>
    <row r="32" spans="2:19" ht="15" customHeight="1">
      <c r="B32" s="557" t="s">
        <v>228</v>
      </c>
    </row>
    <row r="33" spans="2:17" ht="15" customHeight="1">
      <c r="B33" s="575" t="s">
        <v>33</v>
      </c>
    </row>
    <row r="34" spans="2:17" ht="15" customHeight="1">
      <c r="B34" s="575" t="s">
        <v>229</v>
      </c>
    </row>
    <row r="35" spans="2:17" ht="15" customHeight="1">
      <c r="B35" s="575" t="s">
        <v>230</v>
      </c>
      <c r="C35" s="707" t="s">
        <v>231</v>
      </c>
      <c r="D35" s="707"/>
      <c r="E35" s="707"/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</row>
    <row r="36" spans="2:17" ht="15" customHeight="1"/>
    <row r="37" spans="2:17" ht="15" customHeight="1">
      <c r="B37" s="557" t="s">
        <v>266</v>
      </c>
    </row>
    <row r="38" spans="2:17" ht="15" customHeight="1"/>
    <row r="39" spans="2:17" ht="15" customHeight="1"/>
    <row r="40" spans="2:17" ht="15" customHeight="1">
      <c r="B40" s="557" t="s">
        <v>232</v>
      </c>
    </row>
    <row r="41" spans="2:17" ht="15" customHeight="1">
      <c r="F41" s="557" t="s">
        <v>287</v>
      </c>
      <c r="L41" s="576" t="s">
        <v>3</v>
      </c>
      <c r="M41" s="577" t="s">
        <v>290</v>
      </c>
    </row>
    <row r="42" spans="2:17" ht="15" customHeight="1">
      <c r="B42" s="557" t="s">
        <v>289</v>
      </c>
      <c r="F42" s="557" t="s">
        <v>288</v>
      </c>
      <c r="L42" s="576" t="s">
        <v>257</v>
      </c>
      <c r="M42" s="577" t="s">
        <v>332</v>
      </c>
    </row>
    <row r="43" spans="2:17" ht="15" customHeight="1">
      <c r="L43" s="576" t="s">
        <v>254</v>
      </c>
      <c r="M43" s="577" t="s">
        <v>255</v>
      </c>
    </row>
    <row r="44" spans="2:17" ht="15" customHeight="1">
      <c r="L44" s="576" t="s">
        <v>265</v>
      </c>
      <c r="M44" s="577" t="s">
        <v>256</v>
      </c>
    </row>
    <row r="45" spans="2:17" ht="15" customHeight="1">
      <c r="B45" s="578"/>
      <c r="C45" s="578"/>
      <c r="D45" s="578"/>
      <c r="E45" s="578"/>
      <c r="F45" s="578"/>
      <c r="G45" s="578"/>
      <c r="H45" s="578"/>
      <c r="I45" s="578"/>
      <c r="J45" s="578"/>
      <c r="L45" s="576" t="s">
        <v>258</v>
      </c>
      <c r="M45" s="577" t="s">
        <v>259</v>
      </c>
    </row>
    <row r="46" spans="2:17" ht="15" customHeight="1">
      <c r="L46" s="576" t="s">
        <v>260</v>
      </c>
      <c r="M46" s="577" t="s">
        <v>342</v>
      </c>
    </row>
    <row r="47" spans="2:17" ht="15" customHeight="1">
      <c r="B47" s="557" t="s">
        <v>267</v>
      </c>
      <c r="L47" s="576"/>
      <c r="M47" s="576" t="s">
        <v>286</v>
      </c>
    </row>
    <row r="48" spans="2:17" ht="15" customHeight="1">
      <c r="D48" s="557" t="s">
        <v>200</v>
      </c>
      <c r="L48" s="576" t="s">
        <v>261</v>
      </c>
      <c r="M48" s="577" t="s">
        <v>262</v>
      </c>
    </row>
    <row r="49" spans="2:118" ht="15" customHeight="1">
      <c r="K49" s="579"/>
      <c r="L49" s="576" t="s">
        <v>284</v>
      </c>
      <c r="M49" s="577" t="s">
        <v>263</v>
      </c>
    </row>
    <row r="50" spans="2:118" ht="15" customHeight="1">
      <c r="B50" s="557" t="s">
        <v>233</v>
      </c>
      <c r="L50" s="576" t="s">
        <v>285</v>
      </c>
      <c r="M50" s="577" t="s">
        <v>264</v>
      </c>
    </row>
    <row r="51" spans="2:118" ht="15" customHeight="1"/>
    <row r="52" spans="2:118" ht="15" customHeight="1"/>
    <row r="53" spans="2:118" ht="15" customHeight="1">
      <c r="B53" s="562" t="s">
        <v>268</v>
      </c>
      <c r="C53" s="562" t="s">
        <v>240</v>
      </c>
      <c r="D53" s="562"/>
      <c r="E53" s="562" t="s">
        <v>239</v>
      </c>
      <c r="F53" s="562"/>
      <c r="G53" s="562"/>
      <c r="H53" s="562"/>
      <c r="I53" s="562"/>
      <c r="J53" s="562"/>
      <c r="K53" s="562"/>
      <c r="L53" s="562"/>
      <c r="M53" s="562"/>
      <c r="N53" s="562"/>
      <c r="O53" s="562"/>
      <c r="P53" s="562"/>
      <c r="Q53" s="562"/>
    </row>
    <row r="54" spans="2:118" ht="15" customHeight="1">
      <c r="B54" s="562"/>
      <c r="C54" s="562" t="s">
        <v>241</v>
      </c>
      <c r="D54" s="562"/>
      <c r="E54" s="562" t="s">
        <v>242</v>
      </c>
      <c r="F54" s="562"/>
      <c r="G54" s="562"/>
      <c r="H54" s="562"/>
      <c r="I54" s="562"/>
      <c r="J54" s="562"/>
      <c r="K54" s="562"/>
      <c r="L54" s="562"/>
      <c r="M54" s="562"/>
      <c r="N54" s="562"/>
      <c r="O54" s="562"/>
      <c r="P54" s="562"/>
      <c r="Q54" s="562"/>
    </row>
    <row r="55" spans="2:118" ht="15" customHeight="1">
      <c r="B55" s="563"/>
      <c r="C55" s="563"/>
      <c r="D55" s="563"/>
      <c r="E55" s="563"/>
      <c r="F55" s="563"/>
      <c r="G55" s="563"/>
      <c r="H55" s="563"/>
      <c r="I55" s="563"/>
      <c r="J55" s="563"/>
      <c r="K55" s="563"/>
      <c r="L55" s="563"/>
      <c r="M55" s="563"/>
      <c r="N55" s="563"/>
      <c r="O55" s="563"/>
      <c r="P55" s="563"/>
      <c r="Q55" s="563"/>
      <c r="R55" s="563"/>
    </row>
    <row r="57" spans="2:118" s="600" customFormat="1">
      <c r="B57" s="601" t="s">
        <v>412</v>
      </c>
      <c r="T57" s="602"/>
      <c r="U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CK57" s="640"/>
      <c r="CL57" s="640"/>
      <c r="CM57" s="640"/>
      <c r="CN57" s="640"/>
      <c r="CO57" s="640"/>
      <c r="CP57" s="640"/>
      <c r="CQ57" s="640"/>
      <c r="CR57" s="640"/>
      <c r="CS57" s="640"/>
      <c r="CT57" s="640"/>
      <c r="CU57" s="640"/>
      <c r="CV57" s="640"/>
      <c r="CW57" s="640"/>
      <c r="CX57" s="640"/>
      <c r="CY57" s="640"/>
      <c r="CZ57" s="640"/>
      <c r="DA57" s="640"/>
      <c r="DB57" s="640"/>
      <c r="DC57" s="640"/>
      <c r="DD57" s="640"/>
      <c r="DE57" s="640"/>
      <c r="DF57" s="640"/>
      <c r="DG57" s="640"/>
      <c r="DH57" s="640"/>
      <c r="DI57" s="640"/>
      <c r="DJ57" s="640"/>
      <c r="DK57" s="640"/>
      <c r="DL57" s="640"/>
    </row>
    <row r="58" spans="2:118">
      <c r="CK58" s="677" t="s">
        <v>398</v>
      </c>
      <c r="CL58" s="689">
        <f xml:space="preserve"> IFERROR(IF(ISBLANK(M94), 10000, IF(M94 &lt; 1000, 10000, IF(M94 &gt; 40000, 10000, M94))), 10000)</f>
        <v>10000</v>
      </c>
      <c r="CM58" s="647"/>
      <c r="CN58" s="637" t="s">
        <v>338</v>
      </c>
      <c r="CO58" s="653" t="s">
        <v>372</v>
      </c>
      <c r="CP58" s="637" t="s">
        <v>367</v>
      </c>
      <c r="CQ58" s="641" t="s">
        <v>365</v>
      </c>
      <c r="CR58" s="641" t="s">
        <v>343</v>
      </c>
      <c r="CS58" s="637" t="s">
        <v>339</v>
      </c>
      <c r="CT58" s="636"/>
      <c r="CU58" s="653" t="s">
        <v>373</v>
      </c>
      <c r="CV58" s="637" t="s">
        <v>368</v>
      </c>
      <c r="CW58" s="641" t="s">
        <v>366</v>
      </c>
      <c r="CX58" s="641" t="s">
        <v>343</v>
      </c>
      <c r="CY58" s="637" t="s">
        <v>339</v>
      </c>
      <c r="CZ58" s="636"/>
      <c r="DA58" s="637" t="s">
        <v>344</v>
      </c>
      <c r="DB58" s="637" t="s">
        <v>345</v>
      </c>
      <c r="DC58" s="647"/>
      <c r="DD58" s="648"/>
      <c r="DE58" s="648" t="s">
        <v>364</v>
      </c>
      <c r="DF58" s="648" t="s">
        <v>363</v>
      </c>
      <c r="DG58" s="648" t="str">
        <f xml:space="preserve"> "SBGx vol., " &amp; TEXT(LOOKUP($D$87, $CN$60:$CN$99, $CS$60:$CS$99), "0.0") &amp; "% TGP"</f>
        <v>SBGx vol., 95.3% TGP</v>
      </c>
      <c r="DH58" s="648" t="str">
        <f xml:space="preserve"> "Standard vol., day " &amp; TEXT(D87, "0")</f>
        <v>Standard vol., day 19</v>
      </c>
      <c r="DI58" s="648" t="str">
        <f xml:space="preserve"> "Standard vol., " &amp; TEXT(LOOKUP($F$87, $CN$60:$CN$99, $CY$60:$CY$99), "0.0") &amp; "% TGP"</f>
        <v>Standard vol., 95.6% TGP</v>
      </c>
      <c r="DJ58" s="648" t="str">
        <f xml:space="preserve"> "SBGx vol., day " &amp; TEXT(F87, "0")</f>
        <v>SBGx vol., day 25</v>
      </c>
      <c r="DK58" s="672" t="s">
        <v>391</v>
      </c>
      <c r="DL58" s="672" t="s">
        <v>392</v>
      </c>
      <c r="DM58" s="674" t="s">
        <v>394</v>
      </c>
      <c r="DN58" s="694" t="str">
        <f xml:space="preserve"> "TGP(Standard) surpassed
" &amp; TEXT(LOOKUP($CL$64, CN60:CN99, CS60:CS99), "0.0") &amp; "%"</f>
        <v>TGP(Standard) surpassed
88.1%</v>
      </c>
    </row>
    <row r="59" spans="2:118">
      <c r="B59" s="598" t="s">
        <v>340</v>
      </c>
      <c r="AX59" s="581"/>
      <c r="CL59" s="678" t="s">
        <v>400</v>
      </c>
      <c r="CM59" s="647"/>
      <c r="CN59" s="641">
        <v>0</v>
      </c>
      <c r="CO59" s="652"/>
      <c r="CP59" s="637"/>
      <c r="CQ59" s="641"/>
      <c r="CR59" s="641"/>
      <c r="CS59" s="641">
        <v>0</v>
      </c>
      <c r="CT59" s="636"/>
      <c r="CU59" s="636"/>
      <c r="CV59" s="637"/>
      <c r="CW59" s="641"/>
      <c r="CX59" s="641"/>
      <c r="CY59" s="641">
        <v>0</v>
      </c>
      <c r="CZ59" s="636"/>
      <c r="DA59" s="637"/>
      <c r="DB59" s="641">
        <v>0</v>
      </c>
      <c r="DC59" s="647"/>
      <c r="DD59" s="647"/>
      <c r="DE59" s="647"/>
      <c r="DF59" s="647"/>
      <c r="DG59" s="648"/>
      <c r="DH59" s="647"/>
      <c r="DI59" s="648"/>
      <c r="DJ59" s="647"/>
      <c r="DK59" s="647"/>
      <c r="DL59" s="647"/>
    </row>
    <row r="60" spans="2:118">
      <c r="B60" s="693" t="s">
        <v>407</v>
      </c>
      <c r="AX60" s="581"/>
      <c r="CK60" s="660" t="s">
        <v>374</v>
      </c>
      <c r="CL60" s="690">
        <f xml:space="preserve"> IFERROR(IF(ISBLANK(M95), 15, IF(M95 &lt; 0, 15, IF(M95 &gt; 100, 15, M95))), 15)</f>
        <v>15</v>
      </c>
      <c r="CM60" s="647"/>
      <c r="CN60" s="641">
        <v>1</v>
      </c>
      <c r="CO60" s="654">
        <v>1.776</v>
      </c>
      <c r="CP60" s="638">
        <f xml:space="preserve"> CO60 / $CO$100 * $CP$100</f>
        <v>11.339888248466147</v>
      </c>
      <c r="CQ60" s="642">
        <f xml:space="preserve"> CQ59 + CP60</f>
        <v>11.339888248466147</v>
      </c>
      <c r="CR60" s="642">
        <f xml:space="preserve"> CP60 / $CP$100 * 100</f>
        <v>0.11339888248466147</v>
      </c>
      <c r="CS60" s="642">
        <f xml:space="preserve"> CS59 + CR60</f>
        <v>0.11339888248466147</v>
      </c>
      <c r="CT60" s="636"/>
      <c r="CU60" s="654">
        <v>0.99</v>
      </c>
      <c r="CV60" s="638">
        <f t="shared" ref="CV60:CV99" si="4" xml:space="preserve"> CU60 / $CU$100 * $CV$100</f>
        <v>4.6530798878596196</v>
      </c>
      <c r="CW60" s="642">
        <f xml:space="preserve"> CW59 + CV60</f>
        <v>4.6530798878596196</v>
      </c>
      <c r="CX60" s="642">
        <f xml:space="preserve"> CV60 / $CV$100 * 100</f>
        <v>5.350827837925045E-2</v>
      </c>
      <c r="CY60" s="642">
        <f xml:space="preserve"> CY59 + CX60</f>
        <v>5.350827837925045E-2</v>
      </c>
      <c r="CZ60" s="636"/>
      <c r="DA60" s="642">
        <f xml:space="preserve"> CQ60 - CW60</f>
        <v>6.6868083606065278</v>
      </c>
      <c r="DB60" s="642">
        <f xml:space="preserve"> DA60 / CW60 * 100</f>
        <v>143.70714713179805</v>
      </c>
      <c r="DC60" s="647"/>
      <c r="DD60" s="647"/>
      <c r="DE60" s="647">
        <f t="shared" ref="DE60:DE99" si="5" xml:space="preserve"> IF($D$87 = CN60, MAX($CP$60:$CP$99, $CV$60:$CV$99) * 1.05, 0)</f>
        <v>0</v>
      </c>
      <c r="DF60" s="647">
        <f t="shared" ref="DF60:DF99" si="6" xml:space="preserve"> IF($F$87 = CN60, MAX($CP$60:$CP$99, $CV$60:$CV$99) * 1.05, 0)</f>
        <v>0</v>
      </c>
      <c r="DG60" s="679" t="e">
        <f xml:space="preserve"> IF(CN60 = $D$87, CQ60, IF(CN61 = $D$87, -100000000, NA()))</f>
        <v>#N/A</v>
      </c>
      <c r="DH60" s="679" t="e">
        <f xml:space="preserve"> IF(CN60 = $D$87, CW60, NA())</f>
        <v>#N/A</v>
      </c>
      <c r="DI60" s="679" t="e">
        <f xml:space="preserve"> IF(CN60 = $F$87, CW60, IF(CN61 = $F$87, -100000000, NA()))</f>
        <v>#N/A</v>
      </c>
      <c r="DJ60" s="679" t="e">
        <f xml:space="preserve"> IF(CN60 = $F$87, CQ60, NA())</f>
        <v>#N/A</v>
      </c>
      <c r="DK60" s="649" t="str">
        <f xml:space="preserve"> IF(AND(CP59 &lt;= CP60, CP61 &lt;= CP60), CP60, IF(DE60 &gt; 0, CP60, IF(DF60 &gt; 0, CP60, "")))</f>
        <v/>
      </c>
      <c r="DL60" s="649" t="str">
        <f xml:space="preserve"> IF(AND(CV59 &lt;= CV60, CV61 &lt;= CV60), CV60, IF(DE60 &gt; 0, CV60, IF(DF60 &gt; 0, CV60, "")))</f>
        <v/>
      </c>
      <c r="DM60" s="561" t="str">
        <f xml:space="preserve"> IF(CN60 = $CL$64, "Day " &amp; CN60 &amp; ": " &amp; TEXT(CQ60, "#,##0.0") &amp; " m³ (" &amp; TEXT(CS60, "0.0") &amp; "%)
TGP(Standard) surpassed", "")</f>
        <v/>
      </c>
      <c r="DN60" s="676" t="e">
        <f t="shared" ref="DN60:DN99" si="7" xml:space="preserve"> IF(CN61 = $CL$64, -100000000, IF(OR(CN60 = $CL$64, CN60 = 40), LOOKUP($CL$64, $CN$60:$CN$99, $CQ$60:$CQ$99), NA()))</f>
        <v>#N/A</v>
      </c>
    </row>
    <row r="61" spans="2:118">
      <c r="B61" s="596" t="s">
        <v>351</v>
      </c>
      <c r="AX61" s="581"/>
      <c r="CK61" s="661"/>
      <c r="CL61" s="678" t="s">
        <v>399</v>
      </c>
      <c r="CM61" s="647"/>
      <c r="CN61" s="641">
        <v>2</v>
      </c>
      <c r="CO61" s="654">
        <v>8.2940000000000005</v>
      </c>
      <c r="CP61" s="638">
        <f t="shared" ref="CP61:CP99" si="8" xml:space="preserve"> CO61 / $CO$100 * $CP$100</f>
        <v>52.957788926113871</v>
      </c>
      <c r="CQ61" s="642">
        <f t="shared" ref="CQ61:CQ99" si="9" xml:space="preserve"> CQ60 + CP61</f>
        <v>64.297677174580016</v>
      </c>
      <c r="CR61" s="642">
        <f t="shared" ref="CR61:CR99" si="10" xml:space="preserve"> CP61 / $CP$100 * 100</f>
        <v>0.52957788926113869</v>
      </c>
      <c r="CS61" s="642">
        <f t="shared" ref="CS61:CS99" si="11" xml:space="preserve"> CS60 + CR61</f>
        <v>0.64297677174580015</v>
      </c>
      <c r="CT61" s="636"/>
      <c r="CU61" s="654">
        <v>3.766</v>
      </c>
      <c r="CV61" s="638">
        <f t="shared" si="4"/>
        <v>17.700503896645785</v>
      </c>
      <c r="CW61" s="642">
        <f t="shared" ref="CW61:CW99" si="12" xml:space="preserve"> CW60 + CV61</f>
        <v>22.353583784505403</v>
      </c>
      <c r="CX61" s="642">
        <f t="shared" ref="CX61:CX99" si="13" xml:space="preserve"> CV61 / $CV$100 * 100</f>
        <v>0.20354765290531029</v>
      </c>
      <c r="CY61" s="642">
        <f t="shared" ref="CY61:CY99" si="14" xml:space="preserve"> CY60 + CX61</f>
        <v>0.25705593128456072</v>
      </c>
      <c r="CZ61" s="636"/>
      <c r="DA61" s="642">
        <f t="shared" ref="DA61:DA99" si="15" xml:space="preserve"> CQ61 - CW61</f>
        <v>41.944093390074613</v>
      </c>
      <c r="DB61" s="642">
        <f t="shared" ref="DB61:DB99" si="16" xml:space="preserve"> DA61 / CW61 * 100</f>
        <v>187.63923402362246</v>
      </c>
      <c r="DC61" s="647"/>
      <c r="DD61" s="647"/>
      <c r="DE61" s="647">
        <f t="shared" si="5"/>
        <v>0</v>
      </c>
      <c r="DF61" s="647">
        <f t="shared" si="6"/>
        <v>0</v>
      </c>
      <c r="DG61" s="679" t="e">
        <f t="shared" ref="DG61:DG99" si="17" xml:space="preserve"> IF(CN61 = $D$87, CQ61, IF(CN62 = $D$87, -100000000, NA()))</f>
        <v>#N/A</v>
      </c>
      <c r="DH61" s="679" t="e">
        <f t="shared" ref="DH61:DH99" si="18" xml:space="preserve"> IF(CN61 = $D$87, CW61, NA())</f>
        <v>#N/A</v>
      </c>
      <c r="DI61" s="679" t="e">
        <f t="shared" ref="DI61:DI99" si="19" xml:space="preserve"> IF(CN61 = $F$87, CW61, IF(CN62 = $F$87, -100000000, NA()))</f>
        <v>#N/A</v>
      </c>
      <c r="DJ61" s="679" t="e">
        <f t="shared" ref="DJ61:DJ99" si="20" xml:space="preserve"> IF(CN61 = $F$87, CQ61, NA())</f>
        <v>#N/A</v>
      </c>
      <c r="DK61" s="649" t="str">
        <f t="shared" ref="DK61:DK99" si="21" xml:space="preserve"> IF(AND(CP60 &lt;= CP61, CP62 &lt;= CP61), CP61, IF(DE61 &gt; 0, CP61, IF(DF61 &gt; 0, CP61, "")))</f>
        <v/>
      </c>
      <c r="DL61" s="649" t="str">
        <f t="shared" ref="DL61:DL99" si="22" xml:space="preserve"> IF(AND(CV60 &lt;= CV61, CV62 &lt;= CV61), CV61, IF(DE61 &gt; 0, CV61, IF(DF61 &gt; 0, CV61, "")))</f>
        <v/>
      </c>
      <c r="DM61" s="561" t="str">
        <f t="shared" ref="DM61:DM99" si="23" xml:space="preserve"> IF(CN61 = $CL$64, "Day " &amp; CN61 &amp; ": " &amp; TEXT(CQ61, "#,##0.0") &amp; " m³ (" &amp; TEXT(CS61, "0.0") &amp; "%)
TGP(Standard) surpassed", "")</f>
        <v/>
      </c>
      <c r="DN61" s="676" t="e">
        <f t="shared" si="7"/>
        <v>#N/A</v>
      </c>
    </row>
    <row r="62" spans="2:118">
      <c r="B62" s="628" t="str">
        <f>"During this time period Standard produces " &amp; TEXT(CV100,"#,##0") &amp; " m³, SBGx " &amp; TEXT(CP100,"#,##0") &amp; " m³; The increase in volume with SBGx is "&amp; TEXT((CP100-CV100)/CV100,"0%") &amp; "."</f>
        <v>During this time period Standard produces 8,696 m³, SBGx 10,000 m³; The increase in volume with SBGx is 15%.</v>
      </c>
      <c r="AX62" s="581"/>
      <c r="CK62" s="691" t="s">
        <v>405</v>
      </c>
      <c r="CL62" s="692">
        <f xml:space="preserve"> IFERROR(IF(ISBLANK(C85), 95, IF(C85 &lt; 80, 95, IF(C85 &gt; 100, 95, C85))), 95)</f>
        <v>95</v>
      </c>
      <c r="CM62" s="647"/>
      <c r="CN62" s="641">
        <v>3</v>
      </c>
      <c r="CO62" s="654">
        <v>20.885000000000002</v>
      </c>
      <c r="CP62" s="638">
        <f t="shared" si="8"/>
        <v>133.35223314708082</v>
      </c>
      <c r="CQ62" s="642">
        <f t="shared" si="9"/>
        <v>197.64991032166085</v>
      </c>
      <c r="CR62" s="642">
        <f t="shared" si="10"/>
        <v>1.3335223314708082</v>
      </c>
      <c r="CS62" s="642">
        <f t="shared" si="11"/>
        <v>1.9764991032166084</v>
      </c>
      <c r="CT62" s="636"/>
      <c r="CU62" s="654">
        <v>8.8930000000000007</v>
      </c>
      <c r="CV62" s="638">
        <f t="shared" si="4"/>
        <v>41.797817618924853</v>
      </c>
      <c r="CW62" s="642">
        <f t="shared" si="12"/>
        <v>64.151401403430256</v>
      </c>
      <c r="CX62" s="642">
        <f t="shared" si="13"/>
        <v>0.48065567639058016</v>
      </c>
      <c r="CY62" s="642">
        <f t="shared" si="14"/>
        <v>0.73771160767514088</v>
      </c>
      <c r="CZ62" s="636"/>
      <c r="DA62" s="642">
        <f t="shared" si="15"/>
        <v>133.49850891823058</v>
      </c>
      <c r="DB62" s="642">
        <f t="shared" si="16"/>
        <v>208.09913111437072</v>
      </c>
      <c r="DC62" s="647"/>
      <c r="DD62" s="647"/>
      <c r="DE62" s="647">
        <f t="shared" si="5"/>
        <v>0</v>
      </c>
      <c r="DF62" s="647">
        <f t="shared" si="6"/>
        <v>0</v>
      </c>
      <c r="DG62" s="679" t="e">
        <f t="shared" si="17"/>
        <v>#N/A</v>
      </c>
      <c r="DH62" s="679" t="e">
        <f t="shared" si="18"/>
        <v>#N/A</v>
      </c>
      <c r="DI62" s="679" t="e">
        <f t="shared" si="19"/>
        <v>#N/A</v>
      </c>
      <c r="DJ62" s="679" t="e">
        <f t="shared" si="20"/>
        <v>#N/A</v>
      </c>
      <c r="DK62" s="649" t="str">
        <f t="shared" si="21"/>
        <v/>
      </c>
      <c r="DL62" s="649" t="str">
        <f t="shared" si="22"/>
        <v/>
      </c>
      <c r="DM62" s="561" t="str">
        <f t="shared" si="23"/>
        <v/>
      </c>
      <c r="DN62" s="676" t="e">
        <f t="shared" si="7"/>
        <v>#N/A</v>
      </c>
    </row>
    <row r="63" spans="2:118">
      <c r="AX63" s="581"/>
      <c r="CJ63" s="663"/>
      <c r="CM63" s="647"/>
      <c r="CN63" s="641">
        <v>4</v>
      </c>
      <c r="CO63" s="654">
        <v>41.77</v>
      </c>
      <c r="CP63" s="638">
        <f t="shared" si="8"/>
        <v>266.70446629416165</v>
      </c>
      <c r="CQ63" s="642">
        <f t="shared" si="9"/>
        <v>464.3543766158225</v>
      </c>
      <c r="CR63" s="642">
        <f t="shared" si="10"/>
        <v>2.6670446629416165</v>
      </c>
      <c r="CS63" s="642">
        <f t="shared" si="11"/>
        <v>4.6435437661582251</v>
      </c>
      <c r="CT63" s="636"/>
      <c r="CU63" s="654">
        <v>17.027999999999999</v>
      </c>
      <c r="CV63" s="638">
        <f t="shared" si="4"/>
        <v>80.03297407118545</v>
      </c>
      <c r="CW63" s="642">
        <f t="shared" si="12"/>
        <v>144.18437547461571</v>
      </c>
      <c r="CX63" s="642">
        <f t="shared" si="13"/>
        <v>0.92034238812310787</v>
      </c>
      <c r="CY63" s="642">
        <f t="shared" si="14"/>
        <v>1.6580539957982487</v>
      </c>
      <c r="CZ63" s="636"/>
      <c r="DA63" s="642">
        <f t="shared" si="15"/>
        <v>320.1700011412068</v>
      </c>
      <c r="DB63" s="642">
        <f t="shared" si="16"/>
        <v>222.05596139477271</v>
      </c>
      <c r="DC63" s="647"/>
      <c r="DD63" s="647"/>
      <c r="DE63" s="647">
        <f t="shared" si="5"/>
        <v>0</v>
      </c>
      <c r="DF63" s="647">
        <f t="shared" si="6"/>
        <v>0</v>
      </c>
      <c r="DG63" s="679" t="e">
        <f t="shared" si="17"/>
        <v>#N/A</v>
      </c>
      <c r="DH63" s="679" t="e">
        <f t="shared" si="18"/>
        <v>#N/A</v>
      </c>
      <c r="DI63" s="679" t="e">
        <f t="shared" si="19"/>
        <v>#N/A</v>
      </c>
      <c r="DJ63" s="679" t="e">
        <f t="shared" si="20"/>
        <v>#N/A</v>
      </c>
      <c r="DK63" s="649" t="str">
        <f t="shared" si="21"/>
        <v/>
      </c>
      <c r="DL63" s="649" t="str">
        <f t="shared" si="22"/>
        <v/>
      </c>
      <c r="DM63" s="561" t="str">
        <f t="shared" si="23"/>
        <v/>
      </c>
      <c r="DN63" s="676" t="e">
        <f t="shared" si="7"/>
        <v>#N/A</v>
      </c>
    </row>
    <row r="64" spans="2:118">
      <c r="B64" s="665" t="s">
        <v>385</v>
      </c>
      <c r="AX64" s="581"/>
      <c r="CK64" s="698" t="s">
        <v>413</v>
      </c>
      <c r="CL64" s="697">
        <f xml:space="preserve"> LOOKUP(CV100, CQ60:CQ99, CN60:CN99) + 1</f>
        <v>15</v>
      </c>
      <c r="CM64" s="647"/>
      <c r="CN64" s="641">
        <v>5</v>
      </c>
      <c r="CO64" s="654">
        <v>73.762</v>
      </c>
      <c r="CP64" s="638">
        <f t="shared" si="8"/>
        <v>470.97569649963964</v>
      </c>
      <c r="CQ64" s="642">
        <f t="shared" si="9"/>
        <v>935.33007311546214</v>
      </c>
      <c r="CR64" s="642">
        <f t="shared" si="10"/>
        <v>4.7097569649963962</v>
      </c>
      <c r="CS64" s="642">
        <f t="shared" si="11"/>
        <v>9.3533007311546221</v>
      </c>
      <c r="CT64" s="636"/>
      <c r="CU64" s="654">
        <v>29.062000000000001</v>
      </c>
      <c r="CV64" s="638">
        <f t="shared" si="4"/>
        <v>136.59374515250127</v>
      </c>
      <c r="CW64" s="642">
        <f t="shared" si="12"/>
        <v>280.778120627117</v>
      </c>
      <c r="CX64" s="642">
        <f t="shared" si="13"/>
        <v>1.570765238644219</v>
      </c>
      <c r="CY64" s="642">
        <f t="shared" si="14"/>
        <v>3.2288192344424678</v>
      </c>
      <c r="CZ64" s="636"/>
      <c r="DA64" s="642">
        <f t="shared" si="15"/>
        <v>654.55195248834514</v>
      </c>
      <c r="DB64" s="642">
        <f t="shared" si="16"/>
        <v>233.12071148079684</v>
      </c>
      <c r="DC64" s="647"/>
      <c r="DD64" s="647"/>
      <c r="DE64" s="647">
        <f t="shared" si="5"/>
        <v>0</v>
      </c>
      <c r="DF64" s="647">
        <f t="shared" si="6"/>
        <v>0</v>
      </c>
      <c r="DG64" s="679" t="e">
        <f t="shared" si="17"/>
        <v>#N/A</v>
      </c>
      <c r="DH64" s="679" t="e">
        <f t="shared" si="18"/>
        <v>#N/A</v>
      </c>
      <c r="DI64" s="679" t="e">
        <f t="shared" si="19"/>
        <v>#N/A</v>
      </c>
      <c r="DJ64" s="679" t="e">
        <f t="shared" si="20"/>
        <v>#N/A</v>
      </c>
      <c r="DK64" s="649" t="str">
        <f t="shared" si="21"/>
        <v/>
      </c>
      <c r="DL64" s="649" t="str">
        <f t="shared" si="22"/>
        <v/>
      </c>
      <c r="DM64" s="561" t="str">
        <f t="shared" si="23"/>
        <v/>
      </c>
      <c r="DN64" s="676" t="e">
        <f t="shared" si="7"/>
        <v>#N/A</v>
      </c>
    </row>
    <row r="65" spans="2:118">
      <c r="B65" s="665" t="s">
        <v>386</v>
      </c>
      <c r="AX65" s="581"/>
      <c r="CK65" s="647"/>
      <c r="CL65" s="647"/>
      <c r="CM65" s="647"/>
      <c r="CN65" s="641">
        <v>6</v>
      </c>
      <c r="CO65" s="654">
        <v>108.242</v>
      </c>
      <c r="CP65" s="638">
        <f t="shared" si="8"/>
        <v>691.13298636850948</v>
      </c>
      <c r="CQ65" s="642">
        <f t="shared" si="9"/>
        <v>1626.4630594839716</v>
      </c>
      <c r="CR65" s="642">
        <f t="shared" si="10"/>
        <v>6.9113298636850953</v>
      </c>
      <c r="CS65" s="642">
        <f t="shared" si="11"/>
        <v>16.264630594839716</v>
      </c>
      <c r="CT65" s="636"/>
      <c r="CU65" s="654">
        <v>46.375999999999998</v>
      </c>
      <c r="CV65" s="638">
        <f t="shared" si="4"/>
        <v>217.97094230240174</v>
      </c>
      <c r="CW65" s="642">
        <f t="shared" si="12"/>
        <v>498.74906292951874</v>
      </c>
      <c r="CX65" s="642">
        <f t="shared" si="13"/>
        <v>2.5065655738546657</v>
      </c>
      <c r="CY65" s="642">
        <f t="shared" si="14"/>
        <v>5.7353848082971339</v>
      </c>
      <c r="CZ65" s="636"/>
      <c r="DA65" s="642">
        <f t="shared" si="15"/>
        <v>1127.7139965544529</v>
      </c>
      <c r="DB65" s="642">
        <f t="shared" si="16"/>
        <v>226.10849430584636</v>
      </c>
      <c r="DC65" s="647"/>
      <c r="DD65" s="647"/>
      <c r="DE65" s="647">
        <f t="shared" si="5"/>
        <v>0</v>
      </c>
      <c r="DF65" s="647">
        <f t="shared" si="6"/>
        <v>0</v>
      </c>
      <c r="DG65" s="679" t="e">
        <f t="shared" si="17"/>
        <v>#N/A</v>
      </c>
      <c r="DH65" s="679" t="e">
        <f t="shared" si="18"/>
        <v>#N/A</v>
      </c>
      <c r="DI65" s="679" t="e">
        <f t="shared" si="19"/>
        <v>#N/A</v>
      </c>
      <c r="DJ65" s="679" t="e">
        <f t="shared" si="20"/>
        <v>#N/A</v>
      </c>
      <c r="DK65" s="649" t="str">
        <f t="shared" si="21"/>
        <v/>
      </c>
      <c r="DL65" s="649" t="str">
        <f t="shared" si="22"/>
        <v/>
      </c>
      <c r="DM65" s="561" t="str">
        <f t="shared" si="23"/>
        <v/>
      </c>
      <c r="DN65" s="676" t="e">
        <f t="shared" si="7"/>
        <v>#N/A</v>
      </c>
    </row>
    <row r="66" spans="2:118">
      <c r="B66" s="595"/>
      <c r="AX66" s="581"/>
      <c r="CK66" s="698" t="s">
        <v>414</v>
      </c>
      <c r="CL66" s="690" t="str">
        <f xml:space="preserve"> B57 &amp; "; SBGx advantage " &amp; TEXT(CL60 / 100, "0.0%")</f>
        <v>Expert tool to compare and optimise the retention duration; SBGx advantage 15.0%</v>
      </c>
      <c r="CM66" s="647"/>
      <c r="CN66" s="641">
        <v>7</v>
      </c>
      <c r="CO66" s="654">
        <v>134.239</v>
      </c>
      <c r="CP66" s="638">
        <f t="shared" si="8"/>
        <v>857.1257086632022</v>
      </c>
      <c r="CQ66" s="642">
        <f t="shared" si="9"/>
        <v>2483.5887681471741</v>
      </c>
      <c r="CR66" s="642">
        <f t="shared" si="10"/>
        <v>8.5712570866320235</v>
      </c>
      <c r="CS66" s="642">
        <f t="shared" si="11"/>
        <v>24.835887681471739</v>
      </c>
      <c r="CT66" s="636"/>
      <c r="CU66" s="654">
        <v>70.253</v>
      </c>
      <c r="CV66" s="638">
        <f t="shared" si="4"/>
        <v>330.19476905232511</v>
      </c>
      <c r="CW66" s="642">
        <f t="shared" si="12"/>
        <v>828.94383198184391</v>
      </c>
      <c r="CX66" s="642">
        <f t="shared" si="13"/>
        <v>3.7970879605833154</v>
      </c>
      <c r="CY66" s="642">
        <f t="shared" si="14"/>
        <v>9.5324727688804494</v>
      </c>
      <c r="CZ66" s="636"/>
      <c r="DA66" s="642">
        <f t="shared" si="15"/>
        <v>1654.6449361653301</v>
      </c>
      <c r="DB66" s="642">
        <f t="shared" si="16"/>
        <v>199.60881212052632</v>
      </c>
      <c r="DC66" s="647"/>
      <c r="DD66" s="647"/>
      <c r="DE66" s="647">
        <f t="shared" si="5"/>
        <v>0</v>
      </c>
      <c r="DF66" s="647">
        <f t="shared" si="6"/>
        <v>0</v>
      </c>
      <c r="DG66" s="679" t="e">
        <f t="shared" si="17"/>
        <v>#N/A</v>
      </c>
      <c r="DH66" s="679" t="e">
        <f t="shared" si="18"/>
        <v>#N/A</v>
      </c>
      <c r="DI66" s="679" t="e">
        <f t="shared" si="19"/>
        <v>#N/A</v>
      </c>
      <c r="DJ66" s="679" t="e">
        <f t="shared" si="20"/>
        <v>#N/A</v>
      </c>
      <c r="DK66" s="649" t="str">
        <f t="shared" si="21"/>
        <v/>
      </c>
      <c r="DL66" s="649" t="str">
        <f t="shared" si="22"/>
        <v/>
      </c>
      <c r="DM66" s="561" t="str">
        <f t="shared" si="23"/>
        <v/>
      </c>
      <c r="DN66" s="676" t="e">
        <f t="shared" si="7"/>
        <v>#N/A</v>
      </c>
    </row>
    <row r="67" spans="2:118">
      <c r="B67" s="665" t="s">
        <v>383</v>
      </c>
      <c r="AX67" s="581"/>
      <c r="CJ67" s="594"/>
      <c r="CK67" s="650"/>
      <c r="CL67" s="647"/>
      <c r="CM67" s="647"/>
      <c r="CN67" s="641">
        <v>8</v>
      </c>
      <c r="CO67" s="654">
        <v>148.13</v>
      </c>
      <c r="CP67" s="638">
        <f t="shared" si="8"/>
        <v>945.82074675973558</v>
      </c>
      <c r="CQ67" s="642">
        <f t="shared" si="9"/>
        <v>3429.4095149069099</v>
      </c>
      <c r="CR67" s="642">
        <f t="shared" si="10"/>
        <v>9.4582074675973562</v>
      </c>
      <c r="CS67" s="642">
        <f t="shared" si="11"/>
        <v>34.294095149069094</v>
      </c>
      <c r="CT67" s="636"/>
      <c r="CU67" s="654">
        <v>98.631</v>
      </c>
      <c r="CV67" s="638">
        <f t="shared" si="4"/>
        <v>463.57365900957791</v>
      </c>
      <c r="CW67" s="642">
        <f t="shared" si="12"/>
        <v>1292.5174909914217</v>
      </c>
      <c r="CX67" s="642">
        <f t="shared" si="13"/>
        <v>5.3308838432564158</v>
      </c>
      <c r="CY67" s="642">
        <f t="shared" si="14"/>
        <v>14.863356612136865</v>
      </c>
      <c r="CZ67" s="636"/>
      <c r="DA67" s="642">
        <f t="shared" si="15"/>
        <v>2136.8920239154882</v>
      </c>
      <c r="DB67" s="642">
        <f t="shared" si="16"/>
        <v>165.32789991695907</v>
      </c>
      <c r="DC67" s="647"/>
      <c r="DD67" s="647"/>
      <c r="DE67" s="647">
        <f t="shared" si="5"/>
        <v>0</v>
      </c>
      <c r="DF67" s="647">
        <f t="shared" si="6"/>
        <v>0</v>
      </c>
      <c r="DG67" s="679" t="e">
        <f t="shared" si="17"/>
        <v>#N/A</v>
      </c>
      <c r="DH67" s="679" t="e">
        <f t="shared" si="18"/>
        <v>#N/A</v>
      </c>
      <c r="DI67" s="679" t="e">
        <f t="shared" si="19"/>
        <v>#N/A</v>
      </c>
      <c r="DJ67" s="679" t="e">
        <f t="shared" si="20"/>
        <v>#N/A</v>
      </c>
      <c r="DK67" s="649" t="str">
        <f t="shared" si="21"/>
        <v/>
      </c>
      <c r="DL67" s="649" t="str">
        <f t="shared" si="22"/>
        <v/>
      </c>
      <c r="DM67" s="561" t="str">
        <f t="shared" si="23"/>
        <v/>
      </c>
      <c r="DN67" s="676" t="e">
        <f t="shared" si="7"/>
        <v>#N/A</v>
      </c>
    </row>
    <row r="68" spans="2:118">
      <c r="B68" s="665" t="s">
        <v>384</v>
      </c>
      <c r="AX68" s="581"/>
      <c r="CK68" s="648" t="s">
        <v>16</v>
      </c>
      <c r="CL68" s="648" t="s">
        <v>341</v>
      </c>
      <c r="CM68" s="647"/>
      <c r="CN68" s="641">
        <v>9</v>
      </c>
      <c r="CO68" s="654">
        <v>153.58600000000001</v>
      </c>
      <c r="CP68" s="638">
        <f t="shared" si="8"/>
        <v>980.65770074826685</v>
      </c>
      <c r="CQ68" s="642">
        <f t="shared" si="9"/>
        <v>4410.0672156551764</v>
      </c>
      <c r="CR68" s="642">
        <f t="shared" si="10"/>
        <v>9.8065770074826677</v>
      </c>
      <c r="CS68" s="642">
        <f t="shared" si="11"/>
        <v>44.100672156551759</v>
      </c>
      <c r="CT68" s="636"/>
      <c r="CU68" s="654">
        <v>124.997</v>
      </c>
      <c r="CV68" s="638">
        <f t="shared" si="4"/>
        <v>587.49598660887762</v>
      </c>
      <c r="CW68" s="642">
        <f t="shared" si="12"/>
        <v>1880.0134776002992</v>
      </c>
      <c r="CX68" s="642">
        <f t="shared" si="13"/>
        <v>6.7559336086577462</v>
      </c>
      <c r="CY68" s="642">
        <f t="shared" si="14"/>
        <v>21.61929022079461</v>
      </c>
      <c r="CZ68" s="636"/>
      <c r="DA68" s="642">
        <f t="shared" si="15"/>
        <v>2530.0537380548772</v>
      </c>
      <c r="DB68" s="642">
        <f t="shared" si="16"/>
        <v>134.57636172291208</v>
      </c>
      <c r="DC68" s="647"/>
      <c r="DD68" s="647"/>
      <c r="DE68" s="647">
        <f t="shared" si="5"/>
        <v>0</v>
      </c>
      <c r="DF68" s="647">
        <f t="shared" si="6"/>
        <v>0</v>
      </c>
      <c r="DG68" s="679" t="e">
        <f t="shared" si="17"/>
        <v>#N/A</v>
      </c>
      <c r="DH68" s="679" t="e">
        <f t="shared" si="18"/>
        <v>#N/A</v>
      </c>
      <c r="DI68" s="679" t="e">
        <f t="shared" si="19"/>
        <v>#N/A</v>
      </c>
      <c r="DJ68" s="679" t="e">
        <f t="shared" si="20"/>
        <v>#N/A</v>
      </c>
      <c r="DK68" s="649">
        <f t="shared" si="21"/>
        <v>980.65770074826685</v>
      </c>
      <c r="DL68" s="649" t="str">
        <f t="shared" si="22"/>
        <v/>
      </c>
      <c r="DM68" s="561" t="str">
        <f t="shared" si="23"/>
        <v/>
      </c>
      <c r="DN68" s="676" t="e">
        <f t="shared" si="7"/>
        <v>#N/A</v>
      </c>
    </row>
    <row r="69" spans="2:118">
      <c r="B69" s="663" t="s">
        <v>377</v>
      </c>
      <c r="AX69" s="581"/>
      <c r="CK69" s="647"/>
      <c r="CL69" s="647"/>
      <c r="CM69" s="647"/>
      <c r="CN69" s="643">
        <v>10</v>
      </c>
      <c r="CO69" s="656">
        <v>153.51900000000001</v>
      </c>
      <c r="CP69" s="639">
        <f t="shared" si="8"/>
        <v>980.22990091006454</v>
      </c>
      <c r="CQ69" s="644">
        <f t="shared" si="9"/>
        <v>5390.2971165652407</v>
      </c>
      <c r="CR69" s="644">
        <f t="shared" si="10"/>
        <v>9.8022990091006452</v>
      </c>
      <c r="CS69" s="644">
        <f t="shared" si="11"/>
        <v>53.902971165652403</v>
      </c>
      <c r="CT69" s="645"/>
      <c r="CU69" s="656">
        <v>141.74100000000001</v>
      </c>
      <c r="CV69" s="639">
        <f t="shared" si="4"/>
        <v>666.1941377627378</v>
      </c>
      <c r="CW69" s="644">
        <f t="shared" si="12"/>
        <v>2546.2076153630369</v>
      </c>
      <c r="CX69" s="644">
        <f t="shared" si="13"/>
        <v>7.6609261472255952</v>
      </c>
      <c r="CY69" s="644">
        <f t="shared" si="14"/>
        <v>29.280216368020206</v>
      </c>
      <c r="CZ69" s="645"/>
      <c r="DA69" s="644">
        <f t="shared" si="15"/>
        <v>2844.0895012022038</v>
      </c>
      <c r="DB69" s="644">
        <f t="shared" si="16"/>
        <v>111.69904150949195</v>
      </c>
      <c r="DC69" s="647"/>
      <c r="DD69" s="647"/>
      <c r="DE69" s="647">
        <f t="shared" si="5"/>
        <v>0</v>
      </c>
      <c r="DF69" s="647">
        <f t="shared" si="6"/>
        <v>0</v>
      </c>
      <c r="DG69" s="679" t="e">
        <f t="shared" si="17"/>
        <v>#N/A</v>
      </c>
      <c r="DH69" s="679" t="e">
        <f t="shared" si="18"/>
        <v>#N/A</v>
      </c>
      <c r="DI69" s="679" t="e">
        <f t="shared" si="19"/>
        <v>#N/A</v>
      </c>
      <c r="DJ69" s="679" t="e">
        <f t="shared" si="20"/>
        <v>#N/A</v>
      </c>
      <c r="DK69" s="649" t="str">
        <f t="shared" si="21"/>
        <v/>
      </c>
      <c r="DL69" s="649" t="str">
        <f t="shared" si="22"/>
        <v/>
      </c>
      <c r="DM69" s="561" t="str">
        <f t="shared" si="23"/>
        <v/>
      </c>
      <c r="DN69" s="676" t="e">
        <f t="shared" si="7"/>
        <v>#N/A</v>
      </c>
    </row>
    <row r="70" spans="2:118">
      <c r="B70" s="663" t="s">
        <v>378</v>
      </c>
      <c r="AX70" s="581"/>
      <c r="CK70" s="647">
        <f xml:space="preserve"> IF(AND(SUM($CK$69:$CK69) = 0, CR70 &lt; $C$93), CR70, 0)</f>
        <v>0</v>
      </c>
      <c r="CL70" s="647">
        <f xml:space="preserve"> IF(AND(SUM($CL$69:$CL69) = 0, CX70 &lt; $C$93), CX70, 0)</f>
        <v>0</v>
      </c>
      <c r="CM70" s="647"/>
      <c r="CN70" s="641">
        <v>11</v>
      </c>
      <c r="CO70" s="654">
        <v>147.55199999999999</v>
      </c>
      <c r="CP70" s="638">
        <f t="shared" si="8"/>
        <v>942.13017502121454</v>
      </c>
      <c r="CQ70" s="642">
        <f t="shared" si="9"/>
        <v>6332.4272915864549</v>
      </c>
      <c r="CR70" s="642">
        <f t="shared" si="10"/>
        <v>9.4213017502121446</v>
      </c>
      <c r="CS70" s="642">
        <f t="shared" si="11"/>
        <v>63.324272915864547</v>
      </c>
      <c r="CT70" s="636"/>
      <c r="CU70" s="654">
        <v>148.83000000000001</v>
      </c>
      <c r="CV70" s="638">
        <f t="shared" si="4"/>
        <v>699.51300980822953</v>
      </c>
      <c r="CW70" s="642">
        <f xml:space="preserve"> CW69 + CV70</f>
        <v>3245.7206251712664</v>
      </c>
      <c r="CX70" s="642">
        <f t="shared" si="13"/>
        <v>8.0440778496806509</v>
      </c>
      <c r="CY70" s="642">
        <f t="shared" si="14"/>
        <v>37.324294217700853</v>
      </c>
      <c r="CZ70" s="636"/>
      <c r="DA70" s="642">
        <f t="shared" si="15"/>
        <v>3086.7066664151885</v>
      </c>
      <c r="DB70" s="642">
        <f t="shared" si="16"/>
        <v>95.100811896042742</v>
      </c>
      <c r="DC70" s="647"/>
      <c r="DD70" s="647"/>
      <c r="DE70" s="647">
        <f t="shared" si="5"/>
        <v>0</v>
      </c>
      <c r="DF70" s="647">
        <f t="shared" si="6"/>
        <v>0</v>
      </c>
      <c r="DG70" s="679" t="e">
        <f t="shared" si="17"/>
        <v>#N/A</v>
      </c>
      <c r="DH70" s="679" t="e">
        <f t="shared" si="18"/>
        <v>#N/A</v>
      </c>
      <c r="DI70" s="679" t="e">
        <f t="shared" si="19"/>
        <v>#N/A</v>
      </c>
      <c r="DJ70" s="679" t="e">
        <f t="shared" si="20"/>
        <v>#N/A</v>
      </c>
      <c r="DK70" s="649" t="str">
        <f t="shared" si="21"/>
        <v/>
      </c>
      <c r="DL70" s="649" t="str">
        <f t="shared" si="22"/>
        <v/>
      </c>
      <c r="DM70" s="561" t="str">
        <f t="shared" si="23"/>
        <v/>
      </c>
      <c r="DN70" s="676" t="e">
        <f t="shared" si="7"/>
        <v>#N/A</v>
      </c>
    </row>
    <row r="71" spans="2:118">
      <c r="B71" s="665" t="s">
        <v>382</v>
      </c>
      <c r="AX71" s="581"/>
      <c r="CK71" s="647">
        <f xml:space="preserve"> IF(AND(SUM($CK$69:$CK70) = 0, CR71 &lt; $C$93), CR71, 0)</f>
        <v>0</v>
      </c>
      <c r="CL71" s="647">
        <f xml:space="preserve"> IF(AND(SUM($CL$69:$CL70) = 0, CX71 &lt; $C$93), CX71, 0)</f>
        <v>0</v>
      </c>
      <c r="CM71" s="647"/>
      <c r="CN71" s="641">
        <v>12</v>
      </c>
      <c r="CO71" s="654">
        <v>133.495</v>
      </c>
      <c r="CP71" s="638">
        <f t="shared" si="8"/>
        <v>852.37521493749341</v>
      </c>
      <c r="CQ71" s="642">
        <f t="shared" si="9"/>
        <v>7184.8025065239481</v>
      </c>
      <c r="CR71" s="642">
        <f t="shared" si="10"/>
        <v>8.5237521493749338</v>
      </c>
      <c r="CS71" s="642">
        <f t="shared" si="11"/>
        <v>71.848025065239483</v>
      </c>
      <c r="CT71" s="636"/>
      <c r="CU71" s="654">
        <v>149.26300000000001</v>
      </c>
      <c r="CV71" s="638">
        <f t="shared" si="4"/>
        <v>701.54814474908119</v>
      </c>
      <c r="CW71" s="642">
        <f t="shared" si="12"/>
        <v>3947.2687699203475</v>
      </c>
      <c r="CX71" s="642">
        <f t="shared" si="13"/>
        <v>8.0674809653758182</v>
      </c>
      <c r="CY71" s="642">
        <f t="shared" si="14"/>
        <v>45.391775183076675</v>
      </c>
      <c r="CZ71" s="636"/>
      <c r="DA71" s="642">
        <f t="shared" si="15"/>
        <v>3237.5337366036006</v>
      </c>
      <c r="DB71" s="642">
        <f t="shared" si="16"/>
        <v>82.019591908076009</v>
      </c>
      <c r="DC71" s="647"/>
      <c r="DD71" s="647"/>
      <c r="DE71" s="647">
        <f t="shared" si="5"/>
        <v>0</v>
      </c>
      <c r="DF71" s="647">
        <f t="shared" si="6"/>
        <v>0</v>
      </c>
      <c r="DG71" s="679" t="e">
        <f t="shared" si="17"/>
        <v>#N/A</v>
      </c>
      <c r="DH71" s="679" t="e">
        <f t="shared" si="18"/>
        <v>#N/A</v>
      </c>
      <c r="DI71" s="679" t="e">
        <f t="shared" si="19"/>
        <v>#N/A</v>
      </c>
      <c r="DJ71" s="679" t="e">
        <f t="shared" si="20"/>
        <v>#N/A</v>
      </c>
      <c r="DK71" s="649" t="str">
        <f t="shared" si="21"/>
        <v/>
      </c>
      <c r="DL71" s="649">
        <f t="shared" si="22"/>
        <v>701.54814474908119</v>
      </c>
      <c r="DM71" s="561" t="str">
        <f t="shared" si="23"/>
        <v/>
      </c>
      <c r="DN71" s="676" t="e">
        <f t="shared" si="7"/>
        <v>#N/A</v>
      </c>
    </row>
    <row r="72" spans="2:118">
      <c r="AX72" s="581"/>
      <c r="CK72" s="647">
        <f xml:space="preserve"> IF(AND(SUM($CK$69:$CK71) = 0, CR72 &lt; $C$93), CR72, 0)</f>
        <v>0</v>
      </c>
      <c r="CL72" s="647">
        <f xml:space="preserve"> IF(AND(SUM($CL$69:$CL71) = 0, CX72 &lt; $C$93), CX72, 0)</f>
        <v>0</v>
      </c>
      <c r="CM72" s="647"/>
      <c r="CN72" s="641">
        <v>13</v>
      </c>
      <c r="CO72" s="654">
        <v>110.70099999999999</v>
      </c>
      <c r="CP72" s="638">
        <f t="shared" si="8"/>
        <v>706.83387893775387</v>
      </c>
      <c r="CQ72" s="642">
        <f t="shared" si="9"/>
        <v>7891.636385461702</v>
      </c>
      <c r="CR72" s="642">
        <f t="shared" si="10"/>
        <v>7.0683387893775391</v>
      </c>
      <c r="CS72" s="642">
        <f t="shared" si="11"/>
        <v>78.916363854617018</v>
      </c>
      <c r="CT72" s="636"/>
      <c r="CU72" s="654">
        <v>144.83000000000001</v>
      </c>
      <c r="CV72" s="638">
        <f t="shared" si="4"/>
        <v>680.71268702899886</v>
      </c>
      <c r="CW72" s="642">
        <f t="shared" si="12"/>
        <v>4627.9814569493465</v>
      </c>
      <c r="CX72" s="642">
        <f t="shared" si="13"/>
        <v>7.827882785522065</v>
      </c>
      <c r="CY72" s="642">
        <f t="shared" si="14"/>
        <v>53.219657968598739</v>
      </c>
      <c r="CZ72" s="636"/>
      <c r="DA72" s="642">
        <f t="shared" si="15"/>
        <v>3263.6549285123556</v>
      </c>
      <c r="DB72" s="642">
        <f t="shared" si="16"/>
        <v>70.520051968049117</v>
      </c>
      <c r="DC72" s="647"/>
      <c r="DD72" s="647"/>
      <c r="DE72" s="647">
        <f t="shared" si="5"/>
        <v>0</v>
      </c>
      <c r="DF72" s="647">
        <f t="shared" si="6"/>
        <v>0</v>
      </c>
      <c r="DG72" s="679" t="e">
        <f t="shared" si="17"/>
        <v>#N/A</v>
      </c>
      <c r="DH72" s="679" t="e">
        <f t="shared" si="18"/>
        <v>#N/A</v>
      </c>
      <c r="DI72" s="679" t="e">
        <f t="shared" si="19"/>
        <v>#N/A</v>
      </c>
      <c r="DJ72" s="679" t="e">
        <f t="shared" si="20"/>
        <v>#N/A</v>
      </c>
      <c r="DK72" s="649" t="str">
        <f t="shared" si="21"/>
        <v/>
      </c>
      <c r="DL72" s="649" t="str">
        <f t="shared" si="22"/>
        <v/>
      </c>
      <c r="DM72" s="561" t="str">
        <f t="shared" si="23"/>
        <v/>
      </c>
      <c r="DN72" s="676" t="e">
        <f t="shared" si="7"/>
        <v>#N/A</v>
      </c>
    </row>
    <row r="73" spans="2:118">
      <c r="B73" s="597" t="s">
        <v>346</v>
      </c>
      <c r="AX73" s="581"/>
      <c r="CK73" s="647">
        <f xml:space="preserve"> IF(AND(SUM($CK$69:$CK72) = 0, CR73 &lt; $C$93), CR73, 0)</f>
        <v>0</v>
      </c>
      <c r="CL73" s="647">
        <f xml:space="preserve"> IF(AND(SUM($CL$69:$CL72) = 0, CX73 &lt; $C$93), CX73, 0)</f>
        <v>0</v>
      </c>
      <c r="CM73" s="647"/>
      <c r="CN73" s="641">
        <v>14</v>
      </c>
      <c r="CO73" s="654">
        <v>83.944999999999993</v>
      </c>
      <c r="CP73" s="638">
        <f t="shared" si="8"/>
        <v>535.99488683417269</v>
      </c>
      <c r="CQ73" s="642">
        <f t="shared" si="9"/>
        <v>8427.6312722958755</v>
      </c>
      <c r="CR73" s="642">
        <f t="shared" si="10"/>
        <v>5.3599488683417267</v>
      </c>
      <c r="CS73" s="642">
        <f t="shared" si="11"/>
        <v>84.27631272295875</v>
      </c>
      <c r="CT73" s="636"/>
      <c r="CU73" s="654">
        <v>132.73599999999999</v>
      </c>
      <c r="CV73" s="638">
        <f t="shared" si="4"/>
        <v>623.86991110599433</v>
      </c>
      <c r="CW73" s="642">
        <f t="shared" si="12"/>
        <v>5251.8513680553406</v>
      </c>
      <c r="CX73" s="642">
        <f t="shared" si="13"/>
        <v>7.1742170090385731</v>
      </c>
      <c r="CY73" s="642">
        <f t="shared" si="14"/>
        <v>60.39387497763731</v>
      </c>
      <c r="CZ73" s="636"/>
      <c r="DA73" s="642">
        <f t="shared" si="15"/>
        <v>3175.779904240535</v>
      </c>
      <c r="DB73" s="642">
        <f t="shared" si="16"/>
        <v>60.469721659630004</v>
      </c>
      <c r="DC73" s="647"/>
      <c r="DD73" s="647"/>
      <c r="DE73" s="647">
        <f t="shared" si="5"/>
        <v>0</v>
      </c>
      <c r="DF73" s="647">
        <f t="shared" si="6"/>
        <v>0</v>
      </c>
      <c r="DG73" s="679" t="e">
        <f t="shared" si="17"/>
        <v>#N/A</v>
      </c>
      <c r="DH73" s="679" t="e">
        <f t="shared" si="18"/>
        <v>#N/A</v>
      </c>
      <c r="DI73" s="679" t="e">
        <f t="shared" si="19"/>
        <v>#N/A</v>
      </c>
      <c r="DJ73" s="679" t="e">
        <f t="shared" si="20"/>
        <v>#N/A</v>
      </c>
      <c r="DK73" s="649" t="str">
        <f t="shared" si="21"/>
        <v/>
      </c>
      <c r="DL73" s="649" t="str">
        <f t="shared" si="22"/>
        <v/>
      </c>
      <c r="DM73" s="561" t="str">
        <f t="shared" si="23"/>
        <v/>
      </c>
      <c r="DN73" s="676">
        <f t="shared" si="7"/>
        <v>-100000000</v>
      </c>
    </row>
    <row r="74" spans="2:118">
      <c r="B74" s="599" t="s">
        <v>360</v>
      </c>
      <c r="AX74" s="581"/>
      <c r="CK74" s="647">
        <f xml:space="preserve"> IF(AND(SUM($CK$69:$CK73) = 0, CR74 &lt; $C$93), CR74, 0)</f>
        <v>0</v>
      </c>
      <c r="CL74" s="647">
        <f xml:space="preserve"> IF(AND(SUM($CL$69:$CL73) = 0, CX74 &lt; $C$93), CX74, 0)</f>
        <v>0</v>
      </c>
      <c r="CM74" s="647"/>
      <c r="CN74" s="641">
        <v>15</v>
      </c>
      <c r="CO74" s="654">
        <v>60.372999999999998</v>
      </c>
      <c r="CP74" s="638">
        <f t="shared" si="8"/>
        <v>385.48596465351727</v>
      </c>
      <c r="CQ74" s="642">
        <f t="shared" si="9"/>
        <v>8813.1172369493925</v>
      </c>
      <c r="CR74" s="642">
        <f t="shared" si="10"/>
        <v>3.8548596465351728</v>
      </c>
      <c r="CS74" s="642">
        <f t="shared" si="11"/>
        <v>88.131172369493925</v>
      </c>
      <c r="CT74" s="636"/>
      <c r="CU74" s="654">
        <v>114.765</v>
      </c>
      <c r="CV74" s="638">
        <f t="shared" si="4"/>
        <v>539.40476093960524</v>
      </c>
      <c r="CW74" s="642">
        <f t="shared" si="12"/>
        <v>5791.2561289949463</v>
      </c>
      <c r="CX74" s="642">
        <f t="shared" si="13"/>
        <v>6.2029066345400787</v>
      </c>
      <c r="CY74" s="642">
        <f t="shared" si="14"/>
        <v>66.596781612177395</v>
      </c>
      <c r="CZ74" s="636"/>
      <c r="DA74" s="642">
        <f t="shared" si="15"/>
        <v>3021.8611079544462</v>
      </c>
      <c r="DB74" s="642">
        <f t="shared" si="16"/>
        <v>52.179717847825188</v>
      </c>
      <c r="DC74" s="647"/>
      <c r="DD74" s="647"/>
      <c r="DE74" s="647">
        <f t="shared" si="5"/>
        <v>0</v>
      </c>
      <c r="DF74" s="647">
        <f t="shared" si="6"/>
        <v>0</v>
      </c>
      <c r="DG74" s="679" t="e">
        <f t="shared" si="17"/>
        <v>#N/A</v>
      </c>
      <c r="DH74" s="679" t="e">
        <f t="shared" si="18"/>
        <v>#N/A</v>
      </c>
      <c r="DI74" s="679" t="e">
        <f t="shared" si="19"/>
        <v>#N/A</v>
      </c>
      <c r="DJ74" s="679" t="e">
        <f t="shared" si="20"/>
        <v>#N/A</v>
      </c>
      <c r="DK74" s="649" t="str">
        <f t="shared" si="21"/>
        <v/>
      </c>
      <c r="DL74" s="649" t="str">
        <f t="shared" si="22"/>
        <v/>
      </c>
      <c r="DM74" s="561" t="str">
        <f t="shared" si="23"/>
        <v>Day 15: 8,813.1 m³ (88.1%)
TGP(Standard) surpassed</v>
      </c>
      <c r="DN74" s="676">
        <f t="shared" si="7"/>
        <v>8813.1172369493925</v>
      </c>
    </row>
    <row r="75" spans="2:118">
      <c r="B75" s="665" t="s">
        <v>387</v>
      </c>
      <c r="AX75" s="581"/>
      <c r="CK75" s="647">
        <f xml:space="preserve"> IF(AND(SUM($CK$69:$CK74) = 0, CR75 &lt; $C$93), CR75, 0)</f>
        <v>0</v>
      </c>
      <c r="CL75" s="647">
        <f xml:space="preserve"> IF(AND(SUM($CL$69:$CL74) = 0, CX75 &lt; $C$93), CX75, 0)</f>
        <v>0</v>
      </c>
      <c r="CM75" s="647"/>
      <c r="CN75" s="641">
        <v>16</v>
      </c>
      <c r="CO75" s="654">
        <v>42.707000000000001</v>
      </c>
      <c r="CP75" s="638">
        <f t="shared" si="8"/>
        <v>272.68727895678137</v>
      </c>
      <c r="CQ75" s="642">
        <f t="shared" si="9"/>
        <v>9085.804515906173</v>
      </c>
      <c r="CR75" s="642">
        <f t="shared" si="10"/>
        <v>2.7268727895678135</v>
      </c>
      <c r="CS75" s="642">
        <f t="shared" si="11"/>
        <v>90.858045159061732</v>
      </c>
      <c r="CT75" s="636"/>
      <c r="CU75" s="654">
        <v>97.614999999999995</v>
      </c>
      <c r="CV75" s="638">
        <f t="shared" si="4"/>
        <v>458.79837702365325</v>
      </c>
      <c r="CW75" s="642">
        <f t="shared" si="12"/>
        <v>6250.0545060185996</v>
      </c>
      <c r="CX75" s="642">
        <f t="shared" si="13"/>
        <v>5.2759702969601339</v>
      </c>
      <c r="CY75" s="642">
        <f t="shared" si="14"/>
        <v>71.872751909137534</v>
      </c>
      <c r="CZ75" s="636"/>
      <c r="DA75" s="642">
        <f t="shared" si="15"/>
        <v>2835.7500098875735</v>
      </c>
      <c r="DB75" s="642">
        <f t="shared" si="16"/>
        <v>45.371604474118399</v>
      </c>
      <c r="DC75" s="647"/>
      <c r="DD75" s="647"/>
      <c r="DE75" s="647">
        <f t="shared" si="5"/>
        <v>0</v>
      </c>
      <c r="DF75" s="647">
        <f t="shared" si="6"/>
        <v>0</v>
      </c>
      <c r="DG75" s="679" t="e">
        <f t="shared" si="17"/>
        <v>#N/A</v>
      </c>
      <c r="DH75" s="679" t="e">
        <f t="shared" si="18"/>
        <v>#N/A</v>
      </c>
      <c r="DI75" s="679" t="e">
        <f t="shared" si="19"/>
        <v>#N/A</v>
      </c>
      <c r="DJ75" s="679" t="e">
        <f t="shared" si="20"/>
        <v>#N/A</v>
      </c>
      <c r="DK75" s="649" t="str">
        <f t="shared" si="21"/>
        <v/>
      </c>
      <c r="DL75" s="649" t="str">
        <f t="shared" si="22"/>
        <v/>
      </c>
      <c r="DM75" s="561" t="str">
        <f t="shared" si="23"/>
        <v/>
      </c>
      <c r="DN75" s="676" t="e">
        <f t="shared" si="7"/>
        <v>#N/A</v>
      </c>
    </row>
    <row r="76" spans="2:118">
      <c r="B76" s="664" t="str">
        <f xml:space="preserve"> "- 100% biogas produced within 40 days and recoverd with additive Standard = TGP(Standard) = " &amp; TEXT(CV100,"#,##0") &amp; " m³"</f>
        <v>- 100% biogas produced within 40 days and recoverd with additive Standard = TGP(Standard) = 8,696 m³</v>
      </c>
      <c r="AX76" s="581"/>
      <c r="CK76" s="647">
        <f xml:space="preserve"> IF(AND(SUM($CK$69:$CK75) = 0, CR76 &lt; $C$93), CR76, 0)</f>
        <v>0</v>
      </c>
      <c r="CL76" s="647">
        <f xml:space="preserve"> IF(AND(SUM($CL$69:$CL75) = 0, CX76 &lt; $C$93), CX76, 0)</f>
        <v>0</v>
      </c>
      <c r="CM76" s="647"/>
      <c r="CN76" s="641">
        <v>17</v>
      </c>
      <c r="CO76" s="654">
        <v>30.405999999999999</v>
      </c>
      <c r="CP76" s="638">
        <f t="shared" si="8"/>
        <v>194.14450567728696</v>
      </c>
      <c r="CQ76" s="642">
        <f t="shared" si="9"/>
        <v>9279.9490215834594</v>
      </c>
      <c r="CR76" s="642">
        <f t="shared" si="10"/>
        <v>1.9414450567728698</v>
      </c>
      <c r="CS76" s="642">
        <f t="shared" si="11"/>
        <v>92.799490215834595</v>
      </c>
      <c r="CT76" s="636"/>
      <c r="CU76" s="654">
        <v>83.673000000000002</v>
      </c>
      <c r="CV76" s="638">
        <f t="shared" si="4"/>
        <v>393.26985197664436</v>
      </c>
      <c r="CW76" s="642">
        <f t="shared" si="12"/>
        <v>6643.3243579952441</v>
      </c>
      <c r="CX76" s="642">
        <f t="shared" si="13"/>
        <v>4.5224224008353771</v>
      </c>
      <c r="CY76" s="642">
        <f t="shared" si="14"/>
        <v>76.395174309972916</v>
      </c>
      <c r="CZ76" s="636"/>
      <c r="DA76" s="642">
        <f t="shared" si="15"/>
        <v>2636.6246635882153</v>
      </c>
      <c r="DB76" s="642">
        <f t="shared" si="16"/>
        <v>39.688332550179283</v>
      </c>
      <c r="DC76" s="647"/>
      <c r="DD76" s="647"/>
      <c r="DE76" s="647">
        <f t="shared" si="5"/>
        <v>0</v>
      </c>
      <c r="DF76" s="647">
        <f t="shared" si="6"/>
        <v>0</v>
      </c>
      <c r="DG76" s="679" t="e">
        <f t="shared" si="17"/>
        <v>#N/A</v>
      </c>
      <c r="DH76" s="679" t="e">
        <f t="shared" si="18"/>
        <v>#N/A</v>
      </c>
      <c r="DI76" s="679" t="e">
        <f t="shared" si="19"/>
        <v>#N/A</v>
      </c>
      <c r="DJ76" s="679" t="e">
        <f t="shared" si="20"/>
        <v>#N/A</v>
      </c>
      <c r="DK76" s="649" t="str">
        <f t="shared" si="21"/>
        <v/>
      </c>
      <c r="DL76" s="649" t="str">
        <f t="shared" si="22"/>
        <v/>
      </c>
      <c r="DM76" s="561" t="str">
        <f t="shared" si="23"/>
        <v/>
      </c>
      <c r="DN76" s="676" t="e">
        <f t="shared" si="7"/>
        <v>#N/A</v>
      </c>
    </row>
    <row r="77" spans="2:118">
      <c r="B77" s="664" t="str">
        <f xml:space="preserve"> "- 100% biogas produced within 40 days and recoverd with additive SBGx = TGP(SBGx) = " &amp; TEXT(CP100,"#,##0") &amp; " m³"</f>
        <v>- 100% biogas produced within 40 days and recoverd with additive SBGx = TGP(SBGx) = 10,000 m³</v>
      </c>
      <c r="AX77" s="581"/>
      <c r="CK77" s="647">
        <f xml:space="preserve"> IF(AND(SUM($CK$69:$CK76) = 0, CR77 &lt; $C$93), CR77, 0)</f>
        <v>0</v>
      </c>
      <c r="CL77" s="647">
        <f xml:space="preserve"> IF(AND(SUM($CL$69:$CL76) = 0, CX77 &lt; $C$93), CX77, 0)</f>
        <v>0</v>
      </c>
      <c r="CM77" s="647"/>
      <c r="CN77" s="641">
        <v>18</v>
      </c>
      <c r="CO77" s="654">
        <v>22.318000000000001</v>
      </c>
      <c r="CP77" s="638">
        <f t="shared" si="8"/>
        <v>142.5020416268398</v>
      </c>
      <c r="CQ77" s="642">
        <f t="shared" si="9"/>
        <v>9422.4510632102993</v>
      </c>
      <c r="CR77" s="642">
        <f t="shared" si="10"/>
        <v>1.4250204162683979</v>
      </c>
      <c r="CS77" s="642">
        <f t="shared" si="11"/>
        <v>94.224510632102991</v>
      </c>
      <c r="CT77" s="636"/>
      <c r="CU77" s="654">
        <v>71.954999999999998</v>
      </c>
      <c r="CV77" s="638">
        <f t="shared" si="4"/>
        <v>338.1943063948878</v>
      </c>
      <c r="CW77" s="642">
        <f t="shared" si="12"/>
        <v>6981.5186643901316</v>
      </c>
      <c r="CX77" s="642">
        <f t="shared" si="13"/>
        <v>3.8890789603827942</v>
      </c>
      <c r="CY77" s="642">
        <f t="shared" si="14"/>
        <v>80.284253270355705</v>
      </c>
      <c r="CZ77" s="636"/>
      <c r="DA77" s="642">
        <f t="shared" si="15"/>
        <v>2440.9323988201677</v>
      </c>
      <c r="DB77" s="642">
        <f t="shared" si="16"/>
        <v>34.962771227274153</v>
      </c>
      <c r="DC77" s="647"/>
      <c r="DD77" s="647"/>
      <c r="DE77" s="647">
        <f t="shared" si="5"/>
        <v>0</v>
      </c>
      <c r="DF77" s="647">
        <f t="shared" si="6"/>
        <v>0</v>
      </c>
      <c r="DG77" s="679">
        <f t="shared" si="17"/>
        <v>-100000000</v>
      </c>
      <c r="DH77" s="679" t="e">
        <f xml:space="preserve"> IF(CN77 = $D$87, CW77, NA())</f>
        <v>#N/A</v>
      </c>
      <c r="DI77" s="679" t="e">
        <f t="shared" si="19"/>
        <v>#N/A</v>
      </c>
      <c r="DJ77" s="679" t="e">
        <f t="shared" si="20"/>
        <v>#N/A</v>
      </c>
      <c r="DK77" s="649" t="str">
        <f t="shared" si="21"/>
        <v/>
      </c>
      <c r="DL77" s="649" t="str">
        <f t="shared" si="22"/>
        <v/>
      </c>
      <c r="DM77" s="561" t="str">
        <f t="shared" si="23"/>
        <v/>
      </c>
      <c r="DN77" s="676" t="e">
        <f t="shared" si="7"/>
        <v>#N/A</v>
      </c>
    </row>
    <row r="78" spans="2:118">
      <c r="AX78" s="581"/>
      <c r="CK78" s="647">
        <f xml:space="preserve"> IF(AND(SUM($CK$69:$CK77) = 0, CR78 &lt; $C$93), CR78, 0)</f>
        <v>1.1182176964830386</v>
      </c>
      <c r="CL78" s="647">
        <f xml:space="preserve"> IF(AND(SUM($CL$69:$CL77) = 0, CX78 &lt; $C$93), CX78, 0)</f>
        <v>0</v>
      </c>
      <c r="CM78" s="647"/>
      <c r="CN78" s="641">
        <v>19</v>
      </c>
      <c r="CO78" s="654">
        <v>17.513000000000002</v>
      </c>
      <c r="CP78" s="638">
        <f t="shared" si="8"/>
        <v>111.82176964830386</v>
      </c>
      <c r="CQ78" s="642">
        <f t="shared" si="9"/>
        <v>9534.2728328586036</v>
      </c>
      <c r="CR78" s="642">
        <f t="shared" si="10"/>
        <v>1.1182176964830386</v>
      </c>
      <c r="CS78" s="642">
        <f t="shared" si="11"/>
        <v>95.342728328586034</v>
      </c>
      <c r="CT78" s="636"/>
      <c r="CU78" s="654">
        <v>61.999000000000002</v>
      </c>
      <c r="CV78" s="638">
        <f t="shared" si="4"/>
        <v>291.40030299738237</v>
      </c>
      <c r="CW78" s="642">
        <f t="shared" si="12"/>
        <v>7272.9189673875135</v>
      </c>
      <c r="CX78" s="642">
        <f t="shared" si="13"/>
        <v>3.3509694456920696</v>
      </c>
      <c r="CY78" s="642">
        <f t="shared" si="14"/>
        <v>83.635222716047778</v>
      </c>
      <c r="CZ78" s="636"/>
      <c r="DA78" s="642">
        <f t="shared" si="15"/>
        <v>2261.3538654710901</v>
      </c>
      <c r="DB78" s="642">
        <f t="shared" si="16"/>
        <v>31.092796105816987</v>
      </c>
      <c r="DC78" s="647"/>
      <c r="DD78" s="647"/>
      <c r="DE78" s="647">
        <f t="shared" si="5"/>
        <v>1029.6905857856802</v>
      </c>
      <c r="DF78" s="647">
        <f t="shared" si="6"/>
        <v>0</v>
      </c>
      <c r="DG78" s="679">
        <f t="shared" si="17"/>
        <v>9534.2728328586036</v>
      </c>
      <c r="DH78" s="679">
        <f t="shared" si="18"/>
        <v>7272.9189673875135</v>
      </c>
      <c r="DI78" s="679" t="e">
        <f t="shared" si="19"/>
        <v>#N/A</v>
      </c>
      <c r="DJ78" s="679" t="e">
        <f t="shared" si="20"/>
        <v>#N/A</v>
      </c>
      <c r="DK78" s="649">
        <f t="shared" si="21"/>
        <v>111.82176964830386</v>
      </c>
      <c r="DL78" s="649">
        <f t="shared" si="22"/>
        <v>291.40030299738237</v>
      </c>
      <c r="DM78" s="561" t="str">
        <f t="shared" si="23"/>
        <v/>
      </c>
      <c r="DN78" s="676" t="e">
        <f t="shared" si="7"/>
        <v>#N/A</v>
      </c>
    </row>
    <row r="79" spans="2:118">
      <c r="B79" s="299" t="s">
        <v>379</v>
      </c>
      <c r="AX79" s="581"/>
      <c r="CK79" s="647">
        <f xml:space="preserve"> IF(AND(SUM($CK$69:$CK78) = 0, CR79 &lt; $C$93), CR79, 0)</f>
        <v>0</v>
      </c>
      <c r="CL79" s="647">
        <f xml:space="preserve"> IF(AND(SUM($CL$69:$CL78) = 0, CX79 &lt; $C$93), CX79, 0)</f>
        <v>0</v>
      </c>
      <c r="CM79" s="647"/>
      <c r="CN79" s="643">
        <v>20</v>
      </c>
      <c r="CO79" s="656">
        <v>14.209</v>
      </c>
      <c r="CP79" s="639">
        <f t="shared" si="8"/>
        <v>90.725491059941149</v>
      </c>
      <c r="CQ79" s="644">
        <f t="shared" si="9"/>
        <v>9624.998323918544</v>
      </c>
      <c r="CR79" s="644">
        <f t="shared" si="10"/>
        <v>0.90725491059941155</v>
      </c>
      <c r="CS79" s="644">
        <f t="shared" si="11"/>
        <v>96.24998323918544</v>
      </c>
      <c r="CT79" s="645"/>
      <c r="CU79" s="656">
        <v>53.366999999999997</v>
      </c>
      <c r="CV79" s="639">
        <f t="shared" si="4"/>
        <v>250.82920643980233</v>
      </c>
      <c r="CW79" s="644">
        <f t="shared" si="12"/>
        <v>7523.7481738273154</v>
      </c>
      <c r="CX79" s="644">
        <f t="shared" si="13"/>
        <v>2.8844204972378376</v>
      </c>
      <c r="CY79" s="644">
        <f t="shared" si="14"/>
        <v>86.519643213285619</v>
      </c>
      <c r="CZ79" s="645"/>
      <c r="DA79" s="644">
        <f t="shared" si="15"/>
        <v>2101.2501500912285</v>
      </c>
      <c r="DB79" s="644">
        <f t="shared" si="16"/>
        <v>27.928236053949778</v>
      </c>
      <c r="DC79" s="647"/>
      <c r="DD79" s="647"/>
      <c r="DE79" s="647">
        <f t="shared" si="5"/>
        <v>0</v>
      </c>
      <c r="DF79" s="647">
        <f t="shared" si="6"/>
        <v>0</v>
      </c>
      <c r="DG79" s="679" t="e">
        <f t="shared" si="17"/>
        <v>#N/A</v>
      </c>
      <c r="DH79" s="679" t="e">
        <f t="shared" si="18"/>
        <v>#N/A</v>
      </c>
      <c r="DI79" s="679" t="e">
        <f t="shared" si="19"/>
        <v>#N/A</v>
      </c>
      <c r="DJ79" s="679" t="e">
        <f t="shared" si="20"/>
        <v>#N/A</v>
      </c>
      <c r="DK79" s="649" t="str">
        <f t="shared" si="21"/>
        <v/>
      </c>
      <c r="DL79" s="649" t="str">
        <f t="shared" si="22"/>
        <v/>
      </c>
      <c r="DM79" s="561" t="str">
        <f t="shared" si="23"/>
        <v/>
      </c>
      <c r="DN79" s="676" t="e">
        <f t="shared" si="7"/>
        <v>#N/A</v>
      </c>
    </row>
    <row r="80" spans="2:118">
      <c r="B80" s="598" t="str">
        <f xml:space="preserve"> "As the TGP(SBGx) is "&amp; TEXT((CP100-CV100)/CV100,"0%") &amp; " higher than the TGP(Standard), with SBGx the TGP(Standard) level is reached"</f>
        <v>As the TGP(SBGx) is 15% higher than the TGP(Standard), with SBGx the TGP(Standard) level is reached</v>
      </c>
      <c r="AX80" s="581"/>
      <c r="CK80" s="647">
        <f xml:space="preserve"> IF(AND(SUM($CK$69:$CK79) = 0, CR80 &lt; $C$93), CR80, 0)</f>
        <v>0</v>
      </c>
      <c r="CL80" s="647">
        <f xml:space="preserve"> IF(AND(SUM($CL$69:$CL79) = 0, CX80 &lt; $C$93), CX80, 0)</f>
        <v>0</v>
      </c>
      <c r="CM80" s="647"/>
      <c r="CN80" s="641">
        <v>21</v>
      </c>
      <c r="CO80" s="654">
        <v>11.733000000000001</v>
      </c>
      <c r="CP80" s="638">
        <f t="shared" si="8"/>
        <v>74.916052263093079</v>
      </c>
      <c r="CQ80" s="642">
        <f xml:space="preserve"> CQ79 + CP80</f>
        <v>9699.9143761816376</v>
      </c>
      <c r="CR80" s="642">
        <f t="shared" si="10"/>
        <v>0.7491605226309308</v>
      </c>
      <c r="CS80" s="642">
        <f t="shared" si="11"/>
        <v>96.99914376181637</v>
      </c>
      <c r="CT80" s="636"/>
      <c r="CU80" s="654">
        <v>45.765000000000001</v>
      </c>
      <c r="CV80" s="638">
        <f t="shared" si="4"/>
        <v>215.09919299787424</v>
      </c>
      <c r="CW80" s="642">
        <f xml:space="preserve"> CW79 + CV80</f>
        <v>7738.84736682519</v>
      </c>
      <c r="CX80" s="642">
        <f t="shared" si="13"/>
        <v>2.4735417778044417</v>
      </c>
      <c r="CY80" s="642">
        <f t="shared" si="14"/>
        <v>88.993184991090061</v>
      </c>
      <c r="CZ80" s="636"/>
      <c r="DA80" s="642">
        <f t="shared" si="15"/>
        <v>1961.0670093564477</v>
      </c>
      <c r="DB80" s="642">
        <f t="shared" si="16"/>
        <v>25.340556757368404</v>
      </c>
      <c r="DC80" s="647"/>
      <c r="DD80" s="647"/>
      <c r="DE80" s="647">
        <f t="shared" si="5"/>
        <v>0</v>
      </c>
      <c r="DF80" s="647">
        <f t="shared" si="6"/>
        <v>0</v>
      </c>
      <c r="DG80" s="679" t="e">
        <f xml:space="preserve"> IF(CN80 = $D$87, CQ80, IF(CN81 = $D$87, -100000000, NA()))</f>
        <v>#N/A</v>
      </c>
      <c r="DH80" s="679" t="e">
        <f xml:space="preserve"> IF(CN80 = $D$87, CW80, NA())</f>
        <v>#N/A</v>
      </c>
      <c r="DI80" s="679" t="e">
        <f t="shared" si="19"/>
        <v>#N/A</v>
      </c>
      <c r="DJ80" s="679" t="e">
        <f t="shared" si="20"/>
        <v>#N/A</v>
      </c>
      <c r="DK80" s="649" t="str">
        <f t="shared" si="21"/>
        <v/>
      </c>
      <c r="DL80" s="649" t="str">
        <f t="shared" si="22"/>
        <v/>
      </c>
      <c r="DM80" s="561" t="str">
        <f t="shared" si="23"/>
        <v/>
      </c>
      <c r="DN80" s="676" t="e">
        <f t="shared" si="7"/>
        <v>#N/A</v>
      </c>
    </row>
    <row r="81" spans="2:118">
      <c r="B81" s="598" t="str">
        <f xml:space="preserve"> "and surpassed on day " &amp; CL64 &amp; "."</f>
        <v>and surpassed on day 15.</v>
      </c>
      <c r="AX81" s="581"/>
      <c r="CK81" s="647">
        <f xml:space="preserve"> IF(AND(SUM($CK$69:$CK80) = 0, CR81 &lt; $C$93), CR81, 0)</f>
        <v>0</v>
      </c>
      <c r="CL81" s="647">
        <f xml:space="preserve"> IF(AND(SUM($CL$69:$CL80) = 0, CX81 &lt; $C$93), CX81, 0)</f>
        <v>0</v>
      </c>
      <c r="CM81" s="647"/>
      <c r="CN81" s="641">
        <v>22</v>
      </c>
      <c r="CO81" s="654">
        <v>9.7170000000000005</v>
      </c>
      <c r="CP81" s="638">
        <f t="shared" si="8"/>
        <v>62.043746683753128</v>
      </c>
      <c r="CQ81" s="642">
        <f t="shared" si="9"/>
        <v>9761.9581228653915</v>
      </c>
      <c r="CR81" s="642">
        <f t="shared" si="10"/>
        <v>0.62043746683753132</v>
      </c>
      <c r="CS81" s="642">
        <f t="shared" si="11"/>
        <v>97.6195812286539</v>
      </c>
      <c r="CT81" s="636"/>
      <c r="CU81" s="654">
        <v>38.988</v>
      </c>
      <c r="CV81" s="638">
        <f t="shared" si="4"/>
        <v>183.24674612916246</v>
      </c>
      <c r="CW81" s="642">
        <f t="shared" si="12"/>
        <v>7922.0941129543526</v>
      </c>
      <c r="CX81" s="642">
        <f t="shared" si="13"/>
        <v>2.107253290353754</v>
      </c>
      <c r="CY81" s="642">
        <f t="shared" si="14"/>
        <v>91.100438281443815</v>
      </c>
      <c r="CZ81" s="636"/>
      <c r="DA81" s="642">
        <f t="shared" si="15"/>
        <v>1839.8640099110389</v>
      </c>
      <c r="DB81" s="642">
        <f t="shared" si="16"/>
        <v>23.224465446610381</v>
      </c>
      <c r="DC81" s="647"/>
      <c r="DD81" s="647"/>
      <c r="DE81" s="647">
        <f t="shared" si="5"/>
        <v>0</v>
      </c>
      <c r="DF81" s="647">
        <f t="shared" si="6"/>
        <v>0</v>
      </c>
      <c r="DG81" s="679" t="e">
        <f t="shared" si="17"/>
        <v>#N/A</v>
      </c>
      <c r="DH81" s="679" t="e">
        <f t="shared" si="18"/>
        <v>#N/A</v>
      </c>
      <c r="DI81" s="679" t="e">
        <f t="shared" si="19"/>
        <v>#N/A</v>
      </c>
      <c r="DJ81" s="679" t="e">
        <f t="shared" si="20"/>
        <v>#N/A</v>
      </c>
      <c r="DK81" s="649" t="str">
        <f t="shared" si="21"/>
        <v/>
      </c>
      <c r="DL81" s="649" t="str">
        <f t="shared" si="22"/>
        <v/>
      </c>
      <c r="DM81" s="561" t="str">
        <f t="shared" si="23"/>
        <v/>
      </c>
      <c r="DN81" s="676" t="e">
        <f t="shared" si="7"/>
        <v>#N/A</v>
      </c>
    </row>
    <row r="82" spans="2:118">
      <c r="AX82" s="581"/>
      <c r="CK82" s="647">
        <f xml:space="preserve"> IF(AND(SUM($CK$69:$CK81) = 0, CR82 &lt; $C$93), CR82, 0)</f>
        <v>0</v>
      </c>
      <c r="CL82" s="647">
        <f xml:space="preserve"> IF(AND(SUM($CL$69:$CL81) = 0, CX82 &lt; $C$93), CX82, 0)</f>
        <v>0</v>
      </c>
      <c r="CM82" s="647"/>
      <c r="CN82" s="641">
        <v>23</v>
      </c>
      <c r="CO82" s="654">
        <v>8.0470000000000006</v>
      </c>
      <c r="CP82" s="638">
        <f t="shared" si="8"/>
        <v>51.38067608975625</v>
      </c>
      <c r="CQ82" s="642">
        <f t="shared" si="9"/>
        <v>9813.3387989551484</v>
      </c>
      <c r="CR82" s="642">
        <f t="shared" si="10"/>
        <v>0.5138067608975625</v>
      </c>
      <c r="CS82" s="642">
        <f t="shared" si="11"/>
        <v>98.133387989551466</v>
      </c>
      <c r="CT82" s="636"/>
      <c r="CU82" s="654">
        <v>32.886000000000003</v>
      </c>
      <c r="CV82" s="638">
        <f t="shared" si="4"/>
        <v>154.56685372944594</v>
      </c>
      <c r="CW82" s="642">
        <f t="shared" si="12"/>
        <v>8076.6609666837985</v>
      </c>
      <c r="CX82" s="642">
        <f t="shared" si="13"/>
        <v>1.7774477199798289</v>
      </c>
      <c r="CY82" s="642">
        <f t="shared" si="14"/>
        <v>92.877886001423647</v>
      </c>
      <c r="CZ82" s="636"/>
      <c r="DA82" s="642">
        <f t="shared" si="15"/>
        <v>1736.6778322713499</v>
      </c>
      <c r="DB82" s="642">
        <f t="shared" si="16"/>
        <v>21.502423333542666</v>
      </c>
      <c r="DC82" s="647"/>
      <c r="DD82" s="647"/>
      <c r="DE82" s="647">
        <f t="shared" si="5"/>
        <v>0</v>
      </c>
      <c r="DF82" s="647">
        <f t="shared" si="6"/>
        <v>0</v>
      </c>
      <c r="DG82" s="679" t="e">
        <f t="shared" si="17"/>
        <v>#N/A</v>
      </c>
      <c r="DH82" s="679" t="e">
        <f t="shared" si="18"/>
        <v>#N/A</v>
      </c>
      <c r="DI82" s="679" t="e">
        <f t="shared" si="19"/>
        <v>#N/A</v>
      </c>
      <c r="DJ82" s="679" t="e">
        <f t="shared" si="20"/>
        <v>#N/A</v>
      </c>
      <c r="DK82" s="649" t="str">
        <f t="shared" si="21"/>
        <v/>
      </c>
      <c r="DL82" s="649" t="str">
        <f t="shared" si="22"/>
        <v/>
      </c>
      <c r="DM82" s="561" t="str">
        <f t="shared" si="23"/>
        <v/>
      </c>
      <c r="DN82" s="676" t="e">
        <f t="shared" si="7"/>
        <v>#N/A</v>
      </c>
    </row>
    <row r="83" spans="2:118">
      <c r="B83" s="663" t="str">
        <f xml:space="preserve"> "For the calculation example below, a " &amp; TEXT(CL62, "0.0") &amp; "% recovery rate of the TGP is set for both additives."</f>
        <v>For the calculation example below, a 95.0% recovery rate of the TGP is set for both additives.</v>
      </c>
      <c r="AX83" s="581"/>
      <c r="CK83" s="647">
        <f xml:space="preserve"> IF(AND(SUM($CK$69:$CK82) = 0, CR83 &lt; $C$93), CR83, 0)</f>
        <v>0</v>
      </c>
      <c r="CL83" s="647">
        <f xml:space="preserve"> IF(AND(SUM($CL$69:$CL82) = 0, CX83 &lt; $C$93), CX83, 0)</f>
        <v>0</v>
      </c>
      <c r="CM83" s="647"/>
      <c r="CN83" s="641">
        <v>24</v>
      </c>
      <c r="CO83" s="654">
        <v>6.6269999999999998</v>
      </c>
      <c r="CP83" s="638">
        <f t="shared" si="8"/>
        <v>42.313873548752902</v>
      </c>
      <c r="CQ83" s="642">
        <f t="shared" si="9"/>
        <v>9855.6526725039021</v>
      </c>
      <c r="CR83" s="642">
        <f t="shared" si="10"/>
        <v>0.42313873548752901</v>
      </c>
      <c r="CS83" s="642">
        <f t="shared" si="11"/>
        <v>98.556526725038992</v>
      </c>
      <c r="CT83" s="636"/>
      <c r="CU83" s="654">
        <v>27.35</v>
      </c>
      <c r="CV83" s="638">
        <f t="shared" si="4"/>
        <v>128.54720700299052</v>
      </c>
      <c r="CW83" s="642">
        <f t="shared" si="12"/>
        <v>8205.2081736867895</v>
      </c>
      <c r="CX83" s="642">
        <f t="shared" si="13"/>
        <v>1.4782337511843435</v>
      </c>
      <c r="CY83" s="642">
        <f t="shared" si="14"/>
        <v>94.356119752607995</v>
      </c>
      <c r="CZ83" s="636"/>
      <c r="DA83" s="642">
        <f t="shared" si="15"/>
        <v>1650.4444988171126</v>
      </c>
      <c r="DB83" s="642">
        <f t="shared" si="16"/>
        <v>20.114596289097317</v>
      </c>
      <c r="DC83" s="647"/>
      <c r="DD83" s="647"/>
      <c r="DE83" s="647">
        <f t="shared" si="5"/>
        <v>0</v>
      </c>
      <c r="DF83" s="647">
        <f t="shared" si="6"/>
        <v>0</v>
      </c>
      <c r="DG83" s="679" t="e">
        <f t="shared" si="17"/>
        <v>#N/A</v>
      </c>
      <c r="DH83" s="679" t="e">
        <f t="shared" si="18"/>
        <v>#N/A</v>
      </c>
      <c r="DI83" s="679">
        <f t="shared" si="19"/>
        <v>-100000000</v>
      </c>
      <c r="DJ83" s="679" t="e">
        <f t="shared" si="20"/>
        <v>#N/A</v>
      </c>
      <c r="DK83" s="649" t="str">
        <f t="shared" si="21"/>
        <v/>
      </c>
      <c r="DL83" s="649" t="str">
        <f t="shared" si="22"/>
        <v/>
      </c>
      <c r="DM83" s="561" t="str">
        <f t="shared" si="23"/>
        <v/>
      </c>
      <c r="DN83" s="676" t="e">
        <f t="shared" si="7"/>
        <v>#N/A</v>
      </c>
    </row>
    <row r="84" spans="2:118">
      <c r="G84" s="594"/>
      <c r="AX84" s="581"/>
      <c r="CK84" s="647">
        <f xml:space="preserve"> IF(AND(SUM($CK$69:$CK83) = 0, CR84 &lt; $C$93), CR84, 0)</f>
        <v>0</v>
      </c>
      <c r="CL84" s="647">
        <f xml:space="preserve"> IF(AND(SUM($CL$69:$CL83) = 0, CX84 &lt; $C$93), CX84, 0)</f>
        <v>0</v>
      </c>
      <c r="CM84" s="647"/>
      <c r="CN84" s="641">
        <v>25</v>
      </c>
      <c r="CO84" s="654">
        <v>5.4420000000000002</v>
      </c>
      <c r="CP84" s="638">
        <f t="shared" si="8"/>
        <v>34.747562977563504</v>
      </c>
      <c r="CQ84" s="642">
        <f t="shared" si="9"/>
        <v>9890.4002354814656</v>
      </c>
      <c r="CR84" s="642">
        <f t="shared" si="10"/>
        <v>0.34747562977563501</v>
      </c>
      <c r="CS84" s="642">
        <f t="shared" si="11"/>
        <v>98.904002354814622</v>
      </c>
      <c r="CT84" s="636"/>
      <c r="CU84" s="654">
        <v>22.297000000000001</v>
      </c>
      <c r="CV84" s="638">
        <f t="shared" si="4"/>
        <v>104.79769925212722</v>
      </c>
      <c r="CW84" s="642">
        <f t="shared" si="12"/>
        <v>8310.0058729389166</v>
      </c>
      <c r="CX84" s="642">
        <f t="shared" si="13"/>
        <v>1.2051253363860075</v>
      </c>
      <c r="CY84" s="642">
        <f t="shared" si="14"/>
        <v>95.561245088993999</v>
      </c>
      <c r="CZ84" s="636"/>
      <c r="DA84" s="642">
        <f t="shared" si="15"/>
        <v>1580.3943625425491</v>
      </c>
      <c r="DB84" s="642">
        <f t="shared" si="16"/>
        <v>19.017969261478111</v>
      </c>
      <c r="DC84" s="647"/>
      <c r="DD84" s="647"/>
      <c r="DE84" s="647">
        <f t="shared" si="5"/>
        <v>0</v>
      </c>
      <c r="DF84" s="647">
        <f t="shared" si="6"/>
        <v>1029.6905857856802</v>
      </c>
      <c r="DG84" s="679" t="e">
        <f t="shared" si="17"/>
        <v>#N/A</v>
      </c>
      <c r="DH84" s="679" t="e">
        <f t="shared" si="18"/>
        <v>#N/A</v>
      </c>
      <c r="DI84" s="679">
        <f t="shared" si="19"/>
        <v>8310.0058729389166</v>
      </c>
      <c r="DJ84" s="679">
        <f t="shared" si="20"/>
        <v>9890.4002354814656</v>
      </c>
      <c r="DK84" s="649">
        <f t="shared" si="21"/>
        <v>34.747562977563504</v>
      </c>
      <c r="DL84" s="649">
        <f t="shared" si="22"/>
        <v>104.79769925212722</v>
      </c>
      <c r="DM84" s="561" t="str">
        <f t="shared" si="23"/>
        <v/>
      </c>
      <c r="DN84" s="676" t="e">
        <f t="shared" si="7"/>
        <v>#N/A</v>
      </c>
    </row>
    <row r="85" spans="2:118">
      <c r="B85" s="630" t="s">
        <v>369</v>
      </c>
      <c r="C85" s="723">
        <v>95</v>
      </c>
      <c r="D85" s="724"/>
      <c r="E85" s="696" t="s">
        <v>409</v>
      </c>
      <c r="AX85" s="581"/>
      <c r="CK85" s="647">
        <f xml:space="preserve"> IF(AND(SUM($CK$69:$CK84) = 0, CR85 &lt; $C$93), CR85, 0)</f>
        <v>0</v>
      </c>
      <c r="CL85" s="647">
        <f xml:space="preserve"> IF(AND(SUM($CL$69:$CL84) = 0, CX85 &lt; $C$93), CX85, 0)</f>
        <v>0.96158159661135845</v>
      </c>
      <c r="CM85" s="647"/>
      <c r="CN85" s="641">
        <v>26</v>
      </c>
      <c r="CO85" s="654">
        <v>4.415</v>
      </c>
      <c r="CP85" s="638">
        <f t="shared" si="8"/>
        <v>28.190093815866017</v>
      </c>
      <c r="CQ85" s="642">
        <f t="shared" si="9"/>
        <v>9918.5903292973308</v>
      </c>
      <c r="CR85" s="642">
        <f t="shared" si="10"/>
        <v>0.28190093815866019</v>
      </c>
      <c r="CS85" s="642">
        <f t="shared" si="11"/>
        <v>99.185903292973279</v>
      </c>
      <c r="CT85" s="636"/>
      <c r="CU85" s="654">
        <v>17.791</v>
      </c>
      <c r="CV85" s="638">
        <f t="shared" si="4"/>
        <v>83.619135641323737</v>
      </c>
      <c r="CW85" s="642">
        <f t="shared" si="12"/>
        <v>8393.6250085802403</v>
      </c>
      <c r="CX85" s="642">
        <f t="shared" si="13"/>
        <v>0.96158159661135845</v>
      </c>
      <c r="CY85" s="642">
        <f t="shared" si="14"/>
        <v>96.522826685605352</v>
      </c>
      <c r="CZ85" s="636"/>
      <c r="DA85" s="642">
        <f t="shared" si="15"/>
        <v>1524.9653207170904</v>
      </c>
      <c r="DB85" s="642">
        <f t="shared" si="16"/>
        <v>18.168137356127069</v>
      </c>
      <c r="DC85" s="647"/>
      <c r="DD85" s="647"/>
      <c r="DE85" s="647">
        <f t="shared" si="5"/>
        <v>0</v>
      </c>
      <c r="DF85" s="647">
        <f t="shared" si="6"/>
        <v>0</v>
      </c>
      <c r="DG85" s="679" t="e">
        <f t="shared" si="17"/>
        <v>#N/A</v>
      </c>
      <c r="DH85" s="679" t="e">
        <f t="shared" si="18"/>
        <v>#N/A</v>
      </c>
      <c r="DI85" s="679" t="e">
        <f t="shared" si="19"/>
        <v>#N/A</v>
      </c>
      <c r="DJ85" s="679" t="e">
        <f t="shared" si="20"/>
        <v>#N/A</v>
      </c>
      <c r="DK85" s="649" t="str">
        <f t="shared" si="21"/>
        <v/>
      </c>
      <c r="DL85" s="649" t="str">
        <f t="shared" si="22"/>
        <v/>
      </c>
      <c r="DM85" s="561" t="str">
        <f t="shared" si="23"/>
        <v/>
      </c>
      <c r="DN85" s="676" t="e">
        <f t="shared" si="7"/>
        <v>#N/A</v>
      </c>
    </row>
    <row r="86" spans="2:118">
      <c r="B86" s="594"/>
      <c r="C86" s="727" t="s">
        <v>16</v>
      </c>
      <c r="D86" s="728"/>
      <c r="E86" s="592"/>
      <c r="F86" s="593" t="s">
        <v>341</v>
      </c>
      <c r="AX86" s="581"/>
      <c r="CK86" s="647">
        <f xml:space="preserve"> IF(AND(SUM($CK$69:$CK85) = 0, CR86 &lt; $C$93), CR86, 0)</f>
        <v>0</v>
      </c>
      <c r="CL86" s="647">
        <f xml:space="preserve"> IF(AND(SUM($CL$69:$CL85) = 0, CX86 &lt; $C$93), CX86, 0)</f>
        <v>0</v>
      </c>
      <c r="CM86" s="647"/>
      <c r="CN86" s="641">
        <v>27</v>
      </c>
      <c r="CO86" s="654">
        <v>3.5329999999999999</v>
      </c>
      <c r="CP86" s="638">
        <f t="shared" si="8"/>
        <v>22.558460124904784</v>
      </c>
      <c r="CQ86" s="642">
        <f t="shared" si="9"/>
        <v>9941.1487894222355</v>
      </c>
      <c r="CR86" s="642">
        <f t="shared" si="10"/>
        <v>0.22558460124904783</v>
      </c>
      <c r="CS86" s="642">
        <f t="shared" si="11"/>
        <v>99.411487894222333</v>
      </c>
      <c r="CT86" s="636"/>
      <c r="CU86" s="654">
        <v>14.316000000000001</v>
      </c>
      <c r="CV86" s="638">
        <f t="shared" si="4"/>
        <v>67.286355226866988</v>
      </c>
      <c r="CW86" s="642">
        <f t="shared" si="12"/>
        <v>8460.9113638071067</v>
      </c>
      <c r="CX86" s="642">
        <f t="shared" si="13"/>
        <v>0.77376213462358545</v>
      </c>
      <c r="CY86" s="642">
        <f t="shared" si="14"/>
        <v>97.296588820228934</v>
      </c>
      <c r="CZ86" s="636"/>
      <c r="DA86" s="642">
        <f t="shared" si="15"/>
        <v>1480.2374256151288</v>
      </c>
      <c r="DB86" s="642">
        <f t="shared" si="16"/>
        <v>17.495011612426055</v>
      </c>
      <c r="DC86" s="647"/>
      <c r="DD86" s="647"/>
      <c r="DE86" s="647">
        <f t="shared" si="5"/>
        <v>0</v>
      </c>
      <c r="DF86" s="647">
        <f t="shared" si="6"/>
        <v>0</v>
      </c>
      <c r="DG86" s="679" t="e">
        <f t="shared" si="17"/>
        <v>#N/A</v>
      </c>
      <c r="DH86" s="679" t="e">
        <f t="shared" si="18"/>
        <v>#N/A</v>
      </c>
      <c r="DI86" s="679" t="e">
        <f t="shared" si="19"/>
        <v>#N/A</v>
      </c>
      <c r="DJ86" s="679" t="e">
        <f t="shared" si="20"/>
        <v>#N/A</v>
      </c>
      <c r="DK86" s="649" t="str">
        <f t="shared" si="21"/>
        <v/>
      </c>
      <c r="DL86" s="649" t="str">
        <f t="shared" si="22"/>
        <v/>
      </c>
      <c r="DM86" s="561" t="str">
        <f t="shared" si="23"/>
        <v/>
      </c>
      <c r="DN86" s="676" t="e">
        <f t="shared" si="7"/>
        <v>#N/A</v>
      </c>
    </row>
    <row r="87" spans="2:118">
      <c r="B87" s="633" t="s">
        <v>370</v>
      </c>
      <c r="C87" s="586"/>
      <c r="D87" s="587">
        <f xml:space="preserve"> IFERROR(IF(OR(CL62 &lt;= 0, CL62 &gt; 100), 0, LOOKUP(CL62, CS59:CS99, CN59:CN99) + IF(LOOKUP(CL62, CS59:CS99, CS59:CS99) &lt; CL62, 1, 0)), 0)</f>
        <v>19</v>
      </c>
      <c r="E87" s="588"/>
      <c r="F87" s="587">
        <f xml:space="preserve"> IFERROR(IF(OR(CL62 &lt;= 0, CL62 &gt; 100), 0, LOOKUP(CL62, CY59:CY99, CN59:CN99) + IF(LOOKUP(CL62, CY59:CY99, CY59:CY99) &lt; CL62, 1, 0)), 0)</f>
        <v>25</v>
      </c>
      <c r="AX87" s="581"/>
      <c r="CK87" s="647">
        <f xml:space="preserve"> IF(AND(SUM($CK$69:$CK86) = 0, CR87 &lt; $C$93), CR87, 0)</f>
        <v>0</v>
      </c>
      <c r="CL87" s="647">
        <f xml:space="preserve"> IF(AND(SUM($CL$69:$CL86) = 0, CX87 &lt; $C$93), CX87, 0)</f>
        <v>0</v>
      </c>
      <c r="CM87" s="647"/>
      <c r="CN87" s="641">
        <v>28</v>
      </c>
      <c r="CO87" s="654">
        <v>2.7759999999999998</v>
      </c>
      <c r="CP87" s="638">
        <f t="shared" si="8"/>
        <v>17.724960460440329</v>
      </c>
      <c r="CQ87" s="642">
        <f t="shared" si="9"/>
        <v>9958.8737498826758</v>
      </c>
      <c r="CR87" s="642">
        <f t="shared" si="10"/>
        <v>0.17724960460440328</v>
      </c>
      <c r="CS87" s="642">
        <f t="shared" si="11"/>
        <v>99.588737498826731</v>
      </c>
      <c r="CT87" s="636"/>
      <c r="CU87" s="654">
        <v>11.574</v>
      </c>
      <c r="CV87" s="638">
        <f t="shared" si="4"/>
        <v>54.398733961704274</v>
      </c>
      <c r="CW87" s="642">
        <f t="shared" si="12"/>
        <v>8515.3100977688118</v>
      </c>
      <c r="CX87" s="642">
        <f t="shared" si="13"/>
        <v>0.62556041814287344</v>
      </c>
      <c r="CY87" s="642">
        <f t="shared" si="14"/>
        <v>97.922149238371802</v>
      </c>
      <c r="CZ87" s="636"/>
      <c r="DA87" s="642">
        <f t="shared" si="15"/>
        <v>1443.563652113864</v>
      </c>
      <c r="DB87" s="642">
        <f t="shared" si="16"/>
        <v>16.952567029732808</v>
      </c>
      <c r="DC87" s="647"/>
      <c r="DD87" s="647"/>
      <c r="DE87" s="647">
        <f t="shared" si="5"/>
        <v>0</v>
      </c>
      <c r="DF87" s="647">
        <f t="shared" si="6"/>
        <v>0</v>
      </c>
      <c r="DG87" s="679" t="e">
        <f t="shared" si="17"/>
        <v>#N/A</v>
      </c>
      <c r="DH87" s="679" t="e">
        <f t="shared" si="18"/>
        <v>#N/A</v>
      </c>
      <c r="DI87" s="679" t="e">
        <f t="shared" si="19"/>
        <v>#N/A</v>
      </c>
      <c r="DJ87" s="679" t="e">
        <f t="shared" si="20"/>
        <v>#N/A</v>
      </c>
      <c r="DK87" s="649" t="str">
        <f t="shared" si="21"/>
        <v/>
      </c>
      <c r="DL87" s="649" t="str">
        <f t="shared" si="22"/>
        <v/>
      </c>
      <c r="DM87" s="561" t="str">
        <f t="shared" si="23"/>
        <v/>
      </c>
      <c r="DN87" s="676" t="e">
        <f t="shared" si="7"/>
        <v>#N/A</v>
      </c>
    </row>
    <row r="88" spans="2:118">
      <c r="B88" s="634" t="s">
        <v>371</v>
      </c>
      <c r="C88" s="586"/>
      <c r="D88" s="589" t="str">
        <f xml:space="preserve"> TEXT(LOOKUP(D87, CN59:CN99, CS59:CS99), "0.0") &amp; "% (Std.: " &amp; TEXT(LOOKUP(D87, CN59:CN99, CY59:CY99), "0.0") &amp; "%)"</f>
        <v>95.3% (Std.: 83.6%)</v>
      </c>
      <c r="E88" s="588"/>
      <c r="F88" s="589" t="str">
        <f xml:space="preserve"> TEXT(LOOKUP(F87, CN59:CN99, CY59:CY99), "0.0") &amp; "% (SBGx: " &amp; TEXT(LOOKUP(F87, CN59:CN99, CS59:CS99), "0.0") &amp; "%)"</f>
        <v>95.6% (SBGx: 98.9%)</v>
      </c>
      <c r="AX88" s="581"/>
      <c r="CK88" s="647">
        <f xml:space="preserve"> IF(AND(SUM($CK$69:$CK87) = 0, CR88 &lt; $C$93), CR88, 0)</f>
        <v>0</v>
      </c>
      <c r="CL88" s="647">
        <f xml:space="preserve"> IF(AND(SUM($CL$69:$CL87) = 0, CX88 &lt; $C$93), CX88, 0)</f>
        <v>0</v>
      </c>
      <c r="CM88" s="647"/>
      <c r="CN88" s="641">
        <v>29</v>
      </c>
      <c r="CO88" s="654">
        <v>2.1280000000000001</v>
      </c>
      <c r="CP88" s="638">
        <f t="shared" si="8"/>
        <v>13.587433667081061</v>
      </c>
      <c r="CQ88" s="642">
        <f t="shared" si="9"/>
        <v>9972.4611835497562</v>
      </c>
      <c r="CR88" s="642">
        <f t="shared" si="10"/>
        <v>0.13587433667081061</v>
      </c>
      <c r="CS88" s="642">
        <f t="shared" si="11"/>
        <v>99.724611835497541</v>
      </c>
      <c r="CT88" s="636"/>
      <c r="CU88" s="654">
        <v>9.2789999999999999</v>
      </c>
      <c r="CV88" s="638">
        <f t="shared" si="4"/>
        <v>43.612048767120619</v>
      </c>
      <c r="CW88" s="642">
        <f t="shared" si="12"/>
        <v>8558.9221465359333</v>
      </c>
      <c r="CX88" s="642">
        <f t="shared" si="13"/>
        <v>0.50151850008188381</v>
      </c>
      <c r="CY88" s="642">
        <f t="shared" si="14"/>
        <v>98.423667738453688</v>
      </c>
      <c r="CZ88" s="636"/>
      <c r="DA88" s="642">
        <f t="shared" si="15"/>
        <v>1413.539037013823</v>
      </c>
      <c r="DB88" s="642">
        <f t="shared" si="16"/>
        <v>16.515386082649751</v>
      </c>
      <c r="DC88" s="647"/>
      <c r="DD88" s="647"/>
      <c r="DE88" s="647">
        <f t="shared" si="5"/>
        <v>0</v>
      </c>
      <c r="DF88" s="647">
        <f t="shared" si="6"/>
        <v>0</v>
      </c>
      <c r="DG88" s="679" t="e">
        <f t="shared" si="17"/>
        <v>#N/A</v>
      </c>
      <c r="DH88" s="679" t="e">
        <f t="shared" si="18"/>
        <v>#N/A</v>
      </c>
      <c r="DI88" s="679" t="e">
        <f t="shared" si="19"/>
        <v>#N/A</v>
      </c>
      <c r="DJ88" s="679" t="e">
        <f t="shared" si="20"/>
        <v>#N/A</v>
      </c>
      <c r="DK88" s="649" t="str">
        <f t="shared" si="21"/>
        <v/>
      </c>
      <c r="DL88" s="649" t="str">
        <f t="shared" si="22"/>
        <v/>
      </c>
      <c r="DM88" s="561" t="str">
        <f t="shared" si="23"/>
        <v/>
      </c>
      <c r="DN88" s="676" t="e">
        <f t="shared" si="7"/>
        <v>#N/A</v>
      </c>
    </row>
    <row r="89" spans="2:118">
      <c r="B89" s="590" t="s">
        <v>352</v>
      </c>
      <c r="C89" s="586"/>
      <c r="D89" s="591" t="str">
        <f xml:space="preserve"> TEXT(LOOKUP(D87, CN59:CN99, DB59:DB99) / 100, "0.0%") &amp; " resp. " &amp; TEXT(LOOKUP(D87, CN59:CN99, DA59:DA99), "#,##0") &amp; " m³"</f>
        <v>31.1% resp. 2,261 m³</v>
      </c>
      <c r="E89" s="588"/>
      <c r="F89" s="591" t="str">
        <f xml:space="preserve"> TEXT(LOOKUP(F87, CN59:CN99, DB59:DB99) / 100, "0.0%") &amp; " resp. " &amp; TEXT(LOOKUP(F87, CN59:CN99, DA59:DA99), "#,##0") &amp; " m³"</f>
        <v>19.0% resp. 1,580 m³</v>
      </c>
      <c r="AX89" s="581"/>
      <c r="CK89" s="647">
        <f xml:space="preserve"> IF(AND(SUM($CK$69:$CK88) = 0, CR89 &lt; $C$93), CR89, 0)</f>
        <v>0</v>
      </c>
      <c r="CL89" s="647">
        <f xml:space="preserve"> IF(AND(SUM($CL$69:$CL88) = 0, CX89 &lt; $C$93), CX89, 0)</f>
        <v>0</v>
      </c>
      <c r="CM89" s="647"/>
      <c r="CN89" s="643">
        <v>30</v>
      </c>
      <c r="CO89" s="656">
        <v>1.5760000000000001</v>
      </c>
      <c r="CP89" s="639">
        <f t="shared" si="8"/>
        <v>10.062873806071311</v>
      </c>
      <c r="CQ89" s="644">
        <f t="shared" si="9"/>
        <v>9982.5240573558276</v>
      </c>
      <c r="CR89" s="644">
        <f t="shared" si="10"/>
        <v>0.10062873806071311</v>
      </c>
      <c r="CS89" s="644">
        <f t="shared" si="11"/>
        <v>99.825240573558247</v>
      </c>
      <c r="CT89" s="645"/>
      <c r="CU89" s="656">
        <v>7.4889999999999999</v>
      </c>
      <c r="CV89" s="639">
        <f t="shared" si="4"/>
        <v>35.198904323414837</v>
      </c>
      <c r="CW89" s="644">
        <f t="shared" si="12"/>
        <v>8594.1210508593485</v>
      </c>
      <c r="CX89" s="644">
        <f t="shared" si="13"/>
        <v>0.40477120887091583</v>
      </c>
      <c r="CY89" s="644">
        <f t="shared" si="14"/>
        <v>98.828438947324599</v>
      </c>
      <c r="CZ89" s="645"/>
      <c r="DA89" s="644">
        <f t="shared" si="15"/>
        <v>1388.4030064964791</v>
      </c>
      <c r="DB89" s="644">
        <f t="shared" si="16"/>
        <v>16.155264724339077</v>
      </c>
      <c r="DC89" s="647"/>
      <c r="DD89" s="647"/>
      <c r="DE89" s="647">
        <f t="shared" si="5"/>
        <v>0</v>
      </c>
      <c r="DF89" s="647">
        <f t="shared" si="6"/>
        <v>0</v>
      </c>
      <c r="DG89" s="679" t="e">
        <f t="shared" si="17"/>
        <v>#N/A</v>
      </c>
      <c r="DH89" s="679" t="e">
        <f t="shared" si="18"/>
        <v>#N/A</v>
      </c>
      <c r="DI89" s="679" t="e">
        <f t="shared" si="19"/>
        <v>#N/A</v>
      </c>
      <c r="DJ89" s="679" t="e">
        <f t="shared" si="20"/>
        <v>#N/A</v>
      </c>
      <c r="DK89" s="649" t="str">
        <f t="shared" si="21"/>
        <v/>
      </c>
      <c r="DL89" s="649" t="str">
        <f t="shared" si="22"/>
        <v/>
      </c>
      <c r="DM89" s="561" t="str">
        <f t="shared" si="23"/>
        <v/>
      </c>
      <c r="DN89" s="676" t="e">
        <f t="shared" si="7"/>
        <v>#N/A</v>
      </c>
    </row>
    <row r="90" spans="2:118">
      <c r="B90" s="603" t="str">
        <f xml:space="preserve"> "Note, TGP(Standard) = " &amp; TEXT(CV100,"#,##0") &amp; " m³ is surpassed by SBGx on day " &amp; CL64 &amp; " with " &amp; TEXT(LOOKUP(CL64, CN60:CN99, CQ60:CQ99), "#,##0") &amp; " m³"</f>
        <v>Note, TGP(Standard) = 8,696 m³ is surpassed by SBGx on day 15 with 8,813 m³</v>
      </c>
      <c r="C90" s="588"/>
      <c r="D90" s="588"/>
      <c r="E90" s="588"/>
      <c r="F90" s="668"/>
      <c r="AX90" s="581"/>
      <c r="CK90" s="647">
        <f xml:space="preserve"> IF(AND(SUM($CK$69:$CK89) = 0, CR90 &lt; $C$93), CR90, 0)</f>
        <v>0</v>
      </c>
      <c r="CL90" s="647">
        <f xml:space="preserve"> IF(AND(SUM($CL$69:$CL89) = 0, CX90 &lt; $C$93), CX90, 0)</f>
        <v>0</v>
      </c>
      <c r="CM90" s="647"/>
      <c r="CN90" s="641">
        <v>31</v>
      </c>
      <c r="CO90" s="654">
        <v>1.1120000000000001</v>
      </c>
      <c r="CP90" s="638">
        <f t="shared" si="8"/>
        <v>7.1002002997152918</v>
      </c>
      <c r="CQ90" s="642">
        <f t="shared" si="9"/>
        <v>9989.6242576555433</v>
      </c>
      <c r="CR90" s="642">
        <f t="shared" si="10"/>
        <v>7.1002002997152924E-2</v>
      </c>
      <c r="CS90" s="642">
        <f t="shared" si="11"/>
        <v>99.896242576555395</v>
      </c>
      <c r="CT90" s="636"/>
      <c r="CU90" s="654">
        <v>5.94</v>
      </c>
      <c r="CV90" s="638">
        <f t="shared" si="4"/>
        <v>27.918479327157719</v>
      </c>
      <c r="CW90" s="642">
        <f xml:space="preserve"> CW89 + CV90</f>
        <v>8622.0395301865065</v>
      </c>
      <c r="CX90" s="642">
        <f t="shared" si="13"/>
        <v>0.32104967027550274</v>
      </c>
      <c r="CY90" s="642">
        <f t="shared" si="14"/>
        <v>99.149488617600099</v>
      </c>
      <c r="CZ90" s="636"/>
      <c r="DA90" s="642">
        <f t="shared" si="15"/>
        <v>1367.5847274690368</v>
      </c>
      <c r="DB90" s="642">
        <f t="shared" si="16"/>
        <v>15.861499157838518</v>
      </c>
      <c r="DC90" s="647"/>
      <c r="DD90" s="647"/>
      <c r="DE90" s="647">
        <f t="shared" si="5"/>
        <v>0</v>
      </c>
      <c r="DF90" s="647">
        <f t="shared" si="6"/>
        <v>0</v>
      </c>
      <c r="DG90" s="679" t="e">
        <f t="shared" si="17"/>
        <v>#N/A</v>
      </c>
      <c r="DH90" s="679" t="e">
        <f t="shared" si="18"/>
        <v>#N/A</v>
      </c>
      <c r="DI90" s="679" t="e">
        <f t="shared" si="19"/>
        <v>#N/A</v>
      </c>
      <c r="DJ90" s="679" t="e">
        <f t="shared" si="20"/>
        <v>#N/A</v>
      </c>
      <c r="DK90" s="649" t="str">
        <f t="shared" si="21"/>
        <v/>
      </c>
      <c r="DL90" s="649" t="str">
        <f t="shared" si="22"/>
        <v/>
      </c>
      <c r="DM90" s="561" t="str">
        <f t="shared" si="23"/>
        <v/>
      </c>
      <c r="DN90" s="676" t="e">
        <f t="shared" si="7"/>
        <v>#N/A</v>
      </c>
    </row>
    <row r="91" spans="2:118">
      <c r="AX91" s="581"/>
      <c r="CK91" s="647">
        <f xml:space="preserve"> IF(AND(SUM($CK$69:$CK90) = 0, CR91 &lt; $C$93), CR91, 0)</f>
        <v>0</v>
      </c>
      <c r="CL91" s="647">
        <f xml:space="preserve"> IF(AND(SUM($CL$69:$CL90) = 0, CX91 &lt; $C$93), CX91, 0)</f>
        <v>0</v>
      </c>
      <c r="CM91" s="647"/>
      <c r="CN91" s="641">
        <v>32</v>
      </c>
      <c r="CO91" s="654">
        <v>0.72699999999999998</v>
      </c>
      <c r="CP91" s="638">
        <f t="shared" si="8"/>
        <v>4.6419474981052309</v>
      </c>
      <c r="CQ91" s="642">
        <f t="shared" si="9"/>
        <v>9994.2662051536481</v>
      </c>
      <c r="CR91" s="642">
        <f t="shared" si="10"/>
        <v>4.6419474981052311E-2</v>
      </c>
      <c r="CS91" s="642">
        <f t="shared" si="11"/>
        <v>99.942662051536445</v>
      </c>
      <c r="CT91" s="636"/>
      <c r="CU91" s="654">
        <v>4.6390000000000002</v>
      </c>
      <c r="CV91" s="638">
        <f t="shared" si="4"/>
        <v>21.803674343212904</v>
      </c>
      <c r="CW91" s="642">
        <f t="shared" si="12"/>
        <v>8643.8432045297195</v>
      </c>
      <c r="CX91" s="642">
        <f t="shared" si="13"/>
        <v>0.25073222565792208</v>
      </c>
      <c r="CY91" s="642">
        <f t="shared" si="14"/>
        <v>99.400220843258026</v>
      </c>
      <c r="CZ91" s="636"/>
      <c r="DA91" s="642">
        <f t="shared" si="15"/>
        <v>1350.4230006239286</v>
      </c>
      <c r="DB91" s="642">
        <f t="shared" si="16"/>
        <v>15.622946514303418</v>
      </c>
      <c r="DC91" s="647"/>
      <c r="DD91" s="647"/>
      <c r="DE91" s="647">
        <f t="shared" si="5"/>
        <v>0</v>
      </c>
      <c r="DF91" s="647">
        <f t="shared" si="6"/>
        <v>0</v>
      </c>
      <c r="DG91" s="679" t="e">
        <f t="shared" si="17"/>
        <v>#N/A</v>
      </c>
      <c r="DH91" s="679" t="e">
        <f t="shared" si="18"/>
        <v>#N/A</v>
      </c>
      <c r="DI91" s="679" t="e">
        <f t="shared" si="19"/>
        <v>#N/A</v>
      </c>
      <c r="DJ91" s="679" t="e">
        <f t="shared" si="20"/>
        <v>#N/A</v>
      </c>
      <c r="DK91" s="649" t="str">
        <f t="shared" si="21"/>
        <v/>
      </c>
      <c r="DL91" s="649" t="str">
        <f t="shared" si="22"/>
        <v/>
      </c>
      <c r="DM91" s="561" t="str">
        <f t="shared" si="23"/>
        <v/>
      </c>
      <c r="DN91" s="676" t="e">
        <f t="shared" si="7"/>
        <v>#N/A</v>
      </c>
    </row>
    <row r="92" spans="2:118">
      <c r="B92" s="665" t="s">
        <v>389</v>
      </c>
      <c r="AX92" s="581"/>
      <c r="CK92" s="647">
        <f xml:space="preserve"> IF(AND(SUM($CK$69:$CK91) = 0, CR92 &lt; $C$93), CR92, 0)</f>
        <v>0</v>
      </c>
      <c r="CL92" s="647">
        <f xml:space="preserve"> IF(AND(SUM($CL$69:$CL91) = 0, CX92 &lt; $C$93), CX92, 0)</f>
        <v>0</v>
      </c>
      <c r="CM92" s="647"/>
      <c r="CN92" s="641">
        <v>33</v>
      </c>
      <c r="CO92" s="654">
        <v>0.41599999999999998</v>
      </c>
      <c r="CP92" s="638">
        <f t="shared" si="8"/>
        <v>2.6561900401812597</v>
      </c>
      <c r="CQ92" s="642">
        <f t="shared" si="9"/>
        <v>9996.9223951938293</v>
      </c>
      <c r="CR92" s="642">
        <f t="shared" si="10"/>
        <v>2.6561900401812596E-2</v>
      </c>
      <c r="CS92" s="642">
        <f t="shared" si="11"/>
        <v>99.969223951938261</v>
      </c>
      <c r="CT92" s="636"/>
      <c r="CU92" s="654">
        <v>3.5470000000000002</v>
      </c>
      <c r="CV92" s="638">
        <f t="shared" si="4"/>
        <v>16.671186224482902</v>
      </c>
      <c r="CW92" s="642">
        <f t="shared" si="12"/>
        <v>8660.5143907542024</v>
      </c>
      <c r="CX92" s="642">
        <f t="shared" si="13"/>
        <v>0.19171097314262767</v>
      </c>
      <c r="CY92" s="642">
        <f t="shared" si="14"/>
        <v>99.59193181640066</v>
      </c>
      <c r="CZ92" s="636"/>
      <c r="DA92" s="642">
        <f t="shared" si="15"/>
        <v>1336.4080044396269</v>
      </c>
      <c r="DB92" s="642">
        <f t="shared" si="16"/>
        <v>15.431046519203873</v>
      </c>
      <c r="DC92" s="647"/>
      <c r="DD92" s="647"/>
      <c r="DE92" s="647">
        <f t="shared" si="5"/>
        <v>0</v>
      </c>
      <c r="DF92" s="647">
        <f t="shared" si="6"/>
        <v>0</v>
      </c>
      <c r="DG92" s="679" t="e">
        <f t="shared" si="17"/>
        <v>#N/A</v>
      </c>
      <c r="DH92" s="679" t="e">
        <f t="shared" si="18"/>
        <v>#N/A</v>
      </c>
      <c r="DI92" s="679" t="e">
        <f t="shared" si="19"/>
        <v>#N/A</v>
      </c>
      <c r="DJ92" s="679" t="e">
        <f t="shared" si="20"/>
        <v>#N/A</v>
      </c>
      <c r="DK92" s="649" t="str">
        <f t="shared" si="21"/>
        <v/>
      </c>
      <c r="DL92" s="649" t="str">
        <f t="shared" si="22"/>
        <v/>
      </c>
      <c r="DM92" s="561" t="str">
        <f t="shared" si="23"/>
        <v/>
      </c>
      <c r="DN92" s="676" t="e">
        <f t="shared" si="7"/>
        <v>#N/A</v>
      </c>
    </row>
    <row r="93" spans="2:118">
      <c r="B93" s="666" t="s">
        <v>388</v>
      </c>
      <c r="C93" s="721">
        <v>1.2</v>
      </c>
      <c r="D93" s="722"/>
      <c r="F93" s="576"/>
      <c r="J93" s="683" t="s">
        <v>406</v>
      </c>
      <c r="AX93" s="581"/>
      <c r="CK93" s="647">
        <f xml:space="preserve"> IF(AND(SUM($CK$69:$CK92) = 0, CR93 &lt; $C$93), CR93, 0)</f>
        <v>0</v>
      </c>
      <c r="CL93" s="647">
        <f xml:space="preserve"> IF(AND(SUM($CL$69:$CL92) = 0, CX93 &lt; $C$93), CX93, 0)</f>
        <v>0</v>
      </c>
      <c r="CM93" s="647"/>
      <c r="CN93" s="641">
        <v>34</v>
      </c>
      <c r="CO93" s="654">
        <v>0.17199999999999999</v>
      </c>
      <c r="CP93" s="638">
        <f t="shared" si="8"/>
        <v>1.0982324204595593</v>
      </c>
      <c r="CQ93" s="642">
        <f t="shared" si="9"/>
        <v>9998.020627614289</v>
      </c>
      <c r="CR93" s="642">
        <f t="shared" si="10"/>
        <v>1.0982324204595594E-2</v>
      </c>
      <c r="CS93" s="642">
        <f t="shared" si="11"/>
        <v>99.980206276142852</v>
      </c>
      <c r="CT93" s="636"/>
      <c r="CU93" s="654">
        <v>2.6379999999999999</v>
      </c>
      <c r="CV93" s="638">
        <f t="shared" si="4"/>
        <v>12.398812872902703</v>
      </c>
      <c r="CW93" s="642">
        <f t="shared" si="12"/>
        <v>8672.9132036271058</v>
      </c>
      <c r="CX93" s="642">
        <f t="shared" si="13"/>
        <v>0.14258064481258859</v>
      </c>
      <c r="CY93" s="642">
        <f t="shared" si="14"/>
        <v>99.734512461213242</v>
      </c>
      <c r="CZ93" s="636"/>
      <c r="DA93" s="642">
        <f t="shared" si="15"/>
        <v>1325.1074239871832</v>
      </c>
      <c r="DB93" s="642">
        <f t="shared" si="16"/>
        <v>15.278688865847394</v>
      </c>
      <c r="DC93" s="647"/>
      <c r="DD93" s="647"/>
      <c r="DE93" s="647">
        <f t="shared" si="5"/>
        <v>0</v>
      </c>
      <c r="DF93" s="647">
        <f t="shared" si="6"/>
        <v>0</v>
      </c>
      <c r="DG93" s="679" t="e">
        <f t="shared" si="17"/>
        <v>#N/A</v>
      </c>
      <c r="DH93" s="679" t="e">
        <f t="shared" si="18"/>
        <v>#N/A</v>
      </c>
      <c r="DI93" s="679" t="e">
        <f t="shared" si="19"/>
        <v>#N/A</v>
      </c>
      <c r="DJ93" s="679" t="e">
        <f t="shared" si="20"/>
        <v>#N/A</v>
      </c>
      <c r="DK93" s="649" t="str">
        <f t="shared" si="21"/>
        <v/>
      </c>
      <c r="DL93" s="649" t="str">
        <f t="shared" si="22"/>
        <v/>
      </c>
      <c r="DM93" s="561" t="str">
        <f t="shared" si="23"/>
        <v/>
      </c>
      <c r="DN93" s="676" t="e">
        <f t="shared" si="7"/>
        <v>#N/A</v>
      </c>
    </row>
    <row r="94" spans="2:118">
      <c r="C94" s="719" t="s">
        <v>16</v>
      </c>
      <c r="D94" s="720"/>
      <c r="E94" s="625"/>
      <c r="F94" s="624" t="s">
        <v>341</v>
      </c>
      <c r="G94" s="573"/>
      <c r="J94" s="684" t="s">
        <v>404</v>
      </c>
      <c r="K94" s="685"/>
      <c r="L94" s="686"/>
      <c r="M94" s="688"/>
      <c r="N94" s="696" t="s">
        <v>410</v>
      </c>
      <c r="AX94" s="581"/>
      <c r="CK94" s="647">
        <f xml:space="preserve"> IF(AND(SUM($CK$69:$CK93) = 0, CR94 &lt; $C$93), CR94, 0)</f>
        <v>0</v>
      </c>
      <c r="CL94" s="647">
        <f xml:space="preserve"> IF(AND(SUM($CL$69:$CL93) = 0, CX94 &lt; $C$93), CX94, 0)</f>
        <v>0</v>
      </c>
      <c r="CM94" s="647"/>
      <c r="CN94" s="641">
        <v>35</v>
      </c>
      <c r="CO94" s="654">
        <v>0.1</v>
      </c>
      <c r="CP94" s="638">
        <f t="shared" si="8"/>
        <v>0.63850722119741832</v>
      </c>
      <c r="CQ94" s="642">
        <f t="shared" si="9"/>
        <v>9998.6591348354868</v>
      </c>
      <c r="CR94" s="642">
        <f t="shared" si="10"/>
        <v>6.3850722119741833E-3</v>
      </c>
      <c r="CS94" s="642">
        <f t="shared" si="11"/>
        <v>99.986591348354821</v>
      </c>
      <c r="CT94" s="636"/>
      <c r="CU94" s="654">
        <v>1.889</v>
      </c>
      <c r="CV94" s="638">
        <f t="shared" si="4"/>
        <v>8.8784524324917395</v>
      </c>
      <c r="CW94" s="642">
        <f t="shared" si="12"/>
        <v>8681.7916560595968</v>
      </c>
      <c r="CX94" s="642">
        <f t="shared" si="13"/>
        <v>0.10209811904889304</v>
      </c>
      <c r="CY94" s="642">
        <f t="shared" si="14"/>
        <v>99.836610580262132</v>
      </c>
      <c r="CZ94" s="636"/>
      <c r="DA94" s="642">
        <f t="shared" si="15"/>
        <v>1316.86747877589</v>
      </c>
      <c r="DB94" s="642">
        <f t="shared" si="16"/>
        <v>15.168153428984454</v>
      </c>
      <c r="DC94" s="647"/>
      <c r="DD94" s="647"/>
      <c r="DE94" s="647">
        <f t="shared" si="5"/>
        <v>0</v>
      </c>
      <c r="DF94" s="647">
        <f t="shared" si="6"/>
        <v>0</v>
      </c>
      <c r="DG94" s="679" t="e">
        <f t="shared" si="17"/>
        <v>#N/A</v>
      </c>
      <c r="DH94" s="679" t="e">
        <f t="shared" si="18"/>
        <v>#N/A</v>
      </c>
      <c r="DI94" s="679" t="e">
        <f t="shared" si="19"/>
        <v>#N/A</v>
      </c>
      <c r="DJ94" s="679" t="e">
        <f t="shared" si="20"/>
        <v>#N/A</v>
      </c>
      <c r="DK94" s="649" t="str">
        <f t="shared" si="21"/>
        <v/>
      </c>
      <c r="DL94" s="649" t="str">
        <f t="shared" si="22"/>
        <v/>
      </c>
      <c r="DM94" s="561" t="str">
        <f t="shared" si="23"/>
        <v/>
      </c>
      <c r="DN94" s="676" t="e">
        <f t="shared" si="7"/>
        <v>#N/A</v>
      </c>
    </row>
    <row r="95" spans="2:118">
      <c r="C95" s="588"/>
      <c r="D95" s="626" t="str">
        <f xml:space="preserve"> TEXT(SUMIF(CK70:CK99, "&gt; 0", CN70:CN99), "0") &amp; " (" &amp; TEXT(SUM(CK70:CK99), "0.00") &amp; "%, " &amp; TEXT(SUMIF(CK70:CK99, "&gt; 0", CP70:CP99), "#,##0.0") &amp; " m³)"</f>
        <v>19 (1.12%, 111.8 m³)</v>
      </c>
      <c r="E95" s="627"/>
      <c r="F95" s="626" t="str">
        <f xml:space="preserve"> TEXT(SUMIF(CL70:CL99, "&gt; 0", CN70:CN99), "0") &amp; " (" &amp; TEXT(SUM(CL70:CL99), "0.00") &amp; "%, " &amp; TEXT(SUMIF(CL70:CL99, "&gt; 0", CV70:CV99), "#,##0.0") &amp; " m³)"</f>
        <v>26 (0.96%, 83.6 m³)</v>
      </c>
      <c r="J95" s="695" t="s">
        <v>408</v>
      </c>
      <c r="K95" s="588"/>
      <c r="L95" s="668"/>
      <c r="M95" s="687"/>
      <c r="N95" s="696" t="s">
        <v>411</v>
      </c>
      <c r="AX95" s="581"/>
      <c r="CK95" s="647">
        <f xml:space="preserve"> IF(AND(SUM($CK$69:$CK94) = 0, CR95 &lt; $C$93), CR95, 0)</f>
        <v>0</v>
      </c>
      <c r="CL95" s="647">
        <f xml:space="preserve"> IF(AND(SUM($CL$69:$CL94) = 0, CX95 &lt; $C$93), CX95, 0)</f>
        <v>0</v>
      </c>
      <c r="CM95" s="647"/>
      <c r="CN95" s="641">
        <v>36</v>
      </c>
      <c r="CO95" s="654">
        <v>0.08</v>
      </c>
      <c r="CP95" s="638">
        <f t="shared" si="8"/>
        <v>0.51080577695793461</v>
      </c>
      <c r="CQ95" s="642">
        <f t="shared" si="9"/>
        <v>9999.1699406124444</v>
      </c>
      <c r="CR95" s="642">
        <f t="shared" si="10"/>
        <v>5.1080577695793465E-3</v>
      </c>
      <c r="CS95" s="642">
        <f t="shared" si="11"/>
        <v>99.991699406124397</v>
      </c>
      <c r="CT95" s="636"/>
      <c r="CU95" s="654">
        <v>1.286</v>
      </c>
      <c r="CV95" s="638">
        <f t="shared" si="4"/>
        <v>6.0443037735226977</v>
      </c>
      <c r="CW95" s="642">
        <f t="shared" si="12"/>
        <v>8687.835959833119</v>
      </c>
      <c r="CX95" s="642">
        <f t="shared" si="13"/>
        <v>6.9506713126985947E-2</v>
      </c>
      <c r="CY95" s="642">
        <f t="shared" si="14"/>
        <v>99.906117293389116</v>
      </c>
      <c r="CZ95" s="636"/>
      <c r="DA95" s="642">
        <f t="shared" si="15"/>
        <v>1311.3339807793254</v>
      </c>
      <c r="DB95" s="642">
        <f t="shared" si="16"/>
        <v>15.093908158971663</v>
      </c>
      <c r="DC95" s="647"/>
      <c r="DD95" s="647"/>
      <c r="DE95" s="647">
        <f t="shared" si="5"/>
        <v>0</v>
      </c>
      <c r="DF95" s="647">
        <f t="shared" si="6"/>
        <v>0</v>
      </c>
      <c r="DG95" s="679" t="e">
        <f t="shared" si="17"/>
        <v>#N/A</v>
      </c>
      <c r="DH95" s="679" t="e">
        <f t="shared" si="18"/>
        <v>#N/A</v>
      </c>
      <c r="DI95" s="679" t="e">
        <f t="shared" si="19"/>
        <v>#N/A</v>
      </c>
      <c r="DJ95" s="679" t="e">
        <f t="shared" si="20"/>
        <v>#N/A</v>
      </c>
      <c r="DK95" s="649" t="str">
        <f t="shared" si="21"/>
        <v/>
      </c>
      <c r="DL95" s="649" t="str">
        <f t="shared" si="22"/>
        <v/>
      </c>
      <c r="DM95" s="561" t="str">
        <f t="shared" si="23"/>
        <v/>
      </c>
      <c r="DN95" s="676" t="e">
        <f t="shared" si="7"/>
        <v>#N/A</v>
      </c>
    </row>
    <row r="96" spans="2:118">
      <c r="M96" s="681"/>
      <c r="AX96" s="581"/>
      <c r="CG96" s="594"/>
      <c r="CK96" s="647">
        <f xml:space="preserve"> IF(AND(SUM($CK$69:$CK95) = 0, CR96 &lt; $C$93), CR96, 0)</f>
        <v>0</v>
      </c>
      <c r="CL96" s="647">
        <f xml:space="preserve"> IF(AND(SUM($CL$69:$CL95) = 0, CX96 &lt; $C$93), CX96, 0)</f>
        <v>0</v>
      </c>
      <c r="CM96" s="647"/>
      <c r="CN96" s="641">
        <v>37</v>
      </c>
      <c r="CO96" s="654">
        <v>0.06</v>
      </c>
      <c r="CP96" s="638">
        <f t="shared" si="8"/>
        <v>0.3831043327184509</v>
      </c>
      <c r="CQ96" s="642">
        <f t="shared" si="9"/>
        <v>9999.5530449451635</v>
      </c>
      <c r="CR96" s="642">
        <f t="shared" si="10"/>
        <v>3.8310433271845088E-3</v>
      </c>
      <c r="CS96" s="642">
        <f t="shared" si="11"/>
        <v>99.995530449451579</v>
      </c>
      <c r="CT96" s="636"/>
      <c r="CU96" s="654">
        <v>0.81699999999999995</v>
      </c>
      <c r="CV96" s="638">
        <f t="shared" si="4"/>
        <v>3.8399659276578877</v>
      </c>
      <c r="CW96" s="642">
        <f t="shared" si="12"/>
        <v>8691.6759257607773</v>
      </c>
      <c r="CX96" s="642">
        <f t="shared" si="13"/>
        <v>4.4157841854391533E-2</v>
      </c>
      <c r="CY96" s="642">
        <f t="shared" si="14"/>
        <v>99.950275135243501</v>
      </c>
      <c r="CZ96" s="636"/>
      <c r="DA96" s="642">
        <f t="shared" si="15"/>
        <v>1307.8771191843862</v>
      </c>
      <c r="DB96" s="642">
        <f t="shared" si="16"/>
        <v>15.047467604125018</v>
      </c>
      <c r="DC96" s="647"/>
      <c r="DD96" s="647"/>
      <c r="DE96" s="647">
        <f t="shared" si="5"/>
        <v>0</v>
      </c>
      <c r="DF96" s="647">
        <f t="shared" si="6"/>
        <v>0</v>
      </c>
      <c r="DG96" s="679" t="e">
        <f t="shared" si="17"/>
        <v>#N/A</v>
      </c>
      <c r="DH96" s="679" t="e">
        <f t="shared" si="18"/>
        <v>#N/A</v>
      </c>
      <c r="DI96" s="679" t="e">
        <f t="shared" si="19"/>
        <v>#N/A</v>
      </c>
      <c r="DJ96" s="679" t="e">
        <f t="shared" si="20"/>
        <v>#N/A</v>
      </c>
      <c r="DK96" s="649" t="str">
        <f t="shared" si="21"/>
        <v/>
      </c>
      <c r="DL96" s="649" t="str">
        <f t="shared" si="22"/>
        <v/>
      </c>
      <c r="DM96" s="561" t="str">
        <f t="shared" si="23"/>
        <v/>
      </c>
      <c r="DN96" s="676" t="e">
        <f t="shared" si="7"/>
        <v>#N/A</v>
      </c>
    </row>
    <row r="97" spans="1:118">
      <c r="B97" s="659" t="str">
        <f xml:space="preserve"> "The calculation shows that with SBGx a recovery rate of " &amp; TEXT(CL62, "0.0") &amp; "% is reached on day " &amp; TEXT(D87, "0") &amp; ", while " &amp; TEXT(F87, "0") &amp; " days are needed with the Standard additive."</f>
        <v>The calculation shows that with SBGx a recovery rate of 95.0% is reached on day 19, while 25 days are needed with the Standard additive.</v>
      </c>
      <c r="AX97" s="581"/>
      <c r="CK97" s="647">
        <f xml:space="preserve"> IF(AND(SUM($CK$69:$CK96) = 0, CR97 &lt; $C$93), CR97, 0)</f>
        <v>0</v>
      </c>
      <c r="CL97" s="647">
        <f xml:space="preserve"> IF(AND(SUM($CL$69:$CL96) = 0, CX97 &lt; $C$93), CX97, 0)</f>
        <v>0</v>
      </c>
      <c r="CM97" s="647"/>
      <c r="CN97" s="641">
        <v>38</v>
      </c>
      <c r="CO97" s="654">
        <v>0.04</v>
      </c>
      <c r="CP97" s="638">
        <f t="shared" si="8"/>
        <v>0.2554028884789673</v>
      </c>
      <c r="CQ97" s="642">
        <f t="shared" si="9"/>
        <v>9999.8084478336423</v>
      </c>
      <c r="CR97" s="642">
        <f t="shared" si="10"/>
        <v>2.5540288847896732E-3</v>
      </c>
      <c r="CS97" s="642">
        <f t="shared" si="11"/>
        <v>99.998084478336366</v>
      </c>
      <c r="CT97" s="636"/>
      <c r="CU97" s="654">
        <v>0.47599999999999998</v>
      </c>
      <c r="CV97" s="638">
        <f t="shared" si="4"/>
        <v>2.2372384107284637</v>
      </c>
      <c r="CW97" s="642">
        <f t="shared" si="12"/>
        <v>8693.9131641715067</v>
      </c>
      <c r="CX97" s="642">
        <f t="shared" si="13"/>
        <v>2.5727212634871936E-2</v>
      </c>
      <c r="CY97" s="642">
        <f t="shared" si="14"/>
        <v>99.976002347878378</v>
      </c>
      <c r="CZ97" s="636"/>
      <c r="DA97" s="642">
        <f t="shared" si="15"/>
        <v>1305.8952836621356</v>
      </c>
      <c r="DB97" s="642">
        <f t="shared" si="16"/>
        <v>15.02079971357273</v>
      </c>
      <c r="DC97" s="647"/>
      <c r="DD97" s="647"/>
      <c r="DE97" s="647">
        <f t="shared" si="5"/>
        <v>0</v>
      </c>
      <c r="DF97" s="647">
        <f t="shared" si="6"/>
        <v>0</v>
      </c>
      <c r="DG97" s="679" t="e">
        <f t="shared" si="17"/>
        <v>#N/A</v>
      </c>
      <c r="DH97" s="679" t="e">
        <f xml:space="preserve"> IF(CN97 = $D$87, CW97, NA())</f>
        <v>#N/A</v>
      </c>
      <c r="DI97" s="679" t="e">
        <f t="shared" si="19"/>
        <v>#N/A</v>
      </c>
      <c r="DJ97" s="679" t="e">
        <f t="shared" si="20"/>
        <v>#N/A</v>
      </c>
      <c r="DK97" s="649" t="str">
        <f t="shared" si="21"/>
        <v/>
      </c>
      <c r="DL97" s="649" t="str">
        <f t="shared" si="22"/>
        <v/>
      </c>
      <c r="DM97" s="561" t="str">
        <f t="shared" si="23"/>
        <v/>
      </c>
      <c r="DN97" s="676" t="e">
        <f t="shared" si="7"/>
        <v>#N/A</v>
      </c>
    </row>
    <row r="98" spans="1:118">
      <c r="B98" s="597" t="str">
        <f xml:space="preserve"> "The performance advantage of SBGx, compared to the Standard additive, is " &amp; TEXT(LOOKUP(D87, CN59:CN99, DB59:DB99) / 100, "0.0%") &amp; " on day " &amp; TEXT(D87, "0") &amp; ", on day " &amp; TEXT(F87, "0") &amp; " it is significantly lower, but still " &amp; TEXT(LOOKUP(F87, CN59:CN99, DB59:DB99) / 100, "0.0%") &amp; "."</f>
        <v>The performance advantage of SBGx, compared to the Standard additive, is 31.1% on day 19, on day 25 it is significantly lower, but still 19.0%.</v>
      </c>
      <c r="AX98" s="581"/>
      <c r="CK98" s="647">
        <f xml:space="preserve"> IF(AND(SUM($CK$69:$CK97) = 0, CR98 &lt; $C$93), CR98, 0)</f>
        <v>0</v>
      </c>
      <c r="CL98" s="647">
        <f xml:space="preserve"> IF(AND(SUM($CL$69:$CL97) = 0, CX98 &lt; $C$93), CX98, 0)</f>
        <v>0</v>
      </c>
      <c r="CM98" s="647"/>
      <c r="CN98" s="641">
        <v>39</v>
      </c>
      <c r="CO98" s="654">
        <v>0.02</v>
      </c>
      <c r="CP98" s="638">
        <f t="shared" si="8"/>
        <v>0.12770144423948365</v>
      </c>
      <c r="CQ98" s="642">
        <f t="shared" si="9"/>
        <v>9999.9361492778826</v>
      </c>
      <c r="CR98" s="642">
        <f t="shared" si="10"/>
        <v>1.2770144423948366E-3</v>
      </c>
      <c r="CS98" s="642">
        <f t="shared" si="11"/>
        <v>99.99936149277876</v>
      </c>
      <c r="CT98" s="636"/>
      <c r="CU98" s="654">
        <v>0.26200000000000001</v>
      </c>
      <c r="CV98" s="638">
        <f t="shared" si="4"/>
        <v>1.2314211420396166</v>
      </c>
      <c r="CW98" s="642">
        <f t="shared" si="12"/>
        <v>8695.1445853135465</v>
      </c>
      <c r="CX98" s="642">
        <f t="shared" si="13"/>
        <v>1.4160776702387495E-2</v>
      </c>
      <c r="CY98" s="642">
        <f t="shared" si="14"/>
        <v>99.990163124580761</v>
      </c>
      <c r="CZ98" s="636"/>
      <c r="DA98" s="642">
        <f t="shared" si="15"/>
        <v>1304.7915639643361</v>
      </c>
      <c r="DB98" s="642">
        <f t="shared" si="16"/>
        <v>15.005978924929922</v>
      </c>
      <c r="DC98" s="647"/>
      <c r="DD98" s="647"/>
      <c r="DE98" s="647">
        <f t="shared" si="5"/>
        <v>0</v>
      </c>
      <c r="DF98" s="647">
        <f t="shared" si="6"/>
        <v>0</v>
      </c>
      <c r="DG98" s="679" t="e">
        <f t="shared" si="17"/>
        <v>#N/A</v>
      </c>
      <c r="DH98" s="679" t="e">
        <f t="shared" si="18"/>
        <v>#N/A</v>
      </c>
      <c r="DI98" s="679" t="e">
        <f t="shared" si="19"/>
        <v>#N/A</v>
      </c>
      <c r="DJ98" s="679" t="e">
        <f t="shared" si="20"/>
        <v>#N/A</v>
      </c>
      <c r="DK98" s="649" t="str">
        <f t="shared" si="21"/>
        <v/>
      </c>
      <c r="DL98" s="649" t="str">
        <f t="shared" si="22"/>
        <v/>
      </c>
      <c r="DM98" s="561" t="str">
        <f t="shared" si="23"/>
        <v/>
      </c>
      <c r="DN98" s="676" t="e">
        <f t="shared" si="7"/>
        <v>#N/A</v>
      </c>
    </row>
    <row r="99" spans="1:118">
      <c r="AX99" s="581"/>
      <c r="CK99" s="647">
        <f xml:space="preserve"> IF(AND(SUM($CK$69:$CK98) = 0, CR99 &lt; $C$93), CR99, 0)</f>
        <v>0</v>
      </c>
      <c r="CL99" s="647">
        <f xml:space="preserve"> IF(AND(SUM($CL$69:$CL98) = 0, CX99 &lt; $C$93), CX99, 0)</f>
        <v>0</v>
      </c>
      <c r="CM99" s="647"/>
      <c r="CN99" s="643">
        <v>40</v>
      </c>
      <c r="CO99" s="656">
        <v>0.01</v>
      </c>
      <c r="CP99" s="639">
        <f t="shared" si="8"/>
        <v>6.3850722119741826E-2</v>
      </c>
      <c r="CQ99" s="644">
        <f t="shared" si="9"/>
        <v>10000.000000000002</v>
      </c>
      <c r="CR99" s="644">
        <f t="shared" si="10"/>
        <v>6.3850722119741831E-4</v>
      </c>
      <c r="CS99" s="644">
        <f t="shared" si="11"/>
        <v>99.999999999999957</v>
      </c>
      <c r="CT99" s="645"/>
      <c r="CU99" s="656">
        <v>0.182</v>
      </c>
      <c r="CV99" s="639">
        <f t="shared" si="4"/>
        <v>0.85541468645500074</v>
      </c>
      <c r="CW99" s="644">
        <f t="shared" si="12"/>
        <v>8696.0000000000018</v>
      </c>
      <c r="CX99" s="644">
        <f t="shared" si="13"/>
        <v>9.8368754192157386E-3</v>
      </c>
      <c r="CY99" s="644">
        <f t="shared" si="14"/>
        <v>99.999999999999972</v>
      </c>
      <c r="CZ99" s="645"/>
      <c r="DA99" s="644">
        <f t="shared" si="15"/>
        <v>1304</v>
      </c>
      <c r="DB99" s="644">
        <f t="shared" si="16"/>
        <v>14.995400183992638</v>
      </c>
      <c r="DC99" s="647"/>
      <c r="DD99" s="647"/>
      <c r="DE99" s="647">
        <f t="shared" si="5"/>
        <v>0</v>
      </c>
      <c r="DF99" s="647">
        <f t="shared" si="6"/>
        <v>0</v>
      </c>
      <c r="DG99" s="679" t="e">
        <f t="shared" si="17"/>
        <v>#N/A</v>
      </c>
      <c r="DH99" s="679" t="e">
        <f t="shared" si="18"/>
        <v>#N/A</v>
      </c>
      <c r="DI99" s="679" t="e">
        <f t="shared" si="19"/>
        <v>#N/A</v>
      </c>
      <c r="DJ99" s="679" t="e">
        <f t="shared" si="20"/>
        <v>#N/A</v>
      </c>
      <c r="DK99" s="649" t="str">
        <f t="shared" si="21"/>
        <v/>
      </c>
      <c r="DL99" s="649" t="str">
        <f t="shared" si="22"/>
        <v/>
      </c>
      <c r="DM99" s="561" t="str">
        <f t="shared" si="23"/>
        <v/>
      </c>
      <c r="DN99" s="676">
        <f t="shared" si="7"/>
        <v>8813.1172369493925</v>
      </c>
    </row>
    <row r="100" spans="1:118">
      <c r="B100" s="663" t="s">
        <v>380</v>
      </c>
      <c r="AX100" s="581"/>
      <c r="CK100" s="647"/>
      <c r="CL100" s="647"/>
      <c r="CM100" s="647"/>
      <c r="CN100" s="646"/>
      <c r="CO100" s="658">
        <f xml:space="preserve"> SUM(CO60:CO99)</f>
        <v>1566.1529999999998</v>
      </c>
      <c r="CP100" s="638">
        <f xml:space="preserve"> CL58</f>
        <v>10000</v>
      </c>
      <c r="CQ100" s="646"/>
      <c r="CR100" s="636"/>
      <c r="CS100" s="636"/>
      <c r="CT100" s="636"/>
      <c r="CU100" s="642">
        <f xml:space="preserve"> SUM(CU60:CU99)</f>
        <v>1850.1810000000003</v>
      </c>
      <c r="CV100" s="638">
        <f xml:space="preserve"> ROUND(CP100 / (1 + CL60 / 100), 0)</f>
        <v>8696</v>
      </c>
      <c r="CW100" s="636"/>
      <c r="CX100" s="636"/>
      <c r="CY100" s="636"/>
      <c r="CZ100" s="636"/>
      <c r="DA100" s="636"/>
      <c r="DB100" s="636"/>
      <c r="DC100" s="651"/>
      <c r="DD100" s="647"/>
      <c r="DE100" s="647"/>
      <c r="DF100" s="647"/>
      <c r="DG100" s="647"/>
      <c r="DH100" s="647"/>
      <c r="DI100" s="647"/>
      <c r="DJ100" s="647"/>
      <c r="DK100" s="647"/>
      <c r="DL100" s="647"/>
    </row>
    <row r="101" spans="1:118">
      <c r="B101" s="659" t="s">
        <v>375</v>
      </c>
      <c r="C101" s="584"/>
      <c r="D101" s="585"/>
      <c r="E101" s="584"/>
      <c r="F101" s="562"/>
      <c r="AX101" s="581"/>
      <c r="CK101" s="647"/>
      <c r="CL101" s="647"/>
      <c r="CM101" s="647"/>
      <c r="CN101" s="647"/>
      <c r="CO101" s="655"/>
      <c r="CP101" s="657"/>
      <c r="CQ101" s="647"/>
      <c r="CR101" s="647"/>
      <c r="CS101" s="647"/>
      <c r="CT101" s="647"/>
      <c r="CU101" s="647"/>
      <c r="CV101" s="657"/>
      <c r="CW101" s="647"/>
      <c r="CX101" s="647"/>
      <c r="CY101" s="647"/>
      <c r="CZ101" s="647"/>
      <c r="DA101" s="647"/>
      <c r="DB101" s="647"/>
      <c r="DC101" s="647"/>
      <c r="DD101" s="647"/>
      <c r="DE101" s="647"/>
      <c r="DF101" s="647"/>
      <c r="DG101" s="647"/>
      <c r="DH101" s="647"/>
      <c r="DI101" s="647"/>
      <c r="DJ101" s="647"/>
      <c r="DK101" s="647"/>
      <c r="DL101" s="647"/>
    </row>
    <row r="102" spans="1:118">
      <c r="B102" s="583" t="s">
        <v>376</v>
      </c>
      <c r="CK102" s="647"/>
      <c r="CL102" s="647"/>
      <c r="CM102" s="647"/>
      <c r="CN102" s="647"/>
      <c r="CO102" s="655"/>
      <c r="CP102" s="647"/>
      <c r="CQ102" s="647"/>
      <c r="CR102" s="647"/>
      <c r="CS102" s="647"/>
      <c r="CT102" s="647"/>
      <c r="CU102" s="662"/>
      <c r="CV102" s="647"/>
      <c r="CW102" s="647"/>
      <c r="CX102" s="647"/>
      <c r="CY102" s="647"/>
      <c r="CZ102" s="647"/>
      <c r="DA102" s="647"/>
      <c r="DB102" s="647"/>
      <c r="DC102" s="647"/>
      <c r="DD102" s="647"/>
      <c r="DE102" s="647"/>
      <c r="DF102" s="647"/>
      <c r="DG102" s="647"/>
      <c r="DH102" s="647"/>
      <c r="DI102" s="647"/>
      <c r="DJ102" s="647"/>
      <c r="DK102" s="647"/>
      <c r="DL102" s="647"/>
    </row>
    <row r="103" spans="1:118">
      <c r="CK103" s="635"/>
      <c r="CL103" s="635"/>
      <c r="CM103" s="635"/>
      <c r="CN103" s="635"/>
      <c r="CO103" s="635"/>
      <c r="CP103" s="635"/>
      <c r="CQ103" s="635"/>
      <c r="CR103" s="635"/>
      <c r="CS103" s="635"/>
      <c r="CT103" s="635"/>
      <c r="CU103" s="662"/>
      <c r="CV103" s="635"/>
      <c r="CW103" s="635"/>
      <c r="CX103" s="635"/>
      <c r="CY103" s="635"/>
      <c r="CZ103" s="635"/>
      <c r="DA103" s="635"/>
      <c r="DB103" s="635"/>
      <c r="DC103" s="635"/>
      <c r="DD103" s="635"/>
      <c r="DE103" s="635"/>
      <c r="DF103" s="635"/>
      <c r="DG103" s="635"/>
      <c r="DH103" s="635"/>
      <c r="DI103" s="635"/>
      <c r="DJ103" s="635"/>
      <c r="DK103" s="635"/>
      <c r="DL103" s="635"/>
    </row>
    <row r="104" spans="1:118" s="542" customFormat="1">
      <c r="A104" s="557"/>
      <c r="B104" s="598" t="s">
        <v>390</v>
      </c>
      <c r="C104" s="557"/>
      <c r="D104" s="557"/>
      <c r="E104" s="557"/>
      <c r="F104" s="557"/>
      <c r="G104" s="557"/>
      <c r="H104" s="557"/>
      <c r="I104" s="557"/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CU104" s="662"/>
    </row>
    <row r="105" spans="1:118" s="542" customFormat="1">
      <c r="A105" s="557"/>
      <c r="B105" s="608" t="s">
        <v>353</v>
      </c>
      <c r="C105" s="557"/>
      <c r="D105" s="557"/>
      <c r="E105" s="557"/>
      <c r="F105" s="557"/>
      <c r="G105" s="557"/>
      <c r="H105" s="557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CU105" s="662"/>
    </row>
    <row r="106" spans="1:118" s="542" customFormat="1">
      <c r="A106" s="557"/>
      <c r="B106" s="629" t="s">
        <v>361</v>
      </c>
      <c r="C106" s="557"/>
      <c r="D106" s="557"/>
      <c r="E106" s="557"/>
      <c r="F106" s="557"/>
      <c r="G106" s="557"/>
      <c r="H106" s="557"/>
      <c r="I106" s="557"/>
      <c r="J106" s="557"/>
      <c r="K106" s="557"/>
      <c r="L106" s="557"/>
      <c r="M106" s="557"/>
      <c r="N106" s="557"/>
      <c r="O106" s="557"/>
      <c r="P106" s="557"/>
      <c r="Q106" s="557"/>
      <c r="CU106" s="662"/>
    </row>
    <row r="107" spans="1:118" s="542" customFormat="1">
      <c r="A107" s="557"/>
      <c r="B107" s="557"/>
      <c r="C107" s="557"/>
      <c r="D107" s="557"/>
      <c r="E107" s="557"/>
      <c r="F107" s="557"/>
      <c r="G107" s="557"/>
      <c r="H107" s="557"/>
      <c r="I107" s="557"/>
      <c r="J107" s="557"/>
      <c r="K107" s="557"/>
      <c r="L107" s="557"/>
      <c r="M107" s="557"/>
      <c r="N107" s="557"/>
      <c r="O107" s="557"/>
      <c r="P107" s="557"/>
      <c r="Q107" s="557"/>
      <c r="CU107" s="662"/>
    </row>
    <row r="108" spans="1:118" s="542" customFormat="1">
      <c r="A108" s="557"/>
      <c r="B108" s="582" t="s">
        <v>347</v>
      </c>
      <c r="C108" s="557"/>
      <c r="D108" s="557"/>
      <c r="E108" s="557"/>
      <c r="F108" s="557"/>
      <c r="G108" s="557"/>
      <c r="H108" s="557"/>
      <c r="I108" s="557"/>
      <c r="J108" s="557"/>
      <c r="K108" s="557"/>
      <c r="L108" s="557"/>
      <c r="M108" s="557"/>
      <c r="N108" s="557"/>
      <c r="O108" s="557"/>
      <c r="P108" s="557"/>
      <c r="Q108" s="557"/>
      <c r="CU108" s="662"/>
    </row>
    <row r="109" spans="1:118" s="542" customFormat="1">
      <c r="A109" s="557"/>
      <c r="B109" s="663" t="s">
        <v>381</v>
      </c>
      <c r="C109" s="557"/>
      <c r="D109" s="557"/>
      <c r="E109" s="557"/>
      <c r="F109" s="557"/>
      <c r="G109" s="557"/>
      <c r="H109" s="557"/>
      <c r="I109" s="557"/>
      <c r="J109" s="557"/>
      <c r="K109" s="557"/>
      <c r="L109" s="557"/>
      <c r="M109" s="557"/>
      <c r="N109" s="557"/>
      <c r="O109" s="557"/>
      <c r="P109" s="557"/>
      <c r="Q109" s="557"/>
      <c r="CU109" s="662"/>
    </row>
    <row r="110" spans="1:118" s="542" customFormat="1">
      <c r="A110" s="557"/>
      <c r="B110" s="597" t="s">
        <v>354</v>
      </c>
      <c r="C110" s="557"/>
      <c r="D110" s="557"/>
      <c r="E110" s="557"/>
      <c r="F110" s="557"/>
      <c r="G110" s="557"/>
      <c r="H110" s="557"/>
      <c r="I110" s="557"/>
      <c r="J110" s="557"/>
      <c r="K110" s="557"/>
      <c r="L110" s="557"/>
      <c r="M110" s="557"/>
      <c r="N110" s="557"/>
      <c r="O110" s="557"/>
      <c r="P110" s="557"/>
      <c r="Q110" s="557"/>
      <c r="CU110" s="662"/>
    </row>
    <row r="111" spans="1:118" s="542" customFormat="1">
      <c r="B111" s="607" t="s">
        <v>362</v>
      </c>
      <c r="C111" s="557"/>
      <c r="D111" s="557"/>
      <c r="E111" s="557"/>
      <c r="F111" s="557"/>
      <c r="G111" s="557"/>
      <c r="H111" s="557"/>
      <c r="I111" s="557"/>
      <c r="J111" s="557"/>
      <c r="K111" s="557"/>
      <c r="L111" s="557"/>
      <c r="M111" s="557"/>
      <c r="N111" s="557"/>
      <c r="O111" s="557"/>
      <c r="CU111" s="662"/>
    </row>
    <row r="112" spans="1:118">
      <c r="A112" s="542"/>
      <c r="P112" s="542"/>
      <c r="Q112" s="542"/>
      <c r="R112" s="542"/>
      <c r="S112" s="542"/>
      <c r="T112" s="542"/>
      <c r="CU112" s="662"/>
    </row>
    <row r="113" spans="1:99">
      <c r="A113" s="542"/>
      <c r="B113" s="299" t="s">
        <v>359</v>
      </c>
      <c r="P113" s="542"/>
      <c r="Q113" s="542"/>
      <c r="R113" s="542"/>
      <c r="S113" s="542"/>
      <c r="CU113" s="662"/>
    </row>
    <row r="114" spans="1:99">
      <c r="A114" s="542"/>
      <c r="P114" s="542"/>
      <c r="Q114" s="542"/>
      <c r="CU114" s="662"/>
    </row>
    <row r="115" spans="1:99">
      <c r="A115" s="542"/>
      <c r="B115" s="673" t="s">
        <v>393</v>
      </c>
      <c r="P115" s="542"/>
      <c r="Q115" s="542"/>
      <c r="CU115" s="662"/>
    </row>
    <row r="116" spans="1:99">
      <c r="A116" s="542"/>
      <c r="B116" s="543" t="s">
        <v>358</v>
      </c>
      <c r="C116" s="542"/>
      <c r="D116" s="542"/>
      <c r="E116" s="542"/>
      <c r="F116" s="542"/>
      <c r="G116" s="542"/>
      <c r="H116" s="542"/>
      <c r="I116" s="542"/>
      <c r="J116" s="542"/>
      <c r="K116" s="542"/>
      <c r="L116" s="542"/>
      <c r="M116" s="542"/>
      <c r="N116" s="542"/>
      <c r="O116" s="542"/>
      <c r="P116" s="542"/>
      <c r="Q116" s="542"/>
      <c r="CU116" s="662"/>
    </row>
    <row r="117" spans="1:99">
      <c r="A117" s="542"/>
      <c r="B117" s="542"/>
      <c r="C117" s="542"/>
      <c r="D117" s="542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CU117" s="662"/>
    </row>
    <row r="118" spans="1:99">
      <c r="A118" s="542"/>
      <c r="B118" s="544" t="s">
        <v>397</v>
      </c>
      <c r="C118" s="545">
        <v>10</v>
      </c>
      <c r="D118" s="540"/>
      <c r="E118" s="541">
        <f xml:space="preserve"> IFERROR(1 + IF(C118 &lt; 0, 0, C118) / 100, 1)</f>
        <v>1.1000000000000001</v>
      </c>
      <c r="F118" s="542"/>
      <c r="G118" s="542" t="s">
        <v>355</v>
      </c>
      <c r="H118" s="542"/>
      <c r="I118" s="542"/>
      <c r="J118" s="542"/>
      <c r="K118" s="542"/>
      <c r="L118" s="542"/>
      <c r="M118" s="542"/>
      <c r="N118" s="542"/>
      <c r="O118" s="542"/>
      <c r="P118" s="542"/>
      <c r="Q118" s="542"/>
      <c r="CU118" s="662"/>
    </row>
    <row r="119" spans="1:99">
      <c r="B119" s="546" t="s">
        <v>396</v>
      </c>
      <c r="C119" s="547"/>
      <c r="D119" s="540"/>
      <c r="E119" s="580" t="s">
        <v>200</v>
      </c>
      <c r="F119" s="542"/>
      <c r="G119" s="548" t="s">
        <v>349</v>
      </c>
      <c r="H119" s="548"/>
      <c r="I119" s="548"/>
      <c r="J119" s="548"/>
      <c r="K119" s="544"/>
      <c r="L119" s="545">
        <v>95</v>
      </c>
      <c r="M119" s="540" t="str">
        <f xml:space="preserve"> IF(M120 &gt; L120, " → H₂S content in raw biogas = " &amp; TEXT(M120, "#,##0") &amp; " ppm", "")</f>
        <v xml:space="preserve"> → H₂S content in raw biogas = 1,500 ppm</v>
      </c>
      <c r="N119" s="542"/>
      <c r="O119" s="542"/>
      <c r="CU119" s="662"/>
    </row>
    <row r="120" spans="1:99">
      <c r="B120" s="546" t="s">
        <v>356</v>
      </c>
      <c r="C120" s="547"/>
      <c r="D120" s="540" t="str">
        <f xml:space="preserve"> IF(E120 = 1, "", " ²")</f>
        <v/>
      </c>
      <c r="E120" s="541">
        <f xml:space="preserve"> IFERROR(IF(C119 &lt; C120, 1, C119 / C120), 1)</f>
        <v>1</v>
      </c>
      <c r="F120" s="542"/>
      <c r="G120" s="549" t="s">
        <v>350</v>
      </c>
      <c r="H120" s="549"/>
      <c r="I120" s="549"/>
      <c r="J120" s="549"/>
      <c r="K120" s="546"/>
      <c r="L120" s="545">
        <v>75</v>
      </c>
      <c r="M120" s="539">
        <f xml:space="preserve"> L120 / (1 - L119 / 100)</f>
        <v>1499.9999999999986</v>
      </c>
      <c r="N120" s="542"/>
      <c r="O120" s="542"/>
      <c r="CU120" s="662"/>
    </row>
    <row r="121" spans="1:99">
      <c r="B121" s="551" t="s">
        <v>401</v>
      </c>
      <c r="C121" s="680" t="str">
        <f xml:space="preserve"> IF(E121 &lt;= 1, "", "+ " &amp; TEXT((E121 - 1) * 100, "0.00") &amp; "  (= " &amp; TEXT(E121, "0.0") &amp; " x)")</f>
        <v>+ 10.00  (= 1.1 x)</v>
      </c>
      <c r="D121" s="540"/>
      <c r="E121" s="541">
        <f xml:space="preserve"> E118 * E120</f>
        <v>1.1000000000000001</v>
      </c>
      <c r="F121" s="542"/>
      <c r="G121" s="552" t="str">
        <f xml:space="preserve"> "New H₂S content only with volume increase by " &amp; IFERROR(TEXT(C118, "0.0"), 0) &amp; "% [ppm]"</f>
        <v>New H₂S content only with volume increase by 10.0% [ppm]</v>
      </c>
      <c r="H121" s="553"/>
      <c r="I121" s="553"/>
      <c r="J121" s="553"/>
      <c r="K121" s="554"/>
      <c r="L121" s="555">
        <f xml:space="preserve"> IF(M120 * (E118 - L119 / 100) / E118 &lt;= 100, "", M120 * (E118 - L119 / 100) / E118)</f>
        <v>204.54545454545453</v>
      </c>
      <c r="M121" s="540"/>
      <c r="N121" s="542"/>
      <c r="O121" s="542"/>
      <c r="CU121" s="662"/>
    </row>
    <row r="122" spans="1:99">
      <c r="B122" s="682" t="s">
        <v>403</v>
      </c>
      <c r="C122" s="681"/>
      <c r="D122" s="538"/>
      <c r="E122" s="550"/>
      <c r="F122" s="538"/>
      <c r="G122" s="552" t="str">
        <f xml:space="preserve"> "New H₂S cont. only with RD shortening " &amp; IF(L122 &lt;&gt; "", "from " &amp; TEXT(C119, "0") &amp; " to " &amp; TEXT(C120, "0") &amp; " days [ppm]", "")</f>
        <v xml:space="preserve">New H₂S cont. only with RD shortening </v>
      </c>
      <c r="H122" s="553"/>
      <c r="I122" s="553"/>
      <c r="J122" s="553"/>
      <c r="K122" s="554"/>
      <c r="L122" s="555" t="str">
        <f xml:space="preserve"> IF(M120 * (E120 - L119 / 100) / E120 &lt;= 100, "", M120 * (E120 - L119 / 100) / E120)</f>
        <v/>
      </c>
      <c r="M122" s="540"/>
      <c r="N122" s="542"/>
      <c r="O122" s="542"/>
      <c r="CU122" s="662"/>
    </row>
    <row r="123" spans="1:99">
      <c r="B123" s="670" t="s">
        <v>402</v>
      </c>
      <c r="C123" s="669" t="str">
        <f xml:space="preserve"> IF(E121 &lt;= 1, "", "- " &amp; TEXT((1 - 1 / E121) * 100, "0.00"))</f>
        <v>- 9.09</v>
      </c>
      <c r="E123" s="538"/>
      <c r="F123" s="538"/>
      <c r="G123" s="603" t="s">
        <v>395</v>
      </c>
      <c r="H123" s="604"/>
      <c r="I123" s="604"/>
      <c r="J123" s="604"/>
      <c r="K123" s="605"/>
      <c r="L123" s="606">
        <f xml:space="preserve"> M120 * (E121 - L119 / 100) / E121</f>
        <v>204.54545454545453</v>
      </c>
      <c r="M123" s="667" t="str">
        <f xml:space="preserve"> "+ " &amp; TEXT( L123 / L120 - 1, "#,##0.0%") &amp; "  (= " &amp; TEXT( L123 / L120, "0.0") &amp; " x)"</f>
        <v>+ 172.7%  (= 2.7 x)</v>
      </c>
      <c r="N123" s="538"/>
      <c r="O123" s="538"/>
      <c r="CU123" s="662"/>
    </row>
    <row r="124" spans="1:99" ht="12" customHeight="1">
      <c r="B124" s="671" t="s">
        <v>357</v>
      </c>
      <c r="C124" s="671" t="str">
        <f xml:space="preserve"> IF(E120 = 1, "", "² Substrate increase = " &amp; TEXT(E120 - 1, "0.0%"))</f>
        <v/>
      </c>
      <c r="D124" s="538"/>
      <c r="E124" s="538"/>
      <c r="F124" s="538"/>
      <c r="G124" s="538"/>
      <c r="H124" s="538"/>
      <c r="I124" s="538"/>
      <c r="J124" s="538"/>
      <c r="K124" s="538"/>
      <c r="L124" s="538"/>
      <c r="M124" s="538"/>
      <c r="N124" s="538"/>
      <c r="O124" s="538"/>
      <c r="CU124" s="662"/>
    </row>
    <row r="125" spans="1:99" ht="12" customHeight="1">
      <c r="B125" s="671" t="s">
        <v>348</v>
      </c>
      <c r="C125" s="671"/>
      <c r="D125" s="538"/>
      <c r="E125" s="542"/>
      <c r="F125" s="542"/>
      <c r="CU125" s="662"/>
    </row>
    <row r="126" spans="1:99">
      <c r="B126" s="563"/>
      <c r="C126" s="563"/>
      <c r="D126" s="548"/>
      <c r="E126" s="548"/>
      <c r="F126" s="548"/>
      <c r="G126" s="548"/>
      <c r="H126" s="548"/>
      <c r="I126" s="548"/>
      <c r="J126" s="548"/>
      <c r="K126" s="548"/>
      <c r="L126" s="548"/>
      <c r="M126" s="548"/>
      <c r="N126" s="563"/>
      <c r="O126" s="563"/>
      <c r="CU126" s="662"/>
    </row>
    <row r="127" spans="1:99">
      <c r="CU127" s="662"/>
    </row>
    <row r="128" spans="1:99">
      <c r="CU128" s="662"/>
    </row>
    <row r="129" spans="99:99">
      <c r="CU129" s="662"/>
    </row>
    <row r="130" spans="99:99">
      <c r="CU130" s="662"/>
    </row>
    <row r="131" spans="99:99">
      <c r="CU131" s="662"/>
    </row>
    <row r="132" spans="99:99">
      <c r="CU132" s="662"/>
    </row>
    <row r="133" spans="99:99">
      <c r="CU133" s="662"/>
    </row>
    <row r="134" spans="99:99">
      <c r="CU134" s="662"/>
    </row>
    <row r="135" spans="99:99">
      <c r="CU135" s="662"/>
    </row>
    <row r="136" spans="99:99">
      <c r="CU136" s="662"/>
    </row>
    <row r="137" spans="99:99">
      <c r="CU137" s="662"/>
    </row>
    <row r="138" spans="99:99">
      <c r="CU138" s="662"/>
    </row>
    <row r="139" spans="99:99">
      <c r="CU139" s="662"/>
    </row>
    <row r="140" spans="99:99">
      <c r="CU140" s="662"/>
    </row>
    <row r="141" spans="99:99">
      <c r="CU141" s="662"/>
    </row>
  </sheetData>
  <sheetProtection sheet="1" objects="1" scenarios="1" selectLockedCells="1"/>
  <mergeCells count="9">
    <mergeCell ref="C94:D94"/>
    <mergeCell ref="C93:D93"/>
    <mergeCell ref="C85:D85"/>
    <mergeCell ref="N7:S7"/>
    <mergeCell ref="N6:S6"/>
    <mergeCell ref="C35:Q35"/>
    <mergeCell ref="M21:N21"/>
    <mergeCell ref="M22:N22"/>
    <mergeCell ref="C86:D86"/>
  </mergeCells>
  <dataValidations count="3">
    <dataValidation type="custom" allowBlank="1" showInputMessage="1" showErrorMessage="1" sqref="M21:O22 C35:Q35 T7 N6:O7 C86">
      <formula1>"&lt; 0 &gt; 0"</formula1>
    </dataValidation>
    <dataValidation type="custom" allowBlank="1" showInputMessage="1" showErrorMessage="1" sqref="C122">
      <formula1>"&gt; 1 &lt; 1"</formula1>
    </dataValidation>
    <dataValidation type="custom" allowBlank="1" showInputMessage="1" showErrorMessage="1" sqref="M96">
      <formula1>"&lt; 1 &gt; 1"</formula1>
    </dataValidation>
  </dataValidations>
  <hyperlinks>
    <hyperlink ref="N6" r:id="rId1"/>
    <hyperlink ref="M22" r:id="rId2"/>
    <hyperlink ref="M21" r:id="rId3"/>
    <hyperlink ref="N7" r:id="rId4"/>
    <hyperlink ref="C35" r:id="rId5"/>
  </hyperlinks>
  <pageMargins left="0.7" right="0.7" top="0.75" bottom="0.75" header="0.3" footer="0.3"/>
  <pageSetup paperSize="9" scale="95" orientation="landscape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zoomScaleNormal="100" workbookViewId="0">
      <selection activeCell="B22" sqref="B22"/>
    </sheetView>
  </sheetViews>
  <sheetFormatPr defaultRowHeight="15"/>
  <cols>
    <col min="1" max="1" width="17.5" style="1" customWidth="1"/>
    <col min="2" max="4" width="15" style="1" customWidth="1"/>
    <col min="5" max="6" width="14.375" style="1" customWidth="1"/>
    <col min="7" max="7" width="14" style="1" customWidth="1"/>
    <col min="8" max="9" width="10.625" style="1" customWidth="1"/>
    <col min="10" max="11" width="10.625" style="515" customWidth="1"/>
    <col min="12" max="1024" width="10.625" style="1" customWidth="1"/>
    <col min="1025" max="16384" width="9" style="1"/>
  </cols>
  <sheetData>
    <row r="1" spans="1:11">
      <c r="C1" s="2"/>
      <c r="D1" s="2"/>
      <c r="E1" s="3"/>
    </row>
    <row r="2" spans="1:11">
      <c r="A2" s="10" t="str">
        <f>A20</f>
        <v>*** This version is authorised by SwissBiogas.com ***</v>
      </c>
      <c r="C2" s="2"/>
      <c r="D2" s="2"/>
      <c r="E2" s="3"/>
    </row>
    <row r="3" spans="1:11" ht="30">
      <c r="A3" s="481" t="s">
        <v>17</v>
      </c>
      <c r="B3" s="482" t="s">
        <v>18</v>
      </c>
      <c r="C3" s="5" t="s">
        <v>310</v>
      </c>
      <c r="D3" s="5" t="s">
        <v>309</v>
      </c>
      <c r="E3" s="517" t="s">
        <v>308</v>
      </c>
      <c r="F3" s="518" t="s">
        <v>307</v>
      </c>
      <c r="G3" s="5" t="s">
        <v>52</v>
      </c>
      <c r="J3" s="516"/>
      <c r="K3" s="516"/>
    </row>
    <row r="4" spans="1:11">
      <c r="A4" s="483" t="s">
        <v>8</v>
      </c>
      <c r="B4" s="484" t="s">
        <v>9</v>
      </c>
      <c r="C4" s="484">
        <v>1.0079400000000001</v>
      </c>
      <c r="D4" s="485"/>
      <c r="E4" s="484"/>
      <c r="F4" s="486"/>
      <c r="G4" s="484"/>
    </row>
    <row r="5" spans="1:11">
      <c r="A5" s="483" t="s">
        <v>0</v>
      </c>
      <c r="B5" s="484" t="s">
        <v>1</v>
      </c>
      <c r="C5" s="484">
        <v>15.9994</v>
      </c>
      <c r="D5" s="484"/>
      <c r="E5" s="484"/>
      <c r="F5" s="486"/>
      <c r="G5" s="484"/>
    </row>
    <row r="6" spans="1:11">
      <c r="A6" s="483" t="s">
        <v>10</v>
      </c>
      <c r="B6" s="486" t="s">
        <v>11</v>
      </c>
      <c r="C6" s="486">
        <v>35.453000000000003</v>
      </c>
      <c r="D6" s="484"/>
      <c r="E6" s="484"/>
      <c r="F6" s="486"/>
      <c r="G6" s="486"/>
    </row>
    <row r="7" spans="1:11">
      <c r="A7" s="483" t="s">
        <v>2</v>
      </c>
      <c r="B7" s="484" t="s">
        <v>3</v>
      </c>
      <c r="C7" s="487">
        <f xml:space="preserve"> IF(EXACT('RIIC Calculator'!L74, "powered by SwissBiogas.com"), 55.845, 0)</f>
        <v>55.844999999999999</v>
      </c>
      <c r="D7" s="484"/>
      <c r="E7" s="484"/>
      <c r="F7" s="486"/>
      <c r="G7" s="484"/>
    </row>
    <row r="8" spans="1:11">
      <c r="A8" s="483" t="s">
        <v>4</v>
      </c>
      <c r="B8" s="484" t="s">
        <v>5</v>
      </c>
      <c r="C8" s="484"/>
      <c r="D8" s="484">
        <f xml:space="preserve"> C7 + C5</f>
        <v>71.844399999999993</v>
      </c>
      <c r="E8" s="484">
        <v>1</v>
      </c>
      <c r="F8" s="486">
        <v>0</v>
      </c>
      <c r="G8" s="488">
        <f xml:space="preserve"> (E8 + F8) * $C$7 / D8 * 100</f>
        <v>77.730484213104987</v>
      </c>
      <c r="H8" s="492"/>
      <c r="I8" s="492"/>
    </row>
    <row r="9" spans="1:11">
      <c r="A9" s="483" t="s">
        <v>6</v>
      </c>
      <c r="B9" s="491" t="s">
        <v>22</v>
      </c>
      <c r="C9" s="484"/>
      <c r="D9" s="484">
        <f xml:space="preserve"> 2 * C7 + 3 * C5</f>
        <v>159.68819999999999</v>
      </c>
      <c r="E9" s="484">
        <v>0</v>
      </c>
      <c r="F9" s="486">
        <v>2</v>
      </c>
      <c r="G9" s="488">
        <f t="shared" ref="G9:G16" si="0" xml:space="preserve"> (E9 + F9) * $C$7 / D9 * 100</f>
        <v>69.942550545375298</v>
      </c>
    </row>
    <row r="10" spans="1:11">
      <c r="A10" s="483" t="s">
        <v>7</v>
      </c>
      <c r="B10" s="491" t="s">
        <v>23</v>
      </c>
      <c r="C10" s="484"/>
      <c r="D10" s="484">
        <f xml:space="preserve"> 3 * C7 + 4 * C5</f>
        <v>231.5326</v>
      </c>
      <c r="E10" s="484">
        <v>1</v>
      </c>
      <c r="F10" s="486">
        <v>2</v>
      </c>
      <c r="G10" s="488">
        <f t="shared" si="0"/>
        <v>72.3591407862219</v>
      </c>
    </row>
    <row r="11" spans="1:11">
      <c r="A11" s="483" t="s">
        <v>12</v>
      </c>
      <c r="B11" s="491" t="s">
        <v>24</v>
      </c>
      <c r="C11" s="484"/>
      <c r="D11" s="484">
        <f xml:space="preserve"> C7 + 2 * C6</f>
        <v>126.751</v>
      </c>
      <c r="E11" s="484">
        <v>1</v>
      </c>
      <c r="F11" s="486">
        <v>0</v>
      </c>
      <c r="G11" s="488">
        <f xml:space="preserve"> (E11 + F11) * $C$7 / D11 * 100</f>
        <v>44.058823993499061</v>
      </c>
    </row>
    <row r="12" spans="1:11">
      <c r="A12" s="483" t="s">
        <v>13</v>
      </c>
      <c r="B12" s="491" t="s">
        <v>25</v>
      </c>
      <c r="C12" s="484"/>
      <c r="D12" s="484">
        <f xml:space="preserve"> C7 + 3 * C6</f>
        <v>162.20400000000001</v>
      </c>
      <c r="E12" s="484">
        <v>0</v>
      </c>
      <c r="F12" s="486">
        <v>1</v>
      </c>
      <c r="G12" s="488">
        <f t="shared" si="0"/>
        <v>34.428867352223122</v>
      </c>
    </row>
    <row r="13" spans="1:11">
      <c r="A13" s="483" t="s">
        <v>14</v>
      </c>
      <c r="B13" s="484" t="s">
        <v>15</v>
      </c>
      <c r="C13" s="484"/>
      <c r="D13" s="484">
        <f xml:space="preserve"> C7 + 2 * C5 + C4</f>
        <v>88.851740000000007</v>
      </c>
      <c r="E13" s="484">
        <v>0</v>
      </c>
      <c r="F13" s="486">
        <v>1</v>
      </c>
      <c r="G13" s="488">
        <f xml:space="preserve"> (E13 + F13) * $C$7 / D13 * 100</f>
        <v>62.8518923771217</v>
      </c>
    </row>
    <row r="14" spans="1:11">
      <c r="A14" s="489" t="s">
        <v>48</v>
      </c>
      <c r="B14" s="491" t="s">
        <v>49</v>
      </c>
      <c r="C14" s="484"/>
      <c r="D14" s="484">
        <f xml:space="preserve"> C7 + (C5 + C4) * 2</f>
        <v>89.859679999999997</v>
      </c>
      <c r="E14" s="484">
        <v>1</v>
      </c>
      <c r="F14" s="486">
        <v>0</v>
      </c>
      <c r="G14" s="488">
        <f t="shared" si="0"/>
        <v>62.146893912820524</v>
      </c>
    </row>
    <row r="15" spans="1:11">
      <c r="A15" s="489" t="s">
        <v>47</v>
      </c>
      <c r="B15" s="491" t="s">
        <v>26</v>
      </c>
      <c r="C15" s="484"/>
      <c r="D15" s="484">
        <f xml:space="preserve"> C7 + (C5 + C4) * 3</f>
        <v>106.86702</v>
      </c>
      <c r="E15" s="484">
        <v>0</v>
      </c>
      <c r="F15" s="486">
        <v>1</v>
      </c>
      <c r="G15" s="488">
        <f xml:space="preserve"> (E15 + F15) * $C$7 / D15 * 100</f>
        <v>52.256533400107905</v>
      </c>
    </row>
    <row r="16" spans="1:11">
      <c r="A16" s="490" t="s">
        <v>88</v>
      </c>
      <c r="B16" s="491" t="s">
        <v>89</v>
      </c>
      <c r="C16" s="484"/>
      <c r="D16" s="484">
        <f xml:space="preserve"> 2 * C7 + 6 * C4 + 6 * C5</f>
        <v>213.73403999999999</v>
      </c>
      <c r="E16" s="484">
        <v>0</v>
      </c>
      <c r="F16" s="486">
        <v>2</v>
      </c>
      <c r="G16" s="488">
        <f t="shared" si="0"/>
        <v>52.256533400107905</v>
      </c>
    </row>
    <row r="17" spans="1:7">
      <c r="A17" s="489"/>
      <c r="B17" s="484"/>
      <c r="C17" s="484"/>
      <c r="D17" s="484"/>
      <c r="E17" s="484"/>
      <c r="F17" s="486"/>
      <c r="G17" s="519"/>
    </row>
    <row r="18" spans="1:7">
      <c r="F18" s="514"/>
    </row>
    <row r="20" spans="1:7">
      <c r="A20" s="10" t="str">
        <f xml:space="preserve"> IF(C7 &gt; 0, "*** This version is authorised by SwissBiogas.com ***", "*** This version is NOT authorised by SwissBiogas.com ***")</f>
        <v>*** This version is authorised by SwissBiogas.com ***</v>
      </c>
      <c r="G20" s="480"/>
    </row>
    <row r="21" spans="1:7" ht="31.5">
      <c r="A21" s="12"/>
      <c r="B21" s="4" t="s">
        <v>19</v>
      </c>
      <c r="C21" s="4" t="s">
        <v>20</v>
      </c>
      <c r="D21" s="5" t="s">
        <v>62</v>
      </c>
      <c r="E21" s="22" t="s">
        <v>167</v>
      </c>
    </row>
    <row r="22" spans="1:7">
      <c r="A22" s="6" t="s">
        <v>16</v>
      </c>
      <c r="B22" s="11">
        <v>41.82</v>
      </c>
      <c r="C22" s="11">
        <v>44.13</v>
      </c>
      <c r="D22" s="13">
        <v>2</v>
      </c>
      <c r="E22" s="13">
        <v>1.7</v>
      </c>
    </row>
  </sheetData>
  <sheetProtection algorithmName="SHA-512" hashValue="aRSYiFgfYR0dCaMKwHVsNzZByQeMc1VxqYW4UXbnkpHmeus50T+cQx+pZKHaQDWhSx8w3BoC7Gmf2ReVU+DahA==" saltValue="FyqCQbSe1ZZEksdT8x3Trw==" spinCount="100000" sheet="1" objects="1" scenarios="1" selectLockedCells="1"/>
  <pageMargins left="0" right="0" top="0.78661417322834648" bottom="0.62992125984251968" header="0.59015748031496063" footer="0.59015748031496063"/>
  <pageSetup paperSize="9" fitToWidth="0" fitToHeight="0" pageOrder="overThenDown" orientation="landscape" useFirstPageNumber="1" horizontalDpi="0" verticalDpi="0" r:id="rId1"/>
  <headerFooter>
    <oddFooter>&amp;R&amp;"Calibri2,Regular"&amp;9&amp;F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RIIC Calculator</vt:lpstr>
      <vt:lpstr>Beispiel DE</vt:lpstr>
      <vt:lpstr>Example EU</vt:lpstr>
      <vt:lpstr>Example UK</vt:lpstr>
      <vt:lpstr>Example US</vt:lpstr>
      <vt:lpstr>Tools - Info</vt:lpstr>
      <vt:lpstr>basis</vt:lpstr>
      <vt:lpstr>'Beispiel DE'!Print_Area</vt:lpstr>
      <vt:lpstr>'Example EU'!Print_Area</vt:lpstr>
      <vt:lpstr>'Example UK'!Print_Area</vt:lpstr>
      <vt:lpstr>'Example US'!Print_Area</vt:lpstr>
      <vt:lpstr>'RIIC Calculator'!Print_Area</vt:lpstr>
      <vt:lpstr>'Tools - Info'!Print_Area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revision>83</cp:revision>
  <cp:lastPrinted>2022-12-31T02:24:09Z</cp:lastPrinted>
  <dcterms:created xsi:type="dcterms:W3CDTF">2021-05-14T16:45:11Z</dcterms:created>
  <dcterms:modified xsi:type="dcterms:W3CDTF">2022-12-31T06:39:45Z</dcterms:modified>
</cp:coreProperties>
</file>