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business\SBG\calculation_iron_addition\riic_web\"/>
    </mc:Choice>
  </mc:AlternateContent>
  <bookViews>
    <workbookView xWindow="0" yWindow="0" windowWidth="28440" windowHeight="12300"/>
  </bookViews>
  <sheets>
    <sheet name="RIIC Calculator" sheetId="4" r:id="rId1"/>
    <sheet name="basis" sheetId="1" state="hidden" r:id="rId2"/>
  </sheets>
  <calcPr calcId="152511"/>
</workbook>
</file>

<file path=xl/calcChain.xml><?xml version="1.0" encoding="utf-8"?>
<calcChain xmlns="http://schemas.openxmlformats.org/spreadsheetml/2006/main">
  <c r="P65" i="4" l="1"/>
  <c r="N67" i="4" l="1"/>
  <c r="J123" i="4" l="1"/>
  <c r="J122" i="4"/>
  <c r="H122" i="4"/>
  <c r="N30" i="4" l="1"/>
  <c r="N21" i="4"/>
  <c r="N22" i="4"/>
  <c r="N23" i="4"/>
  <c r="N24" i="4"/>
  <c r="N25" i="4"/>
  <c r="N26" i="4"/>
  <c r="N27" i="4"/>
  <c r="N28" i="4"/>
  <c r="N20" i="4"/>
  <c r="L63" i="4"/>
  <c r="L70" i="4" l="1"/>
  <c r="L52" i="4" l="1"/>
  <c r="W24" i="4" l="1"/>
  <c r="W21" i="4"/>
  <c r="W20" i="4"/>
  <c r="X26" i="4"/>
  <c r="X25" i="4"/>
  <c r="X23" i="4"/>
  <c r="X22" i="4"/>
  <c r="X20" i="4"/>
  <c r="X16" i="4"/>
  <c r="V16" i="4"/>
  <c r="L64" i="4" l="1"/>
  <c r="AK49" i="4" l="1"/>
  <c r="AA49" i="4"/>
  <c r="H129" i="4" l="1"/>
  <c r="AO64" i="4" l="1"/>
  <c r="AO63" i="4"/>
  <c r="AO60" i="4"/>
  <c r="AO59" i="4"/>
  <c r="AO55" i="4"/>
  <c r="AJ65" i="4"/>
  <c r="AJ64" i="4"/>
  <c r="AJ63" i="4"/>
  <c r="AJ61" i="4"/>
  <c r="AJ60" i="4"/>
  <c r="AJ59" i="4"/>
  <c r="AJ56" i="4"/>
  <c r="AJ57" i="4"/>
  <c r="AJ55" i="4"/>
  <c r="V58" i="4"/>
  <c r="V59" i="4"/>
  <c r="V57" i="4"/>
  <c r="V61" i="4" l="1"/>
  <c r="AF63" i="4" l="1"/>
  <c r="AF59" i="4"/>
  <c r="AF55" i="4"/>
  <c r="Z65" i="4"/>
  <c r="Z64" i="4"/>
  <c r="Z63" i="4"/>
  <c r="Z61" i="4"/>
  <c r="Z60" i="4"/>
  <c r="Z59" i="4"/>
  <c r="Z56" i="4"/>
  <c r="Z57" i="4"/>
  <c r="Z55" i="4"/>
  <c r="AC51" i="4"/>
  <c r="AB51" i="4"/>
  <c r="AL51" i="4" l="1"/>
  <c r="AA41" i="4" l="1"/>
  <c r="AP41" i="4" l="1"/>
  <c r="AK41" i="4"/>
  <c r="AG41" i="4"/>
  <c r="C52" i="4" l="1"/>
  <c r="J18" i="4"/>
  <c r="J73" i="4"/>
  <c r="J47" i="4"/>
  <c r="AA43" i="4" l="1"/>
  <c r="AB43" i="4"/>
  <c r="AL42" i="4"/>
  <c r="AK42" i="4" s="1"/>
  <c r="AT42" i="4" l="1"/>
  <c r="AO47" i="4"/>
  <c r="AQ40" i="4"/>
  <c r="AK47" i="4" l="1"/>
  <c r="AA47" i="4"/>
  <c r="AK40" i="4" l="1"/>
  <c r="AG40" i="4"/>
  <c r="AA40" i="4"/>
  <c r="AL47" i="4" l="1"/>
  <c r="AL46" i="4"/>
  <c r="AK46" i="4" s="1"/>
  <c r="AL45" i="4"/>
  <c r="AK45" i="4" s="1"/>
  <c r="AL43" i="4"/>
  <c r="AK43" i="4" s="1"/>
  <c r="AH42" i="4"/>
  <c r="AH44" i="4"/>
  <c r="AH43" i="4"/>
  <c r="AB47" i="4"/>
  <c r="AB46" i="4"/>
  <c r="AA46" i="4" s="1"/>
  <c r="AB45" i="4"/>
  <c r="AA45" i="4" s="1"/>
  <c r="AB42" i="4"/>
  <c r="AA42" i="4" s="1"/>
  <c r="G18" i="4" l="1"/>
  <c r="C44" i="4" s="1"/>
  <c r="G73" i="4" l="1"/>
  <c r="G47" i="4"/>
  <c r="L28" i="4"/>
  <c r="J20" i="4" l="1"/>
  <c r="J21" i="4"/>
  <c r="U46" i="4" l="1"/>
  <c r="U45" i="4"/>
  <c r="B3" i="4" l="1"/>
  <c r="C7" i="1" l="1"/>
  <c r="H143" i="4"/>
  <c r="H142" i="4"/>
  <c r="H141" i="4"/>
  <c r="H124" i="4"/>
  <c r="H123" i="4"/>
  <c r="A20" i="1" l="1"/>
  <c r="D16" i="1"/>
  <c r="E16" i="1" s="1"/>
  <c r="H125" i="4"/>
  <c r="H131" i="4" l="1"/>
  <c r="L131" i="4" s="1"/>
  <c r="H127" i="4"/>
  <c r="H126" i="4"/>
  <c r="H135" i="4"/>
  <c r="N128" i="4" l="1"/>
  <c r="K68" i="4"/>
  <c r="H137" i="4"/>
  <c r="V26" i="4"/>
  <c r="H28" i="4" s="1"/>
  <c r="V25" i="4"/>
  <c r="J30" i="4"/>
  <c r="L24" i="4"/>
  <c r="L27" i="4"/>
  <c r="L26" i="4"/>
  <c r="L25" i="4"/>
  <c r="L23" i="4"/>
  <c r="J71" i="4" l="1"/>
  <c r="H145" i="4"/>
  <c r="L22" i="4"/>
  <c r="F28" i="4"/>
  <c r="D28" i="4"/>
  <c r="A2" i="1"/>
  <c r="D14" i="1" l="1"/>
  <c r="E14" i="1" s="1"/>
  <c r="D15" i="1"/>
  <c r="U24" i="4" l="1"/>
  <c r="H26" i="4" s="1"/>
  <c r="F26" i="4" l="1"/>
  <c r="D26" i="4"/>
  <c r="D13" i="1"/>
  <c r="D12" i="1"/>
  <c r="E12" i="1" s="1"/>
  <c r="D11" i="1"/>
  <c r="V22" i="4" l="1"/>
  <c r="H24" i="4" s="1"/>
  <c r="E11" i="1"/>
  <c r="D24" i="4" l="1"/>
  <c r="F24" i="4"/>
  <c r="U21" i="4"/>
  <c r="H23" i="4" s="1"/>
  <c r="E15" i="1"/>
  <c r="D23" i="4" l="1"/>
  <c r="F23" i="4"/>
  <c r="H27" i="4"/>
  <c r="E13" i="1"/>
  <c r="V23" i="4" s="1"/>
  <c r="D10" i="1"/>
  <c r="E10" i="1" s="1"/>
  <c r="D9" i="1"/>
  <c r="E9" i="1" s="1"/>
  <c r="X19" i="4" s="1"/>
  <c r="D8" i="1"/>
  <c r="E8" i="1" s="1"/>
  <c r="W18" i="4" s="1"/>
  <c r="H25" i="4" l="1"/>
  <c r="D25" i="4" s="1"/>
  <c r="F27" i="4"/>
  <c r="D27" i="4"/>
  <c r="U18" i="4"/>
  <c r="V20" i="4"/>
  <c r="U20" i="4"/>
  <c r="V19" i="4"/>
  <c r="H21" i="4" s="1"/>
  <c r="D21" i="4" s="1"/>
  <c r="X27" i="4"/>
  <c r="F25" i="4" l="1"/>
  <c r="V27" i="4"/>
  <c r="X28" i="4"/>
  <c r="N31" i="4" s="1"/>
  <c r="W27" i="4"/>
  <c r="U27" i="4"/>
  <c r="V28" i="4"/>
  <c r="H31" i="4" s="1"/>
  <c r="F21" i="4"/>
  <c r="H20" i="4"/>
  <c r="H22" i="4"/>
  <c r="F22" i="4" s="1"/>
  <c r="L21" i="4"/>
  <c r="L20" i="4"/>
  <c r="F20" i="4" l="1"/>
  <c r="D20" i="4"/>
  <c r="U29" i="4"/>
  <c r="V29" i="4"/>
  <c r="W29" i="4"/>
  <c r="X29" i="4"/>
  <c r="D22" i="4"/>
  <c r="J74" i="4"/>
  <c r="L74" i="4" s="1"/>
  <c r="G74" i="4"/>
  <c r="L31" i="4"/>
  <c r="D35" i="4" s="1"/>
  <c r="L35" i="4" l="1"/>
  <c r="V30" i="4"/>
  <c r="H29" i="4" s="1"/>
  <c r="X30" i="4"/>
  <c r="L29" i="4" s="1"/>
  <c r="AT43" i="4"/>
  <c r="AG44" i="4" l="1"/>
  <c r="AG43" i="4"/>
  <c r="AG42" i="4"/>
  <c r="AG46" i="4" l="1"/>
  <c r="AL49" i="4" l="1"/>
  <c r="AB49" i="4"/>
  <c r="AL48" i="4"/>
  <c r="AK48" i="4" s="1"/>
  <c r="AB44" i="4"/>
  <c r="AA44" i="4" s="1"/>
  <c r="AB48" i="4"/>
  <c r="AA48" i="4" s="1"/>
  <c r="AL44" i="4"/>
  <c r="AK44" i="4" s="1"/>
  <c r="AK51" i="4" l="1"/>
  <c r="AP40" i="4" s="1"/>
  <c r="AA51" i="4"/>
  <c r="G52" i="4"/>
  <c r="U44" i="4" s="1"/>
  <c r="AQ45" i="4" l="1"/>
  <c r="AP45" i="4" s="1"/>
  <c r="AQ43" i="4"/>
  <c r="AP43" i="4" s="1"/>
  <c r="AQ42" i="4"/>
  <c r="AP42" i="4" s="1"/>
  <c r="AQ44" i="4"/>
  <c r="AP44" i="4" s="1"/>
  <c r="G50" i="4"/>
  <c r="U43" i="4" s="1"/>
  <c r="J50" i="4" l="1"/>
  <c r="N50" i="4" s="1"/>
  <c r="AP47" i="4"/>
  <c r="AQ47" i="4" s="1"/>
  <c r="J53" i="4" s="1"/>
  <c r="G54" i="4"/>
  <c r="L50" i="4" l="1"/>
  <c r="G53" i="4"/>
  <c r="J54" i="4"/>
  <c r="L54" i="4" s="1"/>
  <c r="N54" i="4" l="1"/>
  <c r="AT40" i="4"/>
  <c r="AU42" i="4" s="1"/>
  <c r="AU44" i="4" l="1"/>
  <c r="AT44" i="4" s="1"/>
  <c r="AU41" i="4"/>
  <c r="AT41" i="4" s="1"/>
  <c r="AU43" i="4"/>
  <c r="AT46" i="4" l="1"/>
  <c r="AU46" i="4" s="1"/>
  <c r="D58" i="4" s="1"/>
</calcChain>
</file>

<file path=xl/sharedStrings.xml><?xml version="1.0" encoding="utf-8"?>
<sst xmlns="http://schemas.openxmlformats.org/spreadsheetml/2006/main" count="321" uniqueCount="269">
  <si>
    <t>Oxygen</t>
  </si>
  <si>
    <t>O</t>
  </si>
  <si>
    <t>Iron</t>
  </si>
  <si>
    <t>Fe</t>
  </si>
  <si>
    <t>Wuestite</t>
  </si>
  <si>
    <t>FeO</t>
  </si>
  <si>
    <t>Hematite</t>
  </si>
  <si>
    <t>Magnetite</t>
  </si>
  <si>
    <t>Hydrogen</t>
  </si>
  <si>
    <t>H</t>
  </si>
  <si>
    <t>Chlorine</t>
  </si>
  <si>
    <t>Cl</t>
  </si>
  <si>
    <t>Ferrous Chloride</t>
  </si>
  <si>
    <t>Ferric Chloride</t>
  </si>
  <si>
    <t>Ferric Oxyhydroxide</t>
  </si>
  <si>
    <t>FeO(OH)</t>
  </si>
  <si>
    <r>
      <t>Fe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4</t>
    </r>
  </si>
  <si>
    <r>
      <t>FeCl</t>
    </r>
    <r>
      <rPr>
        <vertAlign val="subscript"/>
        <sz val="11"/>
        <color theme="1"/>
        <rFont val="Calibri"/>
        <family val="2"/>
        <scheme val="minor"/>
      </rPr>
      <t>2</t>
    </r>
  </si>
  <si>
    <r>
      <t>FeCl</t>
    </r>
    <r>
      <rPr>
        <vertAlign val="subscript"/>
        <sz val="11"/>
        <color theme="1"/>
        <rFont val="Calibri"/>
        <family val="2"/>
        <scheme val="minor"/>
      </rPr>
      <t>3</t>
    </r>
  </si>
  <si>
    <t>SBGx</t>
  </si>
  <si>
    <r>
      <t>Fe(OH)</t>
    </r>
    <r>
      <rPr>
        <vertAlign val="subscript"/>
        <sz val="11"/>
        <color theme="1"/>
        <rFont val="Calibri"/>
        <family val="2"/>
        <scheme val="minor"/>
      </rPr>
      <t>3</t>
    </r>
  </si>
  <si>
    <r>
      <t>Fe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</si>
  <si>
    <t>Chemical name</t>
  </si>
  <si>
    <t>Chemical formula</t>
  </si>
  <si>
    <t>FeO [%]</t>
  </si>
  <si>
    <r>
      <t>Fe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O</t>
    </r>
    <r>
      <rPr>
        <i/>
        <vertAlign val="sub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 xml:space="preserve"> [%]</t>
    </r>
  </si>
  <si>
    <t>RIIC [%]</t>
  </si>
  <si>
    <t>Fe₂O₃</t>
  </si>
  <si>
    <t>Fe₃O₄</t>
  </si>
  <si>
    <t>FeCl₂</t>
  </si>
  <si>
    <t>FeCl₃</t>
  </si>
  <si>
    <t>Fe(OH)₃</t>
  </si>
  <si>
    <t>Yellow background:</t>
  </si>
  <si>
    <t>Input</t>
  </si>
  <si>
    <t>Formula parameters</t>
  </si>
  <si>
    <t>Remarks, Constants, Interim results</t>
  </si>
  <si>
    <t>Parameters</t>
  </si>
  <si>
    <t>β = factor of over dosing</t>
  </si>
  <si>
    <t>Ries: 1.7 - 2.3; Oechsner: 3 - 5</t>
  </si>
  <si>
    <r>
      <t xml:space="preserve">Measured </t>
    </r>
    <r>
      <rPr>
        <i/>
        <sz val="11"/>
        <color theme="1"/>
        <rFont val="Calibri"/>
        <family val="2"/>
        <scheme val="minor"/>
      </rPr>
      <t>before</t>
    </r>
    <r>
      <rPr>
        <sz val="11"/>
        <color theme="1"/>
        <rFont val="Calibri"/>
        <family val="2"/>
        <scheme val="minor"/>
      </rPr>
      <t xml:space="preserve"> any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S(g) treatment</t>
    </r>
  </si>
  <si>
    <r>
      <t>Q</t>
    </r>
    <r>
      <rPr>
        <vertAlign val="subscript"/>
        <sz val="11"/>
        <color theme="1"/>
        <rFont val="Calibri"/>
        <family val="2"/>
        <scheme val="minor"/>
      </rPr>
      <t>substrate</t>
    </r>
    <r>
      <rPr>
        <sz val="11"/>
        <color theme="1"/>
        <rFont val="Calibri"/>
        <family val="2"/>
        <scheme val="minor"/>
      </rPr>
      <t xml:space="preserve"> = volumetric flow rate of substrate [m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/d]</t>
    </r>
  </si>
  <si>
    <r>
      <t>Q</t>
    </r>
    <r>
      <rPr>
        <vertAlign val="subscript"/>
        <sz val="11"/>
        <color theme="1"/>
        <rFont val="Calibri"/>
        <family val="2"/>
        <scheme val="minor"/>
      </rPr>
      <t>biogas</t>
    </r>
    <r>
      <rPr>
        <sz val="11"/>
        <color theme="1"/>
        <rFont val="Calibri"/>
        <family val="2"/>
        <scheme val="minor"/>
      </rPr>
      <t xml:space="preserve"> = volumetric flow rate of biogas [m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/d]</t>
    </r>
  </si>
  <si>
    <t>t = temperature of substrate in reactor [°C]</t>
  </si>
  <si>
    <t>pH = acidity of substrate in reactor</t>
  </si>
  <si>
    <r>
      <t>M</t>
    </r>
    <r>
      <rPr>
        <vertAlign val="subscript"/>
        <sz val="11"/>
        <color theme="1"/>
        <rFont val="Calibri"/>
        <family val="2"/>
        <scheme val="minor"/>
      </rPr>
      <t>Fe</t>
    </r>
    <r>
      <rPr>
        <sz val="11"/>
        <color theme="1"/>
        <rFont val="Calibri"/>
        <family val="2"/>
        <scheme val="minor"/>
      </rPr>
      <t xml:space="preserve"> = molecular mass of iron [g/mol]</t>
    </r>
  </si>
  <si>
    <r>
      <t>M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= molecular mass of sulphur [g/mol]</t>
    </r>
  </si>
  <si>
    <r>
      <t>ρ</t>
    </r>
    <r>
      <rPr>
        <vertAlign val="subscript"/>
        <sz val="11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= density of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 [g/l]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</si>
  <si>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S(aq) = total dissolved </t>
    </r>
    <r>
      <rPr>
        <i/>
        <sz val="11"/>
        <color theme="1"/>
        <rFont val="Calibri"/>
        <family val="2"/>
        <scheme val="minor"/>
      </rPr>
      <t>hydrogen sulphide</t>
    </r>
    <r>
      <rPr>
        <sz val="11"/>
        <color theme="1"/>
        <rFont val="Calibri"/>
        <family val="2"/>
        <scheme val="minor"/>
      </rPr>
      <t xml:space="preserve"> [g/m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]</t>
    </r>
  </si>
  <si>
    <r>
      <t xml:space="preserve">See below, </t>
    </r>
    <r>
      <rPr>
        <i/>
        <sz val="11"/>
        <color theme="1"/>
        <rFont val="Calibri"/>
        <family val="2"/>
        <scheme val="minor"/>
      </rPr>
      <t>Quotient H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S(aq) / f</t>
    </r>
    <r>
      <rPr>
        <i/>
        <vertAlign val="subscript"/>
        <sz val="11"/>
        <color theme="1"/>
        <rFont val="Calibri"/>
        <family val="2"/>
        <scheme val="minor"/>
      </rPr>
      <t>H2S(aq)</t>
    </r>
  </si>
  <si>
    <r>
      <t>f</t>
    </r>
    <r>
      <rPr>
        <vertAlign val="subscript"/>
        <sz val="11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vertAlign val="subscript"/>
        <sz val="11"/>
        <color theme="1"/>
        <rFont val="Calibri"/>
        <family val="2"/>
        <scheme val="minor"/>
      </rPr>
      <t>S(aq)</t>
    </r>
    <r>
      <rPr>
        <sz val="11"/>
        <color theme="1"/>
        <rFont val="Calibri"/>
        <family val="2"/>
        <scheme val="minor"/>
      </rPr>
      <t xml:space="preserve"> = portion of the </t>
    </r>
    <r>
      <rPr>
        <i/>
        <sz val="11"/>
        <color theme="1"/>
        <rFont val="Calibri"/>
        <family val="2"/>
        <scheme val="minor"/>
      </rPr>
      <t>total sulphur</t>
    </r>
    <r>
      <rPr>
        <sz val="11"/>
        <color theme="1"/>
        <rFont val="Calibri"/>
        <family val="2"/>
        <scheme val="minor"/>
      </rPr>
      <t xml:space="preserve"> dissolved as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</t>
    </r>
    <r>
      <rPr>
        <sz val="10"/>
        <color theme="1"/>
        <rFont val="Calibri"/>
        <family val="2"/>
        <scheme val="minor"/>
      </rPr>
      <t>aq)</t>
    </r>
  </si>
  <si>
    <r>
      <t>H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= 10 ^ -pH</t>
    </r>
  </si>
  <si>
    <t>Ks1 = 10 ^ -(1351.9 / T[K] + 0.0992 + 0.00792 * T[K])</t>
  </si>
  <si>
    <t>Ks2 = 10 ^ -11.96</t>
  </si>
  <si>
    <r>
      <t xml:space="preserve">Quotient </t>
    </r>
    <r>
      <rPr>
        <b/>
        <sz val="11"/>
        <color theme="1"/>
        <rFont val="Calibri"/>
        <family val="2"/>
        <scheme val="minor"/>
      </rPr>
      <t>H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S(aq) / f</t>
    </r>
    <r>
      <rPr>
        <b/>
        <vertAlign val="subscript"/>
        <sz val="11"/>
        <color theme="1"/>
        <rFont val="Calibri"/>
        <family val="2"/>
        <scheme val="minor"/>
      </rPr>
      <t>H2S(aq)</t>
    </r>
    <r>
      <rPr>
        <b/>
        <sz val="11"/>
        <color theme="1"/>
        <rFont val="Calibri"/>
        <family val="2"/>
        <scheme val="minor"/>
      </rPr>
      <t xml:space="preserve"> = H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S(aq-ges)</t>
    </r>
    <r>
      <rPr>
        <sz val="11"/>
        <color theme="1"/>
        <rFont val="Calibri"/>
        <family val="2"/>
        <scheme val="minor"/>
      </rPr>
      <t xml:space="preserve"> =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S(aq) + HS</t>
    </r>
    <r>
      <rPr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 + S</t>
    </r>
    <r>
      <rPr>
        <vertAlign val="superscript"/>
        <sz val="11"/>
        <color theme="1"/>
        <rFont val="Calibri"/>
        <family val="2"/>
        <scheme val="minor"/>
      </rPr>
      <t>2-</t>
    </r>
  </si>
  <si>
    <t>Mathematical approximation, see</t>
  </si>
  <si>
    <t>If available</t>
  </si>
  <si>
    <r>
      <t xml:space="preserve">     = e((ln(H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S(g)) - 6.42) / 0.78) / f</t>
    </r>
    <r>
      <rPr>
        <vertAlign val="subscript"/>
        <sz val="11"/>
        <color theme="1"/>
        <rFont val="Calibri"/>
        <family val="2"/>
        <scheme val="minor"/>
      </rPr>
      <t>H2S(aq)</t>
    </r>
    <r>
      <rPr>
        <sz val="11"/>
        <color theme="1"/>
        <rFont val="Calibri"/>
        <family val="2"/>
        <scheme val="minor"/>
      </rPr>
      <t xml:space="preserve">     (See formula </t>
    </r>
    <r>
      <rPr>
        <sz val="11"/>
        <color rgb="FF0000FF"/>
        <rFont val="Calibri"/>
        <family val="2"/>
        <scheme val="minor"/>
      </rPr>
      <t>B)</t>
    </r>
    <r>
      <rPr>
        <sz val="11"/>
        <color theme="1"/>
        <rFont val="Calibri"/>
        <family val="2"/>
        <scheme val="minor"/>
      </rPr>
      <t>)</t>
    </r>
  </si>
  <si>
    <t>Polster &amp; Brummack [1], see p. 108f.</t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</si>
  <si>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S(aq-ges)</t>
    </r>
  </si>
  <si>
    <t>Fe = iron ions [g/d]</t>
  </si>
  <si>
    <r>
      <t xml:space="preserve">     = β * M</t>
    </r>
    <r>
      <rPr>
        <vertAlign val="subscript"/>
        <sz val="11"/>
        <color theme="1"/>
        <rFont val="Calibri"/>
        <family val="2"/>
        <scheme val="minor"/>
      </rPr>
      <t>Fe</t>
    </r>
    <r>
      <rPr>
        <sz val="11"/>
        <color theme="1"/>
        <rFont val="Calibri"/>
        <family val="2"/>
        <scheme val="minor"/>
      </rPr>
      <t xml:space="preserve"> / M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* (H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S(aq-ges) * V</t>
    </r>
    <r>
      <rPr>
        <vertAlign val="subscript"/>
        <sz val="11"/>
        <color theme="1"/>
        <rFont val="Calibri"/>
        <family val="2"/>
        <scheme val="minor"/>
      </rPr>
      <t>Substrate</t>
    </r>
    <r>
      <rPr>
        <sz val="11"/>
        <color theme="1"/>
        <rFont val="Calibri"/>
        <family val="2"/>
        <scheme val="minor"/>
      </rPr>
      <t xml:space="preserve"> + ΔH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S(g) / 1000 * ρ</t>
    </r>
    <r>
      <rPr>
        <vertAlign val="subscript"/>
        <sz val="11"/>
        <color theme="1"/>
        <rFont val="Calibri"/>
        <family val="2"/>
        <scheme val="minor"/>
      </rPr>
      <t>H2S</t>
    </r>
    <r>
      <rPr>
        <sz val="11"/>
        <color theme="1"/>
        <rFont val="Calibri"/>
        <family val="2"/>
        <scheme val="minor"/>
      </rPr>
      <t xml:space="preserve"> * V</t>
    </r>
    <r>
      <rPr>
        <vertAlign val="subscript"/>
        <sz val="11"/>
        <color theme="1"/>
        <rFont val="Calibri"/>
        <family val="2"/>
        <scheme val="minor"/>
      </rPr>
      <t>Biogas</t>
    </r>
    <r>
      <rPr>
        <sz val="11"/>
        <color theme="1"/>
        <rFont val="Calibri"/>
        <family val="2"/>
        <scheme val="minor"/>
      </rPr>
      <t xml:space="preserve">)     (See formula </t>
    </r>
    <r>
      <rPr>
        <sz val="11"/>
        <color rgb="FF0000FF"/>
        <rFont val="Calibri"/>
        <family val="2"/>
        <scheme val="minor"/>
      </rPr>
      <t>A)</t>
    </r>
    <r>
      <rPr>
        <sz val="11"/>
        <color theme="1"/>
        <rFont val="Calibri"/>
        <family val="2"/>
        <scheme val="minor"/>
      </rPr>
      <t>)</t>
    </r>
  </si>
  <si>
    <t>SBG additive information, iron oxide content</t>
  </si>
  <si>
    <t>Remarks, Interim results</t>
  </si>
  <si>
    <t>FeO content in additive [%]</t>
  </si>
  <si>
    <r>
      <t>Fe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content in additive [%]</t>
    </r>
  </si>
  <si>
    <t>Iron content in SBG additive [%]</t>
  </si>
  <si>
    <t>Required SBG additive [kg/d]</t>
  </si>
  <si>
    <t>[1]: Polster, A. und Brummack, J. (2006): Verbesserung von Entschwefelungsverfahren in landwirtschaftlichen Biogasanlagen.</t>
  </si>
  <si>
    <t>Abschlussbericht der Technischen Universität Dresden, Fakultät Maschinenbau, Institut für Verfahrenstechnik, Lehrstuhl für</t>
  </si>
  <si>
    <t>Thermische Verfahrenstechnik und Umwelttechnik.</t>
  </si>
  <si>
    <t>Sources:</t>
  </si>
  <si>
    <t>https://www.teknologisk.dk/_/media/60599_Biogas%20upgrading.%20Evaluation%20of%20methods%20for%20H2S%20removal.pdf</t>
  </si>
  <si>
    <t>See p. 7</t>
  </si>
  <si>
    <t>https://www.biogas-forum-bayern.de/media/files/0002/Entschwefelung-von-Biogas-in-landwirtschaftlichen-Biogasanlagen-2013.pdf</t>
  </si>
  <si>
    <t>See p. 8f.</t>
  </si>
  <si>
    <t>https://tu-dresden.de/ing/maschinenwesen/ifvu/ressourcen/dateien/tvu/forschungsprojekte/forschung_alt/entschwefelungsverfahren/bge_in_landw_anlagen.pdf</t>
  </si>
  <si>
    <t>See pp. 26f. and 108f.</t>
  </si>
  <si>
    <t>powered by SwissBiogas.com</t>
  </si>
  <si>
    <t>Remarks:</t>
  </si>
  <si>
    <t>SBGx by SwissBiogas.com</t>
  </si>
  <si>
    <t xml:space="preserve">   → Potentially less additive waste/residue/non-fe content in the discharge</t>
  </si>
  <si>
    <t>Ferric Hydroxide</t>
  </si>
  <si>
    <t>Ferrous Hydroxide</t>
  </si>
  <si>
    <r>
      <t>Fe(OH)</t>
    </r>
    <r>
      <rPr>
        <vertAlign val="subscript"/>
        <sz val="11"/>
        <color theme="1"/>
        <rFont val="Calibri"/>
        <family val="2"/>
        <scheme val="minor"/>
      </rPr>
      <t>2</t>
    </r>
  </si>
  <si>
    <t>Fe(OH)₂</t>
  </si>
  <si>
    <t>The calculations above are based on the formulas A) and B).</t>
  </si>
  <si>
    <t>•  Reactive Iron Ions (RII) bind the sulphur contained in substrates</t>
  </si>
  <si>
    <t>•  A higher Reactive Iron Ion Content (RIIC) in an additive means, that less additive is needed for desulphurisation</t>
  </si>
  <si>
    <t>•  It also means, that weight and volume of the additive are potentially smaller → Lower costs for transport and storage</t>
  </si>
  <si>
    <t>Std. atomic mass</t>
  </si>
  <si>
    <t>Molar mass [g/mol]</t>
  </si>
  <si>
    <t>RIIC factor [%]
= CNT Fe ion [%]</t>
  </si>
  <si>
    <t>Moisture</t>
  </si>
  <si>
    <t>see page 24, Gl 2-13</t>
  </si>
  <si>
    <t>Formula</t>
  </si>
  <si>
    <t>Result:</t>
  </si>
  <si>
    <t>C)</t>
  </si>
  <si>
    <t>B)</t>
  </si>
  <si>
    <t>A)</t>
  </si>
  <si>
    <t>Calculating your additive's Reactive Iron Ion Content (RIIC) and comparing it with the one of SwissBiogas.com's SBGx</t>
  </si>
  <si>
    <t>Reactive Iron Ion Content (RIIC) Calculation, Additive Dosage Comparison and Additive Dosage Calculation</t>
  </si>
  <si>
    <r>
      <rPr>
        <i/>
        <sz val="11"/>
        <color theme="1"/>
        <rFont val="Calibri"/>
        <family val="2"/>
        <scheme val="minor"/>
      </rPr>
      <t>Iron Ion Content (RIIC)</t>
    </r>
    <r>
      <rPr>
        <sz val="11"/>
        <color theme="1"/>
        <rFont val="Calibri"/>
        <family val="2"/>
        <scheme val="minor"/>
      </rPr>
      <t>.</t>
    </r>
  </si>
  <si>
    <t>RIIM(BGR) = RIIM(Additive) = Dosage(Additive) x RIIC(Additive) → Dosage(Additive) = RIIM(BGR) / RIIC(Additive)</t>
  </si>
  <si>
    <t>•</t>
  </si>
  <si>
    <t>Moisture [%]
SDS</t>
  </si>
  <si>
    <r>
      <t xml:space="preserve">To learn more about the </t>
    </r>
    <r>
      <rPr>
        <i/>
        <sz val="11"/>
        <color theme="1"/>
        <rFont val="Calibri"/>
        <family val="2"/>
        <scheme val="minor"/>
      </rPr>
      <t>metric RIIC</t>
    </r>
    <r>
      <rPr>
        <sz val="11"/>
        <color theme="1"/>
        <rFont val="Calibri"/>
        <family val="2"/>
        <scheme val="minor"/>
      </rPr>
      <t xml:space="preserve"> we would like to refer you to our web page at SwissBiogas.com, section </t>
    </r>
    <r>
      <rPr>
        <i/>
        <sz val="11"/>
        <color theme="1"/>
        <rFont val="Calibri"/>
        <family val="2"/>
        <scheme val="minor"/>
      </rPr>
      <t>Introduction of the Reactive</t>
    </r>
  </si>
  <si>
    <t>were you using SBGx.</t>
  </si>
  <si>
    <t>Based on this data, your additive's RIIC value can be established and be compared with the SBGx RIIC value.</t>
  </si>
  <si>
    <t>This document provides you with three tools focused and based on the RIIC value of your additive and compares it with SBGx's.</t>
  </si>
  <si>
    <r>
      <t>RIIIC</t>
    </r>
    <r>
      <rPr>
        <vertAlign val="subscript"/>
        <sz val="11"/>
        <color theme="1"/>
        <rFont val="Calibri"/>
        <family val="2"/>
        <scheme val="minor"/>
      </rPr>
      <t>Fe²⁺</t>
    </r>
    <r>
      <rPr>
        <sz val="11"/>
        <color theme="1"/>
        <rFont val="Calibri"/>
        <family val="2"/>
        <scheme val="minor"/>
      </rPr>
      <t>(Add)</t>
    </r>
  </si>
  <si>
    <r>
      <t>RIIIC</t>
    </r>
    <r>
      <rPr>
        <vertAlign val="subscript"/>
        <sz val="11"/>
        <color theme="1"/>
        <rFont val="Calibri"/>
        <family val="2"/>
        <scheme val="minor"/>
      </rPr>
      <t>Fe³⁺</t>
    </r>
    <r>
      <rPr>
        <sz val="11"/>
        <color theme="1"/>
        <rFont val="Calibri"/>
        <family val="2"/>
        <scheme val="minor"/>
      </rPr>
      <t>(Add)</t>
    </r>
  </si>
  <si>
    <r>
      <t>RIIIC</t>
    </r>
    <r>
      <rPr>
        <vertAlign val="subscript"/>
        <sz val="11"/>
        <color theme="1"/>
        <rFont val="Calibri"/>
        <family val="2"/>
        <scheme val="minor"/>
      </rPr>
      <t>Fe²⁺</t>
    </r>
    <r>
      <rPr>
        <sz val="11"/>
        <color theme="1"/>
        <rFont val="Calibri"/>
        <family val="2"/>
        <scheme val="minor"/>
      </rPr>
      <t>(SBGx)</t>
    </r>
  </si>
  <si>
    <r>
      <t>RIIIC</t>
    </r>
    <r>
      <rPr>
        <vertAlign val="subscript"/>
        <sz val="11"/>
        <color theme="1"/>
        <rFont val="Calibri"/>
        <family val="2"/>
        <scheme val="minor"/>
      </rPr>
      <t>Fe³⁺</t>
    </r>
    <r>
      <rPr>
        <sz val="11"/>
        <color theme="1"/>
        <rFont val="Calibri"/>
        <family val="2"/>
        <scheme val="minor"/>
      </rPr>
      <t>(SBGx)</t>
    </r>
  </si>
  <si>
    <t>⅓ Fe²⁺ + ⅔ Fe³⁺</t>
  </si>
  <si>
    <t>Oxidation State</t>
  </si>
  <si>
    <t>Fe²⁺</t>
  </si>
  <si>
    <t>Fe³⁺</t>
  </si>
  <si>
    <t>Daily dosage</t>
  </si>
  <si>
    <t>Price add</t>
  </si>
  <si>
    <t>Price sbg</t>
  </si>
  <si>
    <t>El. power</t>
  </si>
  <si>
    <r>
      <t>Total RIIIC</t>
    </r>
    <r>
      <rPr>
        <vertAlign val="subscript"/>
        <sz val="11"/>
        <color theme="1"/>
        <rFont val="Calibri"/>
        <family val="2"/>
        <scheme val="minor"/>
      </rPr>
      <t>Fe²⁺</t>
    </r>
    <r>
      <rPr>
        <sz val="11"/>
        <color theme="1"/>
        <rFont val="Calibri"/>
        <family val="2"/>
        <scheme val="minor"/>
      </rPr>
      <t xml:space="preserve"> + RIIIC</t>
    </r>
    <r>
      <rPr>
        <vertAlign val="subscript"/>
        <sz val="11"/>
        <color theme="1"/>
        <rFont val="Calibri"/>
        <family val="2"/>
        <scheme val="minor"/>
      </rPr>
      <t>Fe³⁺</t>
    </r>
  </si>
  <si>
    <t>Additive:</t>
  </si>
  <si>
    <t>SBGx:</t>
  </si>
  <si>
    <t>Total each</t>
  </si>
  <si>
    <t>Fe²⁺ : Fe³⁺ ratio</t>
  </si>
  <si>
    <t>Moisture [%]</t>
  </si>
  <si>
    <t>Calculating your biogas reactor's (BGR) additive requirement for its biogas desulphurisation (See below for the used formulas and the documentation)</t>
  </si>
  <si>
    <t>Oxidation state</t>
  </si>
  <si>
    <t>IUPAC name</t>
  </si>
  <si>
    <r>
      <rPr>
        <b/>
        <sz val="11"/>
        <color theme="1"/>
        <rFont val="Calibri"/>
        <family val="2"/>
        <scheme val="minor"/>
      </rPr>
      <t>Section A)</t>
    </r>
    <r>
      <rPr>
        <sz val="11"/>
        <color theme="1"/>
        <rFont val="Calibri"/>
        <family val="2"/>
        <scheme val="minor"/>
      </rPr>
      <t xml:space="preserve"> contains our </t>
    </r>
    <r>
      <rPr>
        <b/>
        <i/>
        <sz val="11"/>
        <color theme="1"/>
        <rFont val="Calibri"/>
        <family val="2"/>
        <scheme val="minor"/>
      </rPr>
      <t>Additive RIIC Calculator</t>
    </r>
    <r>
      <rPr>
        <sz val="11"/>
        <color theme="1"/>
        <rFont val="Calibri"/>
        <family val="2"/>
        <scheme val="minor"/>
      </rPr>
      <t>, where you can fill in your additive's iron compounds' contents and moisture.</t>
    </r>
  </si>
  <si>
    <r>
      <rPr>
        <b/>
        <sz val="11"/>
        <color theme="1"/>
        <rFont val="Calibri"/>
        <family val="2"/>
        <scheme val="minor"/>
      </rPr>
      <t>Section C)</t>
    </r>
    <r>
      <rPr>
        <sz val="11"/>
        <color theme="1"/>
        <rFont val="Calibri"/>
        <family val="2"/>
        <scheme val="minor"/>
      </rPr>
      <t xml:space="preserve"> contains our </t>
    </r>
    <r>
      <rPr>
        <b/>
        <i/>
        <sz val="11"/>
        <color theme="1"/>
        <rFont val="Calibri"/>
        <family val="2"/>
        <scheme val="minor"/>
      </rPr>
      <t>Additive Dosage Calculator</t>
    </r>
    <r>
      <rPr>
        <sz val="11"/>
        <color theme="1"/>
        <rFont val="Calibri"/>
        <family val="2"/>
        <scheme val="minor"/>
      </rPr>
      <t xml:space="preserve"> where you can establish your biogas reactor's required</t>
    </r>
  </si>
  <si>
    <t>Ferric Oxide Trihydrate</t>
  </si>
  <si>
    <r>
      <t>Fe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·3H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</si>
  <si>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t>Fe₂O₃·3H₂O</t>
  </si>
  <si>
    <t>kg/day</t>
  </si>
  <si>
    <t>Mass</t>
  </si>
  <si>
    <t>Kilogram [kg]</t>
  </si>
  <si>
    <t>1 Pound [lb] =</t>
  </si>
  <si>
    <t>1 Imp ton [t] =</t>
  </si>
  <si>
    <t>1 US ton [t] =</t>
  </si>
  <si>
    <t>Volume</t>
  </si>
  <si>
    <t>Litre [l]</t>
  </si>
  <si>
    <t>1 Imp gallon [gal] =</t>
  </si>
  <si>
    <t>Conversion factors</t>
  </si>
  <si>
    <t>Imperial/US</t>
  </si>
  <si>
    <t>Metric</t>
  </si>
  <si>
    <t>/metric ton</t>
  </si>
  <si>
    <t>Daily additive dosage for your reactor [kg/day]</t>
  </si>
  <si>
    <t>kg/litre</t>
  </si>
  <si>
    <t>Density in kg/l</t>
  </si>
  <si>
    <t>Dosage in kg/day</t>
  </si>
  <si>
    <t>Input value for dosage</t>
  </si>
  <si>
    <t>Input value for density</t>
  </si>
  <si>
    <t>Input value for price</t>
  </si>
  <si>
    <t>Caution: There could be rows hidden</t>
  </si>
  <si>
    <t>Price per metric ton</t>
  </si>
  <si>
    <t>Input price comparison</t>
  </si>
  <si>
    <t>Price comparison per</t>
  </si>
  <si>
    <t>Acquiring your BGR's  data and calculating its required Reactive Iron Ion Mass (RIIM)</t>
  </si>
  <si>
    <t>daily</t>
  </si>
  <si>
    <t>weekly</t>
  </si>
  <si>
    <t>monthly</t>
  </si>
  <si>
    <t>Calculation</t>
  </si>
  <si>
    <t>yearly</t>
  </si>
  <si>
    <t>liq</t>
  </si>
  <si>
    <t>input timeframe</t>
  </si>
  <si>
    <t>adjective</t>
  </si>
  <si>
    <t>Additive cost savings per</t>
  </si>
  <si>
    <t>SBGx short</t>
  </si>
  <si>
    <t>SBGx long</t>
  </si>
  <si>
    <t>Daily costs for additive usage [/day]</t>
  </si>
  <si>
    <t>RIIR [Fe²⁺ : Fe³⁺], Reactive Iron Ion Ratio</t>
  </si>
  <si>
    <r>
      <t>Content</t>
    </r>
    <r>
      <rPr>
        <b/>
        <i/>
        <vertAlign val="superscript"/>
        <sz val="11"/>
        <color theme="1"/>
        <rFont val="Calibri"/>
        <family val="2"/>
        <scheme val="minor"/>
      </rPr>
      <t xml:space="preserve"> A</t>
    </r>
    <r>
      <rPr>
        <b/>
        <i/>
        <sz val="11"/>
        <color theme="1"/>
        <rFont val="Calibri"/>
        <family val="2"/>
        <scheme val="minor"/>
      </rPr>
      <t xml:space="preserve"> [%]</t>
    </r>
  </si>
  <si>
    <r>
      <t>Daily additive dosage in</t>
    </r>
    <r>
      <rPr>
        <vertAlign val="superscript"/>
        <sz val="11"/>
        <color theme="1"/>
        <rFont val="Calibri"/>
        <family val="2"/>
        <scheme val="minor"/>
      </rPr>
      <t xml:space="preserve"> A</t>
    </r>
  </si>
  <si>
    <r>
      <rPr>
        <b/>
        <sz val="11"/>
        <color theme="1"/>
        <rFont val="Calibri"/>
        <family val="2"/>
        <scheme val="minor"/>
      </rPr>
      <t>Section B)</t>
    </r>
    <r>
      <rPr>
        <sz val="11"/>
        <color theme="1"/>
        <rFont val="Calibri"/>
        <family val="2"/>
        <scheme val="minor"/>
      </rPr>
      <t xml:space="preserve"> contains our </t>
    </r>
    <r>
      <rPr>
        <b/>
        <i/>
        <sz val="11"/>
        <color theme="1"/>
        <rFont val="Calibri"/>
        <family val="2"/>
        <scheme val="minor"/>
      </rPr>
      <t>Additive Dosage and Cost Comparing</t>
    </r>
    <r>
      <rPr>
        <sz val="11"/>
        <color theme="1"/>
        <rFont val="Calibri"/>
        <family val="2"/>
        <scheme val="minor"/>
      </rPr>
      <t xml:space="preserve"> tool, which uses the data you already entered in section A).</t>
    </r>
  </si>
  <si>
    <t>In section B) you can additionally fill in the values for your additive's actual dosage and price, and see what they would look like,</t>
  </si>
  <si>
    <r>
      <rPr>
        <i/>
        <sz val="11"/>
        <color theme="1"/>
        <rFont val="Calibri"/>
        <family val="2"/>
        <scheme val="minor"/>
      </rPr>
      <t>Reactive Iron Ion Mass (RIIM)</t>
    </r>
    <r>
      <rPr>
        <sz val="11"/>
        <color theme="1"/>
        <rFont val="Calibri"/>
        <family val="2"/>
        <scheme val="minor"/>
      </rPr>
      <t xml:space="preserve"> to successfully desulphurise its biogas. Based on the data already entered in section A), the calculator</t>
    </r>
  </si>
  <si>
    <t>will then provide you with the optimal dosage for your additive and compare it with the equivalent dosage for the SBGx additive.</t>
  </si>
  <si>
    <t>Kilogram [kg/day]</t>
  </si>
  <si>
    <t>Metric ton (Tonne) [t/day]</t>
  </si>
  <si>
    <t>Litre [l/day]</t>
  </si>
  <si>
    <t>Pound [lb/day]</t>
  </si>
  <si>
    <t>Day</t>
  </si>
  <si>
    <t>Week</t>
  </si>
  <si>
    <t>Month</t>
  </si>
  <si>
    <t>Year</t>
  </si>
  <si>
    <t>Kilogram per litre [kg/l]</t>
  </si>
  <si>
    <t>Pound per US gallon [lb/gal]</t>
  </si>
  <si>
    <t>Kilogram [/kg]</t>
  </si>
  <si>
    <t>Metric ton (Tonne) [/t]</t>
  </si>
  <si>
    <t>Litre [/l]</t>
  </si>
  <si>
    <t>Pound [/lb]</t>
  </si>
  <si>
    <t>If additive is a liquid: Density in</t>
  </si>
  <si>
    <r>
      <t>Price</t>
    </r>
    <r>
      <rPr>
        <vertAlign val="superscript"/>
        <sz val="11"/>
        <color theme="1"/>
        <rFont val="Calibri"/>
        <family val="2"/>
        <scheme val="minor"/>
      </rPr>
      <t xml:space="preserve"> B</t>
    </r>
    <r>
      <rPr>
        <sz val="11"/>
        <color theme="1"/>
        <rFont val="Calibri"/>
        <family val="2"/>
        <scheme val="minor"/>
      </rPr>
      <t xml:space="preserve"> of your additive per</t>
    </r>
  </si>
  <si>
    <t>sys</t>
  </si>
  <si>
    <t>si</t>
  </si>
  <si>
    <t>uk/us</t>
  </si>
  <si>
    <t>United States customary units</t>
  </si>
  <si>
    <t>Preselection</t>
  </si>
  <si>
    <t>SI</t>
  </si>
  <si>
    <t>Imperial</t>
  </si>
  <si>
    <t>US</t>
  </si>
  <si>
    <t>US short ton [t/day]</t>
  </si>
  <si>
    <t>US short ton [/t]</t>
  </si>
  <si>
    <t>Imperial ton [/t]</t>
  </si>
  <si>
    <t>Imperial gallon [/gal]</t>
  </si>
  <si>
    <t>Pound per Imperial gallon [lb/gal]</t>
  </si>
  <si>
    <t>Imperial ton [t/day]</t>
  </si>
  <si>
    <t>Imperial gallon [gal/day]</t>
  </si>
  <si>
    <r>
      <rPr>
        <sz val="11"/>
        <color theme="1" tint="0.499984740745262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&lt;Click here&gt;</t>
    </r>
    <r>
      <rPr>
        <sz val="11"/>
        <color theme="1" tint="0.34998626667073579"/>
        <rFont val="Calibri"/>
        <family val="2"/>
        <scheme val="minor"/>
      </rPr>
      <t xml:space="preserve"> to select your measurement unit</t>
    </r>
  </si>
  <si>
    <r>
      <rPr>
        <sz val="10.5"/>
        <color theme="1" tint="0.499984740745262"/>
        <rFont val="Calibri"/>
        <family val="2"/>
        <scheme val="minor"/>
      </rPr>
      <t xml:space="preserve"> </t>
    </r>
    <r>
      <rPr>
        <b/>
        <sz val="10.5"/>
        <rFont val="Calibri"/>
        <family val="2"/>
        <scheme val="minor"/>
      </rPr>
      <t>&lt;Click&gt;</t>
    </r>
    <r>
      <rPr>
        <sz val="10.5"/>
        <color theme="1" tint="0.34998626667073579"/>
        <rFont val="Calibri"/>
        <family val="2"/>
        <scheme val="minor"/>
      </rPr>
      <t xml:space="preserve"> to select measurement unit</t>
    </r>
  </si>
  <si>
    <r>
      <t xml:space="preserve">                                 </t>
    </r>
    <r>
      <rPr>
        <b/>
        <sz val="11"/>
        <color theme="1"/>
        <rFont val="Calibri"/>
        <family val="2"/>
        <scheme val="minor"/>
      </rPr>
      <t>&lt;Click here&gt;</t>
    </r>
    <r>
      <rPr>
        <sz val="11"/>
        <color theme="1"/>
        <rFont val="Calibri"/>
        <family val="2"/>
        <scheme val="minor"/>
      </rPr>
      <t xml:space="preserve"> to select your system of measurement units</t>
    </r>
  </si>
  <si>
    <t>Your system of measurement:</t>
  </si>
  <si>
    <t>British Imperial system of units</t>
  </si>
  <si>
    <t>International System of Units (SI)</t>
  </si>
  <si>
    <r>
      <rPr>
        <sz val="11"/>
        <color theme="1" tint="0.499984740745262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&lt;Click here&gt;</t>
    </r>
    <r>
      <rPr>
        <sz val="11"/>
        <color theme="1" tint="0.34998626667073579"/>
        <rFont val="Calibri"/>
        <family val="2"/>
        <scheme val="minor"/>
      </rPr>
      <t xml:space="preserve"> to select (optional)</t>
    </r>
  </si>
  <si>
    <r>
      <t>Content</t>
    </r>
    <r>
      <rPr>
        <b/>
        <i/>
        <vertAlign val="superscript"/>
        <sz val="11"/>
        <color theme="1"/>
        <rFont val="Calibri"/>
        <family val="2"/>
        <scheme val="minor"/>
      </rPr>
      <t xml:space="preserve"> B</t>
    </r>
    <r>
      <rPr>
        <b/>
        <i/>
        <sz val="11"/>
        <color theme="1"/>
        <rFont val="Calibri"/>
        <family val="2"/>
        <scheme val="minor"/>
      </rPr>
      <t xml:space="preserve"> [%]</t>
    </r>
  </si>
  <si>
    <t>mg/m³</t>
  </si>
  <si>
    <r>
      <t>Q</t>
    </r>
    <r>
      <rPr>
        <vertAlign val="subscript"/>
        <sz val="11"/>
        <color theme="1"/>
        <rFont val="Calibri"/>
        <family val="2"/>
        <scheme val="minor"/>
      </rPr>
      <t>biogas</t>
    </r>
    <r>
      <rPr>
        <sz val="11"/>
        <color theme="1"/>
        <rFont val="Calibri"/>
        <family val="2"/>
        <scheme val="minor"/>
      </rPr>
      <t xml:space="preserve"> = Volumetric flow rate of biogas [m³/day]</t>
    </r>
  </si>
  <si>
    <t>RIIM(BGR) [g/day]</t>
  </si>
  <si>
    <t>iron ions [g/d]</t>
  </si>
  <si>
    <t>Calculation according Formula Gl. A1-9, p. 109</t>
  </si>
  <si>
    <t>Calculation according Formula Gl. A1-10, p. 109</t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</si>
  <si>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S(g) =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S(aq-ges) * fH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S(aq) / K</t>
    </r>
    <r>
      <rPr>
        <vertAlign val="subscript"/>
        <sz val="11"/>
        <color theme="1"/>
        <rFont val="Calibri"/>
        <family val="2"/>
        <scheme val="minor"/>
      </rPr>
      <t>H-H2S</t>
    </r>
  </si>
  <si>
    <r>
      <t>K</t>
    </r>
    <r>
      <rPr>
        <vertAlign val="subscript"/>
        <sz val="11"/>
        <color theme="1"/>
        <rFont val="Calibri"/>
        <family val="2"/>
        <scheme val="minor"/>
      </rPr>
      <t>H-H2S</t>
    </r>
    <r>
      <rPr>
        <sz val="11"/>
        <color theme="1"/>
        <rFont val="Calibri"/>
        <family val="2"/>
        <scheme val="minor"/>
      </rPr>
      <t xml:space="preserve"> [g/(l*bar)] = (32.064 * 4.67 * 10 ^ -(1.761 * t[°C] / (116.94 + t[°C]))) / 22.41</t>
    </r>
  </si>
  <si>
    <r>
      <t xml:space="preserve">     = Concentration of dissolved sulphur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S(aq-ges) in substrate [g/m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]</t>
    </r>
  </si>
  <si>
    <r>
      <t>→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S(aq-ges) =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S(g) * K</t>
    </r>
    <r>
      <rPr>
        <vertAlign val="subscript"/>
        <sz val="11"/>
        <color theme="1"/>
        <rFont val="Calibri"/>
        <family val="2"/>
        <scheme val="minor"/>
      </rPr>
      <t>H-H2S</t>
    </r>
    <r>
      <rPr>
        <sz val="11"/>
        <color theme="1"/>
        <rFont val="Calibri"/>
        <family val="2"/>
        <scheme val="minor"/>
      </rPr>
      <t xml:space="preserve"> / fH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S(aq)</t>
    </r>
  </si>
  <si>
    <t>Daily required additive dosage [kg/day]</t>
  </si>
  <si>
    <t>t = Temperature of substrate in reactor [°C]</t>
  </si>
  <si>
    <t>pH = Acidity of substrate in reactor</t>
  </si>
  <si>
    <t>H₂S(aq-ges)* = Content of total sulfide dissolved in substrate [g/m³]</t>
  </si>
  <si>
    <t>Your_De-Sulph</t>
  </si>
  <si>
    <t>1 US gallon [gal] =</t>
  </si>
  <si>
    <t>US gallon [gal/day]</t>
  </si>
  <si>
    <t>US gallon [/gal]</t>
  </si>
  <si>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&lt;Click here&gt;</t>
    </r>
    <r>
      <rPr>
        <sz val="11"/>
        <rFont val="Calibri"/>
        <family val="2"/>
        <scheme val="minor"/>
      </rPr>
      <t xml:space="preserve"> </t>
    </r>
    <r>
      <rPr>
        <sz val="11"/>
        <color theme="1" tint="0.34998626667073579"/>
        <rFont val="Calibri"/>
        <family val="2"/>
        <scheme val="minor"/>
      </rPr>
      <t>to select your measurement unit</t>
    </r>
  </si>
  <si>
    <r>
      <t>Q</t>
    </r>
    <r>
      <rPr>
        <vertAlign val="subscript"/>
        <sz val="11"/>
        <color theme="1"/>
        <rFont val="Calibri"/>
        <family val="2"/>
        <scheme val="minor"/>
      </rPr>
      <t>substrate</t>
    </r>
    <r>
      <rPr>
        <sz val="11"/>
        <color theme="1"/>
        <rFont val="Calibri"/>
        <family val="2"/>
        <scheme val="minor"/>
      </rPr>
      <t xml:space="preserve"> = Volumetric flow rate of newly added substrate [m³/day]</t>
    </r>
  </si>
  <si>
    <t>price per metric ton in your currency.</t>
  </si>
  <si>
    <t>Please contact us for a binding additive</t>
  </si>
  <si>
    <t>1 US short ton [t] =</t>
  </si>
  <si>
    <t>Supported units of</t>
  </si>
  <si>
    <t>Supported systems  of measurement:  International system of units (SI), British Imperial system of units, United States customary system of units</t>
  </si>
  <si>
    <r>
      <rPr>
        <vertAlign val="superscript"/>
        <sz val="9"/>
        <color theme="1"/>
        <rFont val="Calibri"/>
        <family val="2"/>
        <scheme val="minor"/>
      </rPr>
      <t>B</t>
    </r>
    <r>
      <rPr>
        <sz val="9"/>
        <color theme="1"/>
        <rFont val="Calibri"/>
        <family val="2"/>
        <scheme val="minor"/>
      </rPr>
      <t xml:space="preserve"> Ries, T. (1993): </t>
    </r>
    <r>
      <rPr>
        <i/>
        <sz val="9"/>
        <color theme="1"/>
        <rFont val="Calibri"/>
        <family val="2"/>
        <scheme val="minor"/>
      </rPr>
      <t>Reduzierung der Schwefelwasserstoffbildung im Faulraum durch Zugabe von Eisenchlorid</t>
    </r>
    <r>
      <rPr>
        <sz val="9"/>
        <color theme="1"/>
        <rFont val="Calibri"/>
        <family val="2"/>
        <scheme val="minor"/>
      </rPr>
      <t>. Schriftenreihe der Siedlungswasserwirtschaft Bochum, Nr. 25.</t>
    </r>
  </si>
  <si>
    <r>
      <rPr>
        <vertAlign val="superscript"/>
        <sz val="9"/>
        <color theme="1"/>
        <rFont val="Calibri"/>
        <family val="2"/>
        <scheme val="minor"/>
      </rPr>
      <t>C</t>
    </r>
    <r>
      <rPr>
        <sz val="9"/>
        <color theme="1"/>
        <rFont val="Calibri"/>
        <family val="2"/>
        <scheme val="minor"/>
      </rPr>
      <t xml:space="preserve"> Oechsner, H. (2000): </t>
    </r>
    <r>
      <rPr>
        <i/>
        <sz val="9"/>
        <color theme="1"/>
        <rFont val="Calibri"/>
        <family val="2"/>
        <scheme val="minor"/>
      </rPr>
      <t>Biogas in Blockheizkraftwerken</t>
    </r>
    <r>
      <rPr>
        <sz val="9"/>
        <color theme="1"/>
        <rFont val="Calibri"/>
        <family val="2"/>
        <scheme val="minor"/>
      </rPr>
      <t>. Landesanstalt für Landwirtschaftliches Maschinen- und Bauwesen der Universität Hohenheim, Stuttgart-Hohenheim.</t>
    </r>
  </si>
  <si>
    <r>
      <rPr>
        <vertAlign val="super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Supported units of mass:</t>
    </r>
    <r>
      <rPr>
        <sz val="9"/>
        <color theme="1"/>
        <rFont val="Calibri"/>
        <family val="2"/>
        <scheme val="minor"/>
      </rPr>
      <t xml:space="preserve"> Kilogram [kg]; Metric ton [t]; Pound [lb]; Imperial ton [t]; US short ton [t]; </t>
    </r>
    <r>
      <rPr>
        <b/>
        <sz val="9"/>
        <color theme="1"/>
        <rFont val="Calibri"/>
        <family val="2"/>
        <scheme val="minor"/>
      </rPr>
      <t>Supported units of volume:</t>
    </r>
    <r>
      <rPr>
        <sz val="9"/>
        <color theme="1"/>
        <rFont val="Calibri"/>
        <family val="2"/>
        <scheme val="minor"/>
      </rPr>
      <t xml:space="preserve"> Litre [l]; Imperial gallon [gal]; US gallon [gal]</t>
    </r>
  </si>
  <si>
    <r>
      <rPr>
        <vertAlign val="superscript"/>
        <sz val="9"/>
        <color theme="1"/>
        <rFont val="Calibri"/>
        <family val="2"/>
        <scheme val="minor"/>
      </rPr>
      <t>B</t>
    </r>
    <r>
      <rPr>
        <sz val="9"/>
        <color theme="1"/>
        <rFont val="Calibri"/>
        <family val="2"/>
        <scheme val="minor"/>
      </rPr>
      <t xml:space="preserve"> As the additives are priced in the same currency, the comparative analysis can be done without the need to specify any currency</t>
    </r>
  </si>
  <si>
    <r>
      <rPr>
        <vertAlign val="super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 xml:space="preserve"> Content of iron compound in dry matter (DM); At least one of the yellow cells must contain a value greater than 0</t>
    </r>
  </si>
  <si>
    <r>
      <rPr>
        <vertAlign val="superscript"/>
        <sz val="9"/>
        <color theme="1"/>
        <rFont val="Calibri"/>
        <family val="2"/>
        <scheme val="minor"/>
      </rPr>
      <t>B</t>
    </r>
    <r>
      <rPr>
        <sz val="9"/>
        <color theme="1"/>
        <rFont val="Calibri"/>
        <family val="2"/>
        <scheme val="minor"/>
      </rPr>
      <t xml:space="preserve"> Content based on analysis in Nov. 2021</t>
    </r>
  </si>
  <si>
    <r>
      <t xml:space="preserve">H₂S(g) </t>
    </r>
    <r>
      <rPr>
        <i/>
        <sz val="11"/>
        <color theme="1"/>
        <rFont val="Calibri"/>
        <family val="2"/>
        <scheme val="minor"/>
      </rPr>
      <t>content unit</t>
    </r>
    <r>
      <rPr>
        <sz val="11"/>
        <color theme="1"/>
        <rFont val="Calibri"/>
        <family val="2"/>
        <scheme val="minor"/>
      </rPr>
      <t xml:space="preserve"> converter</t>
    </r>
  </si>
  <si>
    <t>Moisture [%]
@ 105 °C</t>
  </si>
  <si>
    <t xml:space="preserve"> Value entry optional; Enter value if measured</t>
  </si>
  <si>
    <t>* H₂S(aq-ges) = H₂S(aq) + HS⁻ + S²⁻; H₂S(aq-ges) can be approximated mathematically based on H₂S(g), temperature (t) and acidity (pH)</t>
  </si>
  <si>
    <r>
      <t xml:space="preserve">Your additive's name </t>
    </r>
    <r>
      <rPr>
        <sz val="11"/>
        <color theme="1"/>
        <rFont val="Calibri"/>
        <family val="2"/>
        <scheme val="minor"/>
      </rPr>
      <t>(optional)</t>
    </r>
    <r>
      <rPr>
        <b/>
        <sz val="11"/>
        <color theme="1"/>
        <rFont val="Calibri"/>
        <family val="2"/>
        <scheme val="minor"/>
      </rPr>
      <t>:</t>
    </r>
  </si>
  <si>
    <t>Anaerobe Abwasserreinigung – Ein Modell zur Berechnung und Darstellung der maßgebenden chemischen Parameter</t>
  </si>
  <si>
    <t>Verification of H135 -&gt;</t>
  </si>
  <si>
    <t>&lt;- Verification of H137</t>
  </si>
  <si>
    <r>
      <t xml:space="preserve">Korrekte Formeln für </t>
    </r>
    <r>
      <rPr>
        <b/>
        <sz val="11"/>
        <color theme="1"/>
        <rFont val="Calibri"/>
        <family val="2"/>
        <scheme val="minor"/>
      </rPr>
      <t>fHS⁻</t>
    </r>
    <r>
      <rPr>
        <sz val="11"/>
        <color theme="1"/>
        <rFont val="Calibri"/>
        <family val="2"/>
        <scheme val="minor"/>
      </rPr>
      <t xml:space="preserve"> und </t>
    </r>
    <r>
      <rPr>
        <b/>
        <sz val="11"/>
        <color theme="1"/>
        <rFont val="Calibri"/>
        <family val="2"/>
        <scheme val="minor"/>
      </rPr>
      <t>fS²⁻</t>
    </r>
    <r>
      <rPr>
        <sz val="11"/>
        <color theme="1"/>
        <rFont val="Calibri"/>
        <family val="2"/>
        <scheme val="minor"/>
      </rPr>
      <t xml:space="preserve"> können hier gefunden werden, Seite 33:</t>
    </r>
  </si>
  <si>
    <r>
      <rPr>
        <vertAlign val="super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 xml:space="preserve"> Factor β &gt; 1 recommended, as a high iron ion content also uses up ions for the precipitation of phosphates and carbonates: Fe²⁺ + S²⁻ → FeS  |  3Fe²⁺ + 2PO₄³⁻ → Fe₃(PO₄)₂  |  Fe²⁺ + CO₃²⁻ → FeCO₃</t>
    </r>
  </si>
  <si>
    <t>ppm</t>
  </si>
  <si>
    <t>H₂S(g) = Content of hydrogen sulfide in biogas before any treatment [ppm]</t>
  </si>
  <si>
    <r>
      <t>ΔH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</t>
    </r>
    <r>
      <rPr>
        <sz val="10"/>
        <color theme="1"/>
        <rFont val="Calibri"/>
        <family val="2"/>
        <scheme val="minor"/>
      </rPr>
      <t>g)</t>
    </r>
    <r>
      <rPr>
        <sz val="11"/>
        <color theme="1"/>
        <rFont val="Calibri"/>
        <family val="2"/>
        <scheme val="minor"/>
      </rPr>
      <t xml:space="preserve"> = amount of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S(g) to be removed from the biogas [ppm]</t>
    </r>
  </si>
  <si>
    <t>Link to source (in German)</t>
  </si>
  <si>
    <t>Feᴺ⁺ ratio value</t>
  </si>
  <si>
    <r>
      <t>β</t>
    </r>
    <r>
      <rPr>
        <vertAlign val="superscript"/>
        <sz val="11"/>
        <color theme="1"/>
        <rFont val="Calibri"/>
        <family val="2"/>
        <scheme val="minor"/>
      </rPr>
      <t xml:space="preserve"> A</t>
    </r>
    <r>
      <rPr>
        <sz val="11"/>
        <color theme="1"/>
        <rFont val="Calibri"/>
        <family val="2"/>
        <scheme val="minor"/>
      </rPr>
      <t xml:space="preserve"> = Factor of overdosing; Empirical values; Ries</t>
    </r>
    <r>
      <rPr>
        <vertAlign val="superscript"/>
        <sz val="11"/>
        <color theme="1"/>
        <rFont val="Calibri"/>
        <family val="2"/>
        <scheme val="minor"/>
      </rPr>
      <t xml:space="preserve"> B</t>
    </r>
    <r>
      <rPr>
        <sz val="11"/>
        <color theme="1"/>
        <rFont val="Calibri"/>
        <family val="2"/>
        <scheme val="minor"/>
      </rPr>
      <t>: 1.7 ≤ β ≤ 2.3; Oechsner</t>
    </r>
    <r>
      <rPr>
        <vertAlign val="superscript"/>
        <sz val="11"/>
        <color theme="1"/>
        <rFont val="Calibri"/>
        <family val="2"/>
        <scheme val="minor"/>
      </rPr>
      <t xml:space="preserve"> C</t>
    </r>
    <r>
      <rPr>
        <sz val="11"/>
        <color theme="1"/>
        <rFont val="Calibri"/>
        <family val="2"/>
        <scheme val="minor"/>
      </rPr>
      <t>: 3 ≤ β ≤ 5</t>
    </r>
  </si>
  <si>
    <r>
      <t>fH₂S(aq) = (1 + Ks1 / H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+ Ks1 * Ks2 / H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^ 2) ^ -1</t>
    </r>
  </si>
  <si>
    <r>
      <t xml:space="preserve">fHS⁻ = Ks1 / H⁺ * </t>
    </r>
    <r>
      <rPr>
        <b/>
        <sz val="11"/>
        <color theme="1"/>
        <rFont val="Calibri"/>
        <family val="2"/>
        <scheme val="minor"/>
      </rPr>
      <t>H₂S(aq)</t>
    </r>
    <r>
      <rPr>
        <sz val="11"/>
        <color theme="1"/>
        <rFont val="Calibri"/>
        <family val="2"/>
        <scheme val="minor"/>
      </rPr>
      <t xml:space="preserve"> Formula is wrong; Correct formula: </t>
    </r>
    <r>
      <rPr>
        <sz val="11"/>
        <color rgb="FF0070C0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HS⁻ = Ks1 / H⁺ * </t>
    </r>
    <r>
      <rPr>
        <b/>
        <sz val="11"/>
        <color rgb="FFFF0000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>H₂S(aq)</t>
    </r>
  </si>
  <si>
    <r>
      <t xml:space="preserve">fS²⁻ = Ks1 * Ks2 / (H⁺)² * </t>
    </r>
    <r>
      <rPr>
        <b/>
        <sz val="11"/>
        <color theme="1"/>
        <rFont val="Calibri"/>
        <family val="2"/>
        <scheme val="minor"/>
      </rPr>
      <t>H₂S(aq)</t>
    </r>
    <r>
      <rPr>
        <sz val="11"/>
        <color theme="1"/>
        <rFont val="Calibri"/>
        <family val="2"/>
        <scheme val="minor"/>
      </rPr>
      <t xml:space="preserve"> Formula is wrong: fS²⁻ =  Ks1 * Ks2 / (H⁺)² * </t>
    </r>
    <r>
      <rPr>
        <b/>
        <sz val="11"/>
        <color rgb="FFFF0000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>H₂S(aq)</t>
    </r>
  </si>
  <si>
    <t>fH₂S(aq) + fHS⁻ + fS²⁻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</si>
</sst>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&quot;.&quot;mm&quot;.&quot;yyyy"/>
    <numFmt numFmtId="165" formatCode="0.0"/>
    <numFmt numFmtId="166" formatCode="#,##0.0"/>
  </numFmts>
  <fonts count="58">
    <font>
      <sz val="11"/>
      <color theme="1"/>
      <name val="Liberation San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sz val="11"/>
      <color rgb="FF000000"/>
      <name val="Calibri"/>
      <family val="2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rgb="FF0000EE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3257E"/>
      <name val="Calibri"/>
      <family val="2"/>
      <scheme val="minor"/>
    </font>
    <font>
      <b/>
      <i/>
      <vertAlign val="superscript"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0.5"/>
      <color theme="1" tint="0.34998626667073579"/>
      <name val="Calibri"/>
      <family val="2"/>
      <scheme val="minor"/>
    </font>
    <font>
      <sz val="10.5"/>
      <color theme="1" tint="0.499984740745262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 tint="0.3499862666707357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u/>
      <sz val="9"/>
      <color rgb="FF0000EE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0"/>
      <color rgb="FF0000EE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rgb="FFFFFBCC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rgb="FFEEEEEE"/>
      </patternFill>
    </fill>
    <fill>
      <patternFill patternType="solid">
        <fgColor rgb="FFE7858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FFFF00"/>
      </patternFill>
    </fill>
    <fill>
      <patternFill patternType="solid">
        <fgColor rgb="FFCCCCFF"/>
        <bgColor rgb="FFCCCCFF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CC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CFFDC"/>
        <bgColor indexed="64"/>
      </patternFill>
    </fill>
    <fill>
      <patternFill patternType="solid">
        <fgColor rgb="FFF0F0FF"/>
        <bgColor indexed="64"/>
      </patternFill>
    </fill>
    <fill>
      <patternFill patternType="solid">
        <fgColor rgb="FFF0F0FF"/>
        <bgColor rgb="FFFFFBCC"/>
      </patternFill>
    </fill>
    <fill>
      <patternFill patternType="solid">
        <fgColor rgb="FFEEEEEE"/>
        <bgColor rgb="FFEEEEEE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16" fillId="0" borderId="0"/>
    <xf numFmtId="0" fontId="17" fillId="0" borderId="0"/>
    <xf numFmtId="0" fontId="14" fillId="7" borderId="0"/>
    <xf numFmtId="0" fontId="10" fillId="5" borderId="0"/>
    <xf numFmtId="0" fontId="19" fillId="8" borderId="0"/>
    <xf numFmtId="0" fontId="20" fillId="8" borderId="1"/>
    <xf numFmtId="0" fontId="8" fillId="0" borderId="0"/>
    <xf numFmtId="0" fontId="9" fillId="2" borderId="0"/>
    <xf numFmtId="0" fontId="9" fillId="3" borderId="0"/>
    <xf numFmtId="0" fontId="8" fillId="4" borderId="0"/>
    <xf numFmtId="0" fontId="11" fillId="6" borderId="0"/>
    <xf numFmtId="0" fontId="12" fillId="0" borderId="0"/>
    <xf numFmtId="0" fontId="13" fillId="0" borderId="0"/>
    <xf numFmtId="0" fontId="15" fillId="0" borderId="0"/>
    <xf numFmtId="0" fontId="18" fillId="0" borderId="0"/>
    <xf numFmtId="0" fontId="7" fillId="0" borderId="0"/>
    <xf numFmtId="0" fontId="7" fillId="0" borderId="0"/>
    <xf numFmtId="0" fontId="10" fillId="0" borderId="0"/>
  </cellStyleXfs>
  <cellXfs count="313">
    <xf numFmtId="0" fontId="0" fillId="0" borderId="0" xfId="0"/>
    <xf numFmtId="0" fontId="6" fillId="0" borderId="0" xfId="0" applyFont="1" applyProtection="1"/>
    <xf numFmtId="0" fontId="6" fillId="0" borderId="0" xfId="0" applyFont="1" applyAlignment="1" applyProtection="1">
      <alignment horizontal="right"/>
    </xf>
    <xf numFmtId="0" fontId="21" fillId="0" borderId="0" xfId="0" applyFont="1" applyAlignment="1" applyProtection="1">
      <alignment horizontal="right"/>
    </xf>
    <xf numFmtId="0" fontId="23" fillId="12" borderId="2" xfId="0" applyFont="1" applyFill="1" applyBorder="1" applyProtection="1"/>
    <xf numFmtId="0" fontId="23" fillId="12" borderId="3" xfId="0" applyFont="1" applyFill="1" applyBorder="1" applyAlignment="1" applyProtection="1">
      <alignment wrapText="1"/>
    </xf>
    <xf numFmtId="0" fontId="23" fillId="12" borderId="3" xfId="0" applyFont="1" applyFill="1" applyBorder="1" applyAlignment="1" applyProtection="1">
      <alignment horizontal="right" wrapText="1"/>
    </xf>
    <xf numFmtId="0" fontId="6" fillId="12" borderId="4" xfId="0" applyFont="1" applyFill="1" applyBorder="1" applyProtection="1"/>
    <xf numFmtId="0" fontId="6" fillId="0" borderId="5" xfId="0" applyFont="1" applyBorder="1" applyProtection="1"/>
    <xf numFmtId="0" fontId="6" fillId="0" borderId="5" xfId="0" applyFont="1" applyBorder="1" applyAlignment="1" applyProtection="1"/>
    <xf numFmtId="0" fontId="6" fillId="0" borderId="5" xfId="0" applyFont="1" applyFill="1" applyBorder="1" applyProtection="1"/>
    <xf numFmtId="164" fontId="6" fillId="0" borderId="0" xfId="0" applyNumberFormat="1" applyFont="1" applyProtection="1"/>
    <xf numFmtId="0" fontId="23" fillId="9" borderId="7" xfId="0" applyFont="1" applyFill="1" applyBorder="1" applyAlignment="1" applyProtection="1">
      <alignment horizontal="right"/>
    </xf>
    <xf numFmtId="0" fontId="23" fillId="12" borderId="7" xfId="0" applyFont="1" applyFill="1" applyBorder="1" applyAlignment="1" applyProtection="1">
      <alignment horizontal="right" wrapText="1"/>
    </xf>
    <xf numFmtId="0" fontId="6" fillId="9" borderId="8" xfId="0" applyFont="1" applyFill="1" applyBorder="1" applyProtection="1"/>
    <xf numFmtId="2" fontId="6" fillId="13" borderId="5" xfId="0" applyNumberFormat="1" applyFont="1" applyFill="1" applyBorder="1" applyProtection="1"/>
    <xf numFmtId="0" fontId="21" fillId="0" borderId="17" xfId="0" applyFont="1" applyFill="1" applyBorder="1" applyAlignment="1" applyProtection="1">
      <alignment vertical="center"/>
    </xf>
    <xf numFmtId="1" fontId="21" fillId="5" borderId="18" xfId="0" applyNumberFormat="1" applyFont="1" applyFill="1" applyBorder="1" applyAlignment="1" applyProtection="1">
      <alignment vertical="center"/>
    </xf>
    <xf numFmtId="0" fontId="32" fillId="0" borderId="0" xfId="15" applyFont="1" applyAlignment="1" applyProtection="1">
      <alignment vertical="center"/>
    </xf>
    <xf numFmtId="0" fontId="6" fillId="13" borderId="5" xfId="0" applyFont="1" applyFill="1" applyBorder="1" applyProtection="1"/>
    <xf numFmtId="0" fontId="5" fillId="9" borderId="4" xfId="0" applyFont="1" applyFill="1" applyBorder="1" applyProtection="1"/>
    <xf numFmtId="0" fontId="5" fillId="0" borderId="5" xfId="0" applyFont="1" applyBorder="1" applyProtection="1"/>
    <xf numFmtId="0" fontId="21" fillId="0" borderId="0" xfId="0" applyFont="1" applyFill="1" applyBorder="1" applyAlignment="1" applyProtection="1"/>
    <xf numFmtId="0" fontId="38" fillId="0" borderId="0" xfId="0" applyFont="1" applyAlignment="1" applyProtection="1"/>
    <xf numFmtId="0" fontId="38" fillId="0" borderId="0" xfId="0" applyFont="1" applyProtection="1"/>
    <xf numFmtId="0" fontId="6" fillId="11" borderId="9" xfId="0" applyFont="1" applyFill="1" applyBorder="1" applyProtection="1">
      <protection locked="0"/>
    </xf>
    <xf numFmtId="0" fontId="4" fillId="9" borderId="6" xfId="0" applyFont="1" applyFill="1" applyBorder="1" applyAlignment="1" applyProtection="1">
      <alignment horizontal="right"/>
    </xf>
    <xf numFmtId="2" fontId="6" fillId="11" borderId="9" xfId="0" applyNumberFormat="1" applyFont="1" applyFill="1" applyBorder="1" applyProtection="1">
      <protection locked="0"/>
    </xf>
    <xf numFmtId="0" fontId="34" fillId="0" borderId="0" xfId="0" applyFont="1" applyFill="1" applyBorder="1" applyAlignment="1" applyProtection="1"/>
    <xf numFmtId="0" fontId="23" fillId="0" borderId="0" xfId="0" applyFont="1" applyFill="1" applyAlignment="1" applyProtection="1">
      <alignment horizontal="right"/>
    </xf>
    <xf numFmtId="2" fontId="34" fillId="0" borderId="0" xfId="0" applyNumberFormat="1" applyFont="1" applyFill="1" applyBorder="1" applyAlignment="1" applyProtection="1"/>
    <xf numFmtId="0" fontId="40" fillId="0" borderId="0" xfId="0" applyFont="1" applyAlignment="1" applyProtection="1"/>
    <xf numFmtId="0" fontId="21" fillId="21" borderId="19" xfId="0" applyFont="1" applyFill="1" applyBorder="1" applyAlignment="1" applyProtection="1"/>
    <xf numFmtId="0" fontId="37" fillId="0" borderId="0" xfId="0" applyNumberFormat="1" applyFont="1" applyAlignment="1" applyProtection="1"/>
    <xf numFmtId="0" fontId="37" fillId="0" borderId="0" xfId="0" applyNumberFormat="1" applyFont="1" applyAlignment="1" applyProtection="1">
      <alignment horizontal="left"/>
    </xf>
    <xf numFmtId="0" fontId="36" fillId="0" borderId="0" xfId="0" applyFont="1" applyFill="1" applyBorder="1" applyAlignment="1" applyProtection="1">
      <alignment horizontal="right"/>
    </xf>
    <xf numFmtId="2" fontId="39" fillId="0" borderId="0" xfId="0" applyNumberFormat="1" applyFont="1" applyFill="1" applyBorder="1" applyAlignment="1" applyProtection="1"/>
    <xf numFmtId="0" fontId="33" fillId="0" borderId="0" xfId="0" applyFont="1" applyFill="1" applyBorder="1" applyAlignment="1" applyProtection="1"/>
    <xf numFmtId="0" fontId="23" fillId="9" borderId="7" xfId="0" applyFont="1" applyFill="1" applyBorder="1" applyAlignment="1" applyProtection="1">
      <alignment horizontal="right" wrapText="1"/>
    </xf>
    <xf numFmtId="0" fontId="25" fillId="23" borderId="0" xfId="0" applyFont="1" applyFill="1" applyBorder="1" applyAlignment="1" applyProtection="1"/>
    <xf numFmtId="0" fontId="21" fillId="23" borderId="0" xfId="0" applyFont="1" applyFill="1" applyBorder="1" applyAlignment="1" applyProtection="1"/>
    <xf numFmtId="0" fontId="25" fillId="24" borderId="0" xfId="0" applyFont="1" applyFill="1" applyBorder="1" applyAlignment="1" applyProtection="1"/>
    <xf numFmtId="0" fontId="25" fillId="24" borderId="0" xfId="0" applyFont="1" applyFill="1" applyAlignment="1" applyProtection="1"/>
    <xf numFmtId="0" fontId="37" fillId="23" borderId="0" xfId="0" applyFont="1" applyFill="1" applyBorder="1" applyAlignment="1" applyProtection="1"/>
    <xf numFmtId="0" fontId="41" fillId="0" borderId="0" xfId="0" applyFont="1" applyFill="1" applyBorder="1" applyAlignment="1" applyProtection="1"/>
    <xf numFmtId="2" fontId="34" fillId="23" borderId="9" xfId="0" applyNumberFormat="1" applyFont="1" applyFill="1" applyBorder="1" applyAlignment="1" applyProtection="1"/>
    <xf numFmtId="2" fontId="34" fillId="9" borderId="19" xfId="0" applyNumberFormat="1" applyFont="1" applyFill="1" applyBorder="1" applyAlignment="1" applyProtection="1"/>
    <xf numFmtId="166" fontId="26" fillId="23" borderId="0" xfId="0" applyNumberFormat="1" applyFont="1" applyFill="1" applyBorder="1" applyAlignment="1" applyProtection="1"/>
    <xf numFmtId="0" fontId="34" fillId="0" borderId="0" xfId="0" applyFont="1" applyFill="1" applyBorder="1" applyAlignment="1" applyProtection="1">
      <alignment horizontal="right"/>
    </xf>
    <xf numFmtId="0" fontId="25" fillId="21" borderId="6" xfId="0" applyFont="1" applyFill="1" applyBorder="1" applyAlignment="1" applyProtection="1"/>
    <xf numFmtId="0" fontId="35" fillId="21" borderId="10" xfId="0" applyFont="1" applyFill="1" applyBorder="1" applyAlignment="1" applyProtection="1"/>
    <xf numFmtId="0" fontId="25" fillId="21" borderId="7" xfId="0" applyFont="1" applyFill="1" applyBorder="1" applyAlignment="1" applyProtection="1">
      <alignment horizontal="right"/>
    </xf>
    <xf numFmtId="0" fontId="35" fillId="21" borderId="7" xfId="0" applyFont="1" applyFill="1" applyBorder="1" applyAlignment="1" applyProtection="1">
      <alignment horizontal="right"/>
    </xf>
    <xf numFmtId="0" fontId="25" fillId="0" borderId="0" xfId="0" applyFont="1" applyAlignment="1" applyProtection="1"/>
    <xf numFmtId="0" fontId="25" fillId="21" borderId="6" xfId="0" applyFont="1" applyFill="1" applyBorder="1" applyAlignment="1" applyProtection="1">
      <alignment horizontal="right"/>
    </xf>
    <xf numFmtId="0" fontId="3" fillId="9" borderId="4" xfId="0" applyFont="1" applyFill="1" applyBorder="1" applyProtection="1"/>
    <xf numFmtId="0" fontId="3" fillId="0" borderId="5" xfId="0" applyFont="1" applyBorder="1" applyProtection="1"/>
    <xf numFmtId="2" fontId="34" fillId="9" borderId="25" xfId="0" applyNumberFormat="1" applyFont="1" applyFill="1" applyBorder="1" applyAlignment="1" applyProtection="1"/>
    <xf numFmtId="0" fontId="25" fillId="22" borderId="26" xfId="0" applyFont="1" applyFill="1" applyBorder="1" applyProtection="1"/>
    <xf numFmtId="0" fontId="25" fillId="22" borderId="20" xfId="0" applyFont="1" applyFill="1" applyBorder="1" applyProtection="1"/>
    <xf numFmtId="0" fontId="21" fillId="22" borderId="23" xfId="0" applyFont="1" applyFill="1" applyBorder="1" applyAlignment="1" applyProtection="1">
      <alignment horizontal="left"/>
    </xf>
    <xf numFmtId="0" fontId="37" fillId="24" borderId="0" xfId="0" applyFont="1" applyFill="1" applyBorder="1" applyAlignment="1" applyProtection="1"/>
    <xf numFmtId="3" fontId="26" fillId="24" borderId="6" xfId="0" applyNumberFormat="1" applyFont="1" applyFill="1" applyBorder="1" applyAlignment="1" applyProtection="1"/>
    <xf numFmtId="0" fontId="23" fillId="0" borderId="6" xfId="0" applyFont="1" applyBorder="1" applyProtection="1"/>
    <xf numFmtId="0" fontId="23" fillId="0" borderId="6" xfId="0" applyFont="1" applyFill="1" applyBorder="1" applyAlignment="1" applyProtection="1"/>
    <xf numFmtId="0" fontId="23" fillId="0" borderId="7" xfId="0" applyFont="1" applyFill="1" applyBorder="1" applyAlignment="1" applyProtection="1"/>
    <xf numFmtId="4" fontId="34" fillId="23" borderId="8" xfId="0" applyNumberFormat="1" applyFont="1" applyFill="1" applyBorder="1" applyAlignment="1" applyProtection="1"/>
    <xf numFmtId="4" fontId="21" fillId="11" borderId="9" xfId="0" applyNumberFormat="1" applyFont="1" applyFill="1" applyBorder="1" applyAlignment="1" applyProtection="1">
      <protection locked="0"/>
    </xf>
    <xf numFmtId="4" fontId="34" fillId="24" borderId="8" xfId="0" applyNumberFormat="1" applyFont="1" applyFill="1" applyBorder="1" applyAlignment="1" applyProtection="1"/>
    <xf numFmtId="0" fontId="23" fillId="0" borderId="7" xfId="0" applyNumberFormat="1" applyFont="1" applyFill="1" applyBorder="1" applyAlignment="1" applyProtection="1"/>
    <xf numFmtId="0" fontId="21" fillId="0" borderId="7" xfId="0" applyFont="1" applyBorder="1" applyAlignment="1" applyProtection="1">
      <alignment horizontal="right"/>
    </xf>
    <xf numFmtId="0" fontId="33" fillId="0" borderId="0" xfId="0" applyFont="1" applyFill="1" applyBorder="1" applyAlignment="1" applyProtection="1">
      <alignment vertical="center"/>
    </xf>
    <xf numFmtId="0" fontId="33" fillId="23" borderId="0" xfId="0" applyFont="1" applyFill="1" applyBorder="1" applyAlignment="1" applyProtection="1">
      <alignment vertical="center"/>
    </xf>
    <xf numFmtId="0" fontId="33" fillId="24" borderId="0" xfId="0" applyFont="1" applyFill="1" applyBorder="1" applyAlignment="1" applyProtection="1"/>
    <xf numFmtId="0" fontId="33" fillId="0" borderId="0" xfId="0" applyFont="1" applyFill="1" applyBorder="1" applyAlignment="1" applyProtection="1">
      <alignment vertical="top"/>
    </xf>
    <xf numFmtId="0" fontId="21" fillId="23" borderId="8" xfId="0" applyFont="1" applyFill="1" applyBorder="1" applyAlignment="1" applyProtection="1"/>
    <xf numFmtId="2" fontId="21" fillId="23" borderId="9" xfId="0" applyNumberFormat="1" applyFont="1" applyFill="1" applyBorder="1" applyAlignment="1" applyProtection="1"/>
    <xf numFmtId="0" fontId="21" fillId="24" borderId="8" xfId="0" applyFont="1" applyFill="1" applyBorder="1" applyAlignment="1" applyProtection="1"/>
    <xf numFmtId="166" fontId="26" fillId="23" borderId="7" xfId="0" applyNumberFormat="1" applyFont="1" applyFill="1" applyBorder="1" applyAlignment="1" applyProtection="1"/>
    <xf numFmtId="166" fontId="26" fillId="24" borderId="6" xfId="0" applyNumberFormat="1" applyFont="1" applyFill="1" applyBorder="1" applyAlignment="1" applyProtection="1"/>
    <xf numFmtId="0" fontId="21" fillId="24" borderId="0" xfId="0" applyFont="1" applyFill="1" applyBorder="1" applyAlignment="1" applyProtection="1"/>
    <xf numFmtId="166" fontId="26" fillId="0" borderId="0" xfId="0" applyNumberFormat="1" applyFont="1" applyFill="1" applyBorder="1" applyAlignment="1" applyProtection="1"/>
    <xf numFmtId="0" fontId="26" fillId="21" borderId="10" xfId="0" applyFont="1" applyFill="1" applyBorder="1" applyAlignment="1" applyProtection="1"/>
    <xf numFmtId="2" fontId="26" fillId="21" borderId="10" xfId="0" applyNumberFormat="1" applyFont="1" applyFill="1" applyBorder="1" applyAlignment="1" applyProtection="1"/>
    <xf numFmtId="0" fontId="34" fillId="21" borderId="10" xfId="0" applyFont="1" applyFill="1" applyBorder="1" applyAlignment="1" applyProtection="1"/>
    <xf numFmtId="0" fontId="21" fillId="21" borderId="10" xfId="0" applyFont="1" applyFill="1" applyBorder="1" applyAlignment="1" applyProtection="1"/>
    <xf numFmtId="0" fontId="34" fillId="21" borderId="6" xfId="0" applyFont="1" applyFill="1" applyBorder="1" applyAlignment="1" applyProtection="1">
      <alignment horizontal="right"/>
    </xf>
    <xf numFmtId="0" fontId="23" fillId="0" borderId="14" xfId="0" applyFont="1" applyBorder="1" applyAlignment="1" applyProtection="1"/>
    <xf numFmtId="0" fontId="25" fillId="0" borderId="14" xfId="0" applyFont="1" applyBorder="1" applyAlignment="1" applyProtection="1">
      <alignment vertical="center"/>
    </xf>
    <xf numFmtId="0" fontId="21" fillId="0" borderId="6" xfId="0" applyFont="1" applyFill="1" applyBorder="1" applyAlignment="1" applyProtection="1">
      <alignment vertical="center"/>
    </xf>
    <xf numFmtId="0" fontId="21" fillId="0" borderId="12" xfId="0" applyFont="1" applyBorder="1" applyAlignment="1" applyProtection="1">
      <alignment vertical="center"/>
    </xf>
    <xf numFmtId="0" fontId="23" fillId="0" borderId="13" xfId="0" applyFont="1" applyFill="1" applyBorder="1" applyAlignment="1" applyProtection="1">
      <alignment vertical="center"/>
    </xf>
    <xf numFmtId="0" fontId="25" fillId="9" borderId="14" xfId="0" applyFont="1" applyFill="1" applyBorder="1" applyAlignment="1" applyProtection="1">
      <alignment vertical="center"/>
    </xf>
    <xf numFmtId="4" fontId="21" fillId="24" borderId="8" xfId="0" applyNumberFormat="1" applyFont="1" applyFill="1" applyBorder="1" applyAlignment="1" applyProtection="1">
      <alignment vertical="center"/>
    </xf>
    <xf numFmtId="0" fontId="43" fillId="11" borderId="25" xfId="0" applyFont="1" applyFill="1" applyBorder="1" applyAlignment="1" applyProtection="1"/>
    <xf numFmtId="0" fontId="34" fillId="11" borderId="8" xfId="0" applyFont="1" applyFill="1" applyBorder="1" applyAlignment="1" applyProtection="1">
      <protection locked="0"/>
    </xf>
    <xf numFmtId="0" fontId="46" fillId="11" borderId="25" xfId="0" applyFont="1" applyFill="1" applyBorder="1" applyAlignment="1" applyProtection="1"/>
    <xf numFmtId="166" fontId="26" fillId="24" borderId="0" xfId="0" applyNumberFormat="1" applyFont="1" applyFill="1" applyBorder="1" applyAlignment="1" applyProtection="1"/>
    <xf numFmtId="0" fontId="25" fillId="21" borderId="27" xfId="0" applyFont="1" applyFill="1" applyBorder="1" applyAlignment="1" applyProtection="1">
      <alignment horizontal="right"/>
    </xf>
    <xf numFmtId="0" fontId="35" fillId="21" borderId="6" xfId="0" applyFont="1" applyFill="1" applyBorder="1" applyAlignment="1" applyProtection="1">
      <alignment horizontal="right"/>
    </xf>
    <xf numFmtId="2" fontId="34" fillId="24" borderId="8" xfId="0" applyNumberFormat="1" applyFont="1" applyFill="1" applyBorder="1" applyAlignment="1" applyProtection="1"/>
    <xf numFmtId="0" fontId="21" fillId="24" borderId="25" xfId="0" applyFont="1" applyFill="1" applyBorder="1" applyAlignment="1" applyProtection="1"/>
    <xf numFmtId="2" fontId="21" fillId="24" borderId="8" xfId="0" applyNumberFormat="1" applyFont="1" applyFill="1" applyBorder="1" applyAlignment="1" applyProtection="1"/>
    <xf numFmtId="0" fontId="21" fillId="24" borderId="0" xfId="0" applyFont="1" applyFill="1" applyBorder="1" applyAlignment="1" applyProtection="1">
      <alignment horizontal="right"/>
    </xf>
    <xf numFmtId="3" fontId="26" fillId="24" borderId="20" xfId="0" applyNumberFormat="1" applyFont="1" applyFill="1" applyBorder="1" applyAlignment="1" applyProtection="1"/>
    <xf numFmtId="4" fontId="34" fillId="24" borderId="20" xfId="0" applyNumberFormat="1" applyFont="1" applyFill="1" applyBorder="1" applyAlignment="1" applyProtection="1"/>
    <xf numFmtId="4" fontId="21" fillId="24" borderId="20" xfId="0" applyNumberFormat="1" applyFont="1" applyFill="1" applyBorder="1" applyAlignment="1" applyProtection="1">
      <alignment vertical="center"/>
    </xf>
    <xf numFmtId="4" fontId="21" fillId="11" borderId="20" xfId="0" applyNumberFormat="1" applyFont="1" applyFill="1" applyBorder="1" applyAlignment="1" applyProtection="1"/>
    <xf numFmtId="3" fontId="21" fillId="21" borderId="25" xfId="0" applyNumberFormat="1" applyFont="1" applyFill="1" applyBorder="1" applyAlignment="1" applyProtection="1"/>
    <xf numFmtId="3" fontId="21" fillId="21" borderId="8" xfId="0" applyNumberFormat="1" applyFont="1" applyFill="1" applyBorder="1" applyAlignment="1" applyProtection="1"/>
    <xf numFmtId="0" fontId="34" fillId="9" borderId="8" xfId="0" applyFont="1" applyFill="1" applyBorder="1" applyAlignment="1" applyProtection="1"/>
    <xf numFmtId="165" fontId="45" fillId="11" borderId="8" xfId="0" applyNumberFormat="1" applyFont="1" applyFill="1" applyBorder="1" applyAlignment="1" applyProtection="1">
      <alignment horizontal="right"/>
    </xf>
    <xf numFmtId="0" fontId="26" fillId="11" borderId="25" xfId="0" applyFont="1" applyFill="1" applyBorder="1" applyAlignment="1" applyProtection="1"/>
    <xf numFmtId="0" fontId="21" fillId="0" borderId="0" xfId="0" applyFont="1" applyBorder="1" applyAlignment="1" applyProtection="1"/>
    <xf numFmtId="0" fontId="21" fillId="0" borderId="10" xfId="0" applyFont="1" applyFill="1" applyBorder="1" applyAlignment="1" applyProtection="1"/>
    <xf numFmtId="0" fontId="50" fillId="24" borderId="0" xfId="0" applyFont="1" applyFill="1" applyBorder="1" applyAlignment="1" applyProtection="1"/>
    <xf numFmtId="0" fontId="34" fillId="0" borderId="0" xfId="0" applyNumberFormat="1" applyFont="1" applyAlignment="1" applyProtection="1"/>
    <xf numFmtId="3" fontId="26" fillId="23" borderId="8" xfId="0" applyNumberFormat="1" applyFont="1" applyFill="1" applyBorder="1" applyAlignment="1" applyProtection="1"/>
    <xf numFmtId="4" fontId="26" fillId="23" borderId="8" xfId="0" applyNumberFormat="1" applyFont="1" applyFill="1" applyBorder="1" applyAlignment="1" applyProtection="1"/>
    <xf numFmtId="4" fontId="21" fillId="23" borderId="8" xfId="0" applyNumberFormat="1" applyFont="1" applyFill="1" applyBorder="1" applyAlignment="1" applyProtection="1">
      <alignment vertical="center"/>
    </xf>
    <xf numFmtId="0" fontId="25" fillId="9" borderId="0" xfId="0" applyFont="1" applyFill="1" applyBorder="1" applyProtection="1"/>
    <xf numFmtId="0" fontId="21" fillId="9" borderId="0" xfId="0" applyFont="1" applyFill="1" applyBorder="1" applyAlignment="1" applyProtection="1">
      <alignment horizontal="left"/>
    </xf>
    <xf numFmtId="0" fontId="51" fillId="0" borderId="0" xfId="0" applyFont="1" applyAlignment="1" applyProtection="1"/>
    <xf numFmtId="0" fontId="33" fillId="0" borderId="0" xfId="0" applyFont="1" applyAlignment="1" applyProtection="1">
      <alignment vertical="center"/>
    </xf>
    <xf numFmtId="0" fontId="33" fillId="0" borderId="0" xfId="0" applyFont="1" applyAlignment="1" applyProtection="1"/>
    <xf numFmtId="0" fontId="54" fillId="0" borderId="0" xfId="0" applyFont="1" applyAlignment="1" applyProtection="1"/>
    <xf numFmtId="0" fontId="54" fillId="24" borderId="0" xfId="0" applyFont="1" applyFill="1" applyBorder="1" applyAlignment="1" applyProtection="1"/>
    <xf numFmtId="0" fontId="54" fillId="0" borderId="0" xfId="0" applyNumberFormat="1" applyFont="1" applyAlignment="1" applyProtection="1"/>
    <xf numFmtId="0" fontId="54" fillId="0" borderId="0" xfId="0" applyNumberFormat="1" applyFont="1" applyAlignment="1" applyProtection="1">
      <alignment horizontal="left"/>
    </xf>
    <xf numFmtId="2" fontId="34" fillId="23" borderId="9" xfId="0" applyNumberFormat="1" applyFont="1" applyFill="1" applyBorder="1" applyAlignment="1" applyProtection="1">
      <alignment horizontal="right"/>
    </xf>
    <xf numFmtId="2" fontId="34" fillId="24" borderId="8" xfId="0" applyNumberFormat="1" applyFont="1" applyFill="1" applyBorder="1" applyAlignment="1" applyProtection="1">
      <alignment horizontal="right"/>
    </xf>
    <xf numFmtId="0" fontId="21" fillId="0" borderId="19" xfId="0" applyFont="1" applyFill="1" applyBorder="1" applyAlignment="1" applyProtection="1"/>
    <xf numFmtId="0" fontId="25" fillId="27" borderId="6" xfId="0" applyFont="1" applyFill="1" applyBorder="1" applyAlignment="1" applyProtection="1">
      <alignment horizontal="right"/>
    </xf>
    <xf numFmtId="0" fontId="25" fillId="27" borderId="7" xfId="0" applyFont="1" applyFill="1" applyBorder="1" applyAlignment="1" applyProtection="1">
      <alignment horizontal="right"/>
    </xf>
    <xf numFmtId="0" fontId="2" fillId="0" borderId="0" xfId="0" applyFont="1"/>
    <xf numFmtId="0" fontId="2" fillId="0" borderId="0" xfId="0" applyFont="1" applyAlignment="1" applyProtection="1"/>
    <xf numFmtId="0" fontId="2" fillId="22" borderId="0" xfId="0" applyFont="1" applyFill="1" applyAlignment="1" applyProtection="1"/>
    <xf numFmtId="0" fontId="2" fillId="0" borderId="0" xfId="0" applyFont="1" applyAlignment="1" applyProtection="1">
      <alignment wrapText="1"/>
    </xf>
    <xf numFmtId="0" fontId="2" fillId="22" borderId="6" xfId="0" applyFont="1" applyFill="1" applyBorder="1" applyAlignment="1" applyProtection="1"/>
    <xf numFmtId="0" fontId="2" fillId="0" borderId="27" xfId="0" applyFont="1" applyBorder="1" applyAlignment="1" applyProtection="1"/>
    <xf numFmtId="0" fontId="2" fillId="0" borderId="6" xfId="0" applyFont="1" applyBorder="1" applyAlignment="1" applyProtection="1"/>
    <xf numFmtId="0" fontId="2" fillId="22" borderId="8" xfId="0" applyFont="1" applyFill="1" applyBorder="1" applyAlignment="1" applyProtection="1"/>
    <xf numFmtId="0" fontId="2" fillId="0" borderId="25" xfId="0" applyFont="1" applyBorder="1" applyAlignment="1" applyProtection="1"/>
    <xf numFmtId="0" fontId="2" fillId="0" borderId="8" xfId="0" applyFont="1" applyBorder="1" applyAlignment="1" applyProtection="1"/>
    <xf numFmtId="0" fontId="2" fillId="0" borderId="10" xfId="0" applyFont="1" applyBorder="1" applyAlignment="1" applyProtection="1"/>
    <xf numFmtId="0" fontId="2" fillId="0" borderId="10" xfId="0" applyFont="1" applyBorder="1" applyAlignment="1" applyProtection="1">
      <alignment wrapText="1"/>
    </xf>
    <xf numFmtId="0" fontId="2" fillId="0" borderId="0" xfId="0" applyFont="1" applyBorder="1" applyAlignment="1" applyProtection="1"/>
    <xf numFmtId="0" fontId="2" fillId="22" borderId="6" xfId="0" applyNumberFormat="1" applyFont="1" applyFill="1" applyBorder="1" applyProtection="1"/>
    <xf numFmtId="0" fontId="2" fillId="22" borderId="10" xfId="0" applyNumberFormat="1" applyFont="1" applyFill="1" applyBorder="1" applyAlignment="1" applyProtection="1">
      <alignment horizontal="right"/>
    </xf>
    <xf numFmtId="0" fontId="2" fillId="22" borderId="6" xfId="0" applyNumberFormat="1" applyFont="1" applyFill="1" applyBorder="1" applyAlignment="1" applyProtection="1"/>
    <xf numFmtId="0" fontId="2" fillId="22" borderId="10" xfId="0" applyNumberFormat="1" applyFont="1" applyFill="1" applyBorder="1" applyAlignment="1" applyProtection="1"/>
    <xf numFmtId="0" fontId="2" fillId="22" borderId="9" xfId="0" applyFont="1" applyFill="1" applyBorder="1" applyAlignment="1" applyProtection="1">
      <alignment vertical="center"/>
    </xf>
    <xf numFmtId="0" fontId="2" fillId="22" borderId="6" xfId="0" applyFont="1" applyFill="1" applyBorder="1" applyAlignment="1" applyProtection="1">
      <alignment vertical="center"/>
    </xf>
    <xf numFmtId="0" fontId="2" fillId="22" borderId="1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/>
    <xf numFmtId="0" fontId="2" fillId="11" borderId="9" xfId="0" applyFont="1" applyFill="1" applyBorder="1" applyAlignment="1" applyProtection="1">
      <protection locked="0"/>
    </xf>
    <xf numFmtId="0" fontId="2" fillId="24" borderId="0" xfId="0" applyFont="1" applyFill="1" applyBorder="1" applyAlignment="1" applyProtection="1"/>
    <xf numFmtId="0" fontId="2" fillId="22" borderId="23" xfId="0" applyFont="1" applyFill="1" applyBorder="1" applyAlignment="1" applyProtection="1"/>
    <xf numFmtId="0" fontId="2" fillId="22" borderId="24" xfId="0" applyNumberFormat="1" applyFont="1" applyFill="1" applyBorder="1" applyAlignment="1" applyProtection="1"/>
    <xf numFmtId="0" fontId="2" fillId="22" borderId="23" xfId="0" applyNumberFormat="1" applyFont="1" applyFill="1" applyBorder="1" applyAlignment="1" applyProtection="1"/>
    <xf numFmtId="0" fontId="2" fillId="22" borderId="0" xfId="0" applyNumberFormat="1" applyFont="1" applyFill="1" applyAlignment="1" applyProtection="1"/>
    <xf numFmtId="0" fontId="2" fillId="0" borderId="0" xfId="0" applyFont="1" applyAlignment="1"/>
    <xf numFmtId="0" fontId="2" fillId="12" borderId="8" xfId="0" applyFont="1" applyFill="1" applyBorder="1" applyAlignment="1" applyProtection="1"/>
    <xf numFmtId="0" fontId="2" fillId="9" borderId="8" xfId="0" applyFont="1" applyFill="1" applyBorder="1" applyAlignment="1" applyProtection="1"/>
    <xf numFmtId="2" fontId="2" fillId="10" borderId="9" xfId="0" quotePrefix="1" applyNumberFormat="1" applyFont="1" applyFill="1" applyBorder="1" applyAlignment="1" applyProtection="1">
      <protection locked="0"/>
    </xf>
    <xf numFmtId="2" fontId="2" fillId="25" borderId="8" xfId="0" quotePrefix="1" applyNumberFormat="1" applyFont="1" applyFill="1" applyBorder="1" applyAlignment="1" applyProtection="1"/>
    <xf numFmtId="2" fontId="2" fillId="25" borderId="25" xfId="0" quotePrefix="1" applyNumberFormat="1" applyFont="1" applyFill="1" applyBorder="1" applyAlignment="1" applyProtection="1"/>
    <xf numFmtId="2" fontId="2" fillId="25" borderId="8" xfId="0" applyNumberFormat="1" applyFont="1" applyFill="1" applyBorder="1" applyAlignment="1" applyProtection="1"/>
    <xf numFmtId="2" fontId="2" fillId="25" borderId="25" xfId="0" applyNumberFormat="1" applyFont="1" applyFill="1" applyBorder="1" applyAlignment="1" applyProtection="1"/>
    <xf numFmtId="2" fontId="2" fillId="24" borderId="8" xfId="0" applyNumberFormat="1" applyFont="1" applyFill="1" applyBorder="1" applyAlignment="1" applyProtection="1"/>
    <xf numFmtId="2" fontId="2" fillId="24" borderId="25" xfId="0" applyNumberFormat="1" applyFont="1" applyFill="1" applyBorder="1" applyAlignment="1" applyProtection="1"/>
    <xf numFmtId="2" fontId="2" fillId="11" borderId="9" xfId="0" applyNumberFormat="1" applyFont="1" applyFill="1" applyBorder="1" applyAlignment="1" applyProtection="1">
      <protection locked="0"/>
    </xf>
    <xf numFmtId="0" fontId="2" fillId="22" borderId="9" xfId="0" applyFont="1" applyFill="1" applyBorder="1" applyAlignment="1" applyProtection="1"/>
    <xf numFmtId="0" fontId="2" fillId="22" borderId="19" xfId="0" applyFont="1" applyFill="1" applyBorder="1" applyAlignment="1" applyProtection="1"/>
    <xf numFmtId="0" fontId="2" fillId="22" borderId="11" xfId="0" applyFont="1" applyFill="1" applyBorder="1" applyAlignment="1" applyProtection="1">
      <alignment vertical="center"/>
    </xf>
    <xf numFmtId="0" fontId="2" fillId="22" borderId="11" xfId="0" applyFont="1" applyFill="1" applyBorder="1" applyAlignment="1" applyProtection="1"/>
    <xf numFmtId="0" fontId="2" fillId="22" borderId="21" xfId="0" applyNumberFormat="1" applyFont="1" applyFill="1" applyBorder="1" applyAlignment="1" applyProtection="1"/>
    <xf numFmtId="0" fontId="2" fillId="22" borderId="11" xfId="0" applyNumberFormat="1" applyFont="1" applyFill="1" applyBorder="1" applyAlignment="1" applyProtection="1"/>
    <xf numFmtId="0" fontId="2" fillId="0" borderId="19" xfId="0" applyFont="1" applyFill="1" applyBorder="1" applyAlignment="1" applyProtection="1"/>
    <xf numFmtId="2" fontId="2" fillId="23" borderId="21" xfId="0" applyNumberFormat="1" applyFont="1" applyFill="1" applyBorder="1" applyAlignment="1" applyProtection="1"/>
    <xf numFmtId="0" fontId="2" fillId="9" borderId="19" xfId="0" quotePrefix="1" applyFont="1" applyFill="1" applyBorder="1" applyAlignment="1" applyProtection="1"/>
    <xf numFmtId="0" fontId="2" fillId="9" borderId="0" xfId="0" applyFont="1" applyFill="1" applyBorder="1" applyAlignment="1" applyProtection="1"/>
    <xf numFmtId="2" fontId="2" fillId="11" borderId="22" xfId="0" applyNumberFormat="1" applyFont="1" applyFill="1" applyBorder="1" applyAlignment="1" applyProtection="1">
      <protection locked="0"/>
    </xf>
    <xf numFmtId="0" fontId="2" fillId="22" borderId="8" xfId="0" applyFont="1" applyFill="1" applyBorder="1" applyAlignment="1" applyProtection="1">
      <alignment vertical="center"/>
    </xf>
    <xf numFmtId="0" fontId="2" fillId="22" borderId="25" xfId="0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23" borderId="0" xfId="0" applyFont="1" applyFill="1" applyBorder="1" applyAlignment="1" applyProtection="1"/>
    <xf numFmtId="2" fontId="2" fillId="23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0" fontId="2" fillId="28" borderId="0" xfId="0" applyFont="1" applyFill="1" applyBorder="1" applyAlignment="1" applyProtection="1"/>
    <xf numFmtId="0" fontId="2" fillId="22" borderId="21" xfId="0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7" xfId="0" applyFont="1" applyBorder="1" applyAlignment="1" applyProtection="1">
      <alignment horizontal="right"/>
    </xf>
    <xf numFmtId="0" fontId="2" fillId="0" borderId="7" xfId="0" applyFont="1" applyFill="1" applyBorder="1" applyAlignment="1" applyProtection="1"/>
    <xf numFmtId="0" fontId="2" fillId="22" borderId="20" xfId="0" applyFont="1" applyFill="1" applyBorder="1" applyProtection="1"/>
    <xf numFmtId="0" fontId="2" fillId="22" borderId="23" xfId="0" applyFont="1" applyFill="1" applyBorder="1" applyAlignment="1" applyProtection="1">
      <alignment horizontal="left"/>
    </xf>
    <xf numFmtId="0" fontId="2" fillId="0" borderId="9" xfId="0" applyNumberFormat="1" applyFont="1" applyBorder="1" applyProtection="1"/>
    <xf numFmtId="0" fontId="2" fillId="0" borderId="9" xfId="0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2" fillId="0" borderId="10" xfId="0" applyFont="1" applyFill="1" applyBorder="1" applyAlignment="1" applyProtection="1"/>
    <xf numFmtId="0" fontId="2" fillId="26" borderId="8" xfId="0" applyFont="1" applyFill="1" applyBorder="1" applyProtection="1"/>
    <xf numFmtId="0" fontId="2" fillId="22" borderId="0" xfId="0" applyFont="1" applyFill="1" applyBorder="1" applyAlignment="1" applyProtection="1"/>
    <xf numFmtId="0" fontId="2" fillId="9" borderId="0" xfId="0" applyFont="1" applyFill="1" applyBorder="1" applyAlignment="1" applyProtection="1">
      <alignment horizontal="left"/>
    </xf>
    <xf numFmtId="0" fontId="2" fillId="9" borderId="0" xfId="0" applyFont="1" applyFill="1" applyBorder="1" applyProtection="1"/>
    <xf numFmtId="0" fontId="2" fillId="11" borderId="8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right"/>
    </xf>
    <xf numFmtId="0" fontId="2" fillId="0" borderId="20" xfId="0" applyFont="1" applyFill="1" applyBorder="1" applyAlignment="1" applyProtection="1"/>
    <xf numFmtId="0" fontId="2" fillId="9" borderId="10" xfId="0" applyFont="1" applyFill="1" applyBorder="1" applyAlignment="1" applyProtection="1"/>
    <xf numFmtId="4" fontId="2" fillId="11" borderId="9" xfId="0" applyNumberFormat="1" applyFont="1" applyFill="1" applyBorder="1" applyAlignment="1" applyProtection="1">
      <protection locked="0"/>
    </xf>
    <xf numFmtId="0" fontId="2" fillId="22" borderId="27" xfId="0" applyFont="1" applyFill="1" applyBorder="1" applyProtection="1"/>
    <xf numFmtId="0" fontId="2" fillId="22" borderId="6" xfId="0" applyFont="1" applyFill="1" applyBorder="1" applyAlignment="1" applyProtection="1">
      <alignment horizontal="left"/>
    </xf>
    <xf numFmtId="0" fontId="2" fillId="0" borderId="0" xfId="0" applyFont="1" applyFill="1" applyProtection="1"/>
    <xf numFmtId="0" fontId="2" fillId="0" borderId="9" xfId="0" applyNumberFormat="1" applyFont="1" applyFill="1" applyBorder="1" applyProtection="1"/>
    <xf numFmtId="0" fontId="2" fillId="21" borderId="10" xfId="0" applyFont="1" applyFill="1" applyBorder="1" applyAlignment="1" applyProtection="1"/>
    <xf numFmtId="0" fontId="2" fillId="21" borderId="19" xfId="0" applyFont="1" applyFill="1" applyBorder="1" applyAlignme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9" borderId="19" xfId="0" applyFont="1" applyFill="1" applyBorder="1" applyAlignment="1" applyProtection="1"/>
    <xf numFmtId="4" fontId="2" fillId="11" borderId="9" xfId="0" applyNumberFormat="1" applyFont="1" applyFill="1" applyBorder="1" applyAlignment="1" applyProtection="1">
      <alignment horizontal="right"/>
      <protection locked="0"/>
    </xf>
    <xf numFmtId="165" fontId="2" fillId="24" borderId="8" xfId="0" applyNumberFormat="1" applyFont="1" applyFill="1" applyBorder="1" applyAlignment="1" applyProtection="1">
      <alignment horizontal="right"/>
    </xf>
    <xf numFmtId="165" fontId="2" fillId="24" borderId="20" xfId="0" applyNumberFormat="1" applyFont="1" applyFill="1" applyBorder="1" applyAlignment="1" applyProtection="1">
      <alignment horizontal="right"/>
    </xf>
    <xf numFmtId="0" fontId="2" fillId="22" borderId="6" xfId="0" applyFont="1" applyFill="1" applyBorder="1" applyProtection="1"/>
    <xf numFmtId="0" fontId="2" fillId="0" borderId="7" xfId="0" applyFont="1" applyBorder="1" applyProtection="1"/>
    <xf numFmtId="0" fontId="2" fillId="0" borderId="0" xfId="0" applyFont="1" applyFill="1" applyBorder="1" applyProtection="1"/>
    <xf numFmtId="0" fontId="2" fillId="24" borderId="0" xfId="0" quotePrefix="1" applyFont="1" applyFill="1" applyBorder="1" applyAlignment="1" applyProtection="1"/>
    <xf numFmtId="0" fontId="55" fillId="0" borderId="0" xfId="15" applyFont="1" applyFill="1" applyBorder="1" applyAlignment="1" applyProtection="1">
      <alignment vertical="center"/>
    </xf>
    <xf numFmtId="0" fontId="2" fillId="9" borderId="0" xfId="0" applyFont="1" applyFill="1" applyProtection="1"/>
    <xf numFmtId="0" fontId="2" fillId="9" borderId="6" xfId="0" applyFont="1" applyFill="1" applyBorder="1" applyProtection="1"/>
    <xf numFmtId="0" fontId="2" fillId="0" borderId="7" xfId="0" applyFont="1" applyBorder="1" applyAlignment="1" applyProtection="1"/>
    <xf numFmtId="0" fontId="2" fillId="11" borderId="9" xfId="0" applyFont="1" applyFill="1" applyBorder="1" applyAlignment="1" applyProtection="1">
      <alignment horizontal="right"/>
      <protection locked="0"/>
    </xf>
    <xf numFmtId="0" fontId="2" fillId="9" borderId="8" xfId="0" applyFont="1" applyFill="1" applyBorder="1" applyProtection="1"/>
    <xf numFmtId="0" fontId="2" fillId="0" borderId="9" xfId="0" applyFont="1" applyBorder="1" applyAlignment="1" applyProtection="1"/>
    <xf numFmtId="0" fontId="2" fillId="0" borderId="10" xfId="0" applyFont="1" applyFill="1" applyBorder="1" applyAlignment="1" applyProtection="1">
      <alignment horizontal="right"/>
    </xf>
    <xf numFmtId="0" fontId="2" fillId="9" borderId="21" xfId="0" applyFont="1" applyFill="1" applyBorder="1" applyProtection="1"/>
    <xf numFmtId="0" fontId="2" fillId="9" borderId="0" xfId="0" applyFont="1" applyFill="1" applyAlignment="1" applyProtection="1"/>
    <xf numFmtId="0" fontId="2" fillId="0" borderId="11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9" borderId="6" xfId="0" applyFont="1" applyFill="1" applyBorder="1" applyAlignment="1" applyProtection="1"/>
    <xf numFmtId="166" fontId="2" fillId="20" borderId="25" xfId="0" applyNumberFormat="1" applyFont="1" applyFill="1" applyBorder="1" applyAlignment="1" applyProtection="1">
      <protection locked="0"/>
    </xf>
    <xf numFmtId="166" fontId="2" fillId="20" borderId="8" xfId="0" applyNumberFormat="1" applyFont="1" applyFill="1" applyBorder="1" applyAlignment="1" applyProtection="1"/>
    <xf numFmtId="3" fontId="2" fillId="20" borderId="25" xfId="0" applyNumberFormat="1" applyFont="1" applyFill="1" applyBorder="1" applyAlignment="1" applyProtection="1">
      <protection locked="0"/>
    </xf>
    <xf numFmtId="3" fontId="2" fillId="20" borderId="8" xfId="0" applyNumberFormat="1" applyFont="1" applyFill="1" applyBorder="1" applyAlignment="1" applyProtection="1"/>
    <xf numFmtId="3" fontId="2" fillId="11" borderId="9" xfId="0" applyNumberFormat="1" applyFont="1" applyFill="1" applyBorder="1" applyAlignment="1" applyProtection="1">
      <alignment horizontal="right"/>
      <protection locked="0"/>
    </xf>
    <xf numFmtId="3" fontId="2" fillId="9" borderId="9" xfId="0" applyNumberFormat="1" applyFont="1" applyFill="1" applyBorder="1" applyAlignment="1" applyProtection="1">
      <alignment horizontal="right"/>
    </xf>
    <xf numFmtId="166" fontId="2" fillId="11" borderId="25" xfId="0" applyNumberFormat="1" applyFont="1" applyFill="1" applyBorder="1" applyAlignment="1" applyProtection="1">
      <protection locked="0"/>
    </xf>
    <xf numFmtId="166" fontId="2" fillId="11" borderId="8" xfId="0" applyNumberFormat="1" applyFont="1" applyFill="1" applyBorder="1" applyAlignment="1" applyProtection="1"/>
    <xf numFmtId="4" fontId="2" fillId="11" borderId="25" xfId="0" applyNumberFormat="1" applyFont="1" applyFill="1" applyBorder="1" applyAlignment="1" applyProtection="1">
      <protection locked="0"/>
    </xf>
    <xf numFmtId="4" fontId="2" fillId="11" borderId="8" xfId="0" applyNumberFormat="1" applyFont="1" applyFill="1" applyBorder="1" applyAlignment="1" applyProtection="1"/>
    <xf numFmtId="165" fontId="2" fillId="11" borderId="25" xfId="0" applyNumberFormat="1" applyFont="1" applyFill="1" applyBorder="1" applyAlignment="1" applyProtection="1">
      <protection locked="0"/>
    </xf>
    <xf numFmtId="3" fontId="2" fillId="0" borderId="0" xfId="0" applyNumberFormat="1" applyFont="1" applyBorder="1" applyAlignment="1" applyProtection="1">
      <alignment vertical="center"/>
    </xf>
    <xf numFmtId="0" fontId="2" fillId="20" borderId="8" xfId="0" applyNumberFormat="1" applyFont="1" applyFill="1" applyBorder="1" applyAlignment="1" applyProtection="1"/>
    <xf numFmtId="0" fontId="2" fillId="0" borderId="0" xfId="0" quotePrefix="1" applyFont="1" applyFill="1" applyBorder="1" applyAlignment="1" applyProtection="1"/>
    <xf numFmtId="0" fontId="2" fillId="23" borderId="0" xfId="0" applyFont="1" applyFill="1" applyAlignment="1" applyProtection="1"/>
    <xf numFmtId="0" fontId="2" fillId="24" borderId="0" xfId="0" applyFont="1" applyFill="1" applyAlignment="1" applyProtection="1"/>
    <xf numFmtId="0" fontId="2" fillId="0" borderId="0" xfId="0" applyFont="1" applyFill="1" applyAlignment="1" applyProtection="1"/>
    <xf numFmtId="0" fontId="2" fillId="0" borderId="0" xfId="0" applyFont="1" applyAlignment="1" applyProtection="1">
      <alignment horizontal="left" vertical="center"/>
    </xf>
    <xf numFmtId="0" fontId="2" fillId="0" borderId="10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2" fillId="14" borderId="6" xfId="0" applyFont="1" applyFill="1" applyBorder="1" applyAlignment="1" applyProtection="1">
      <alignment horizontal="right" vertical="center"/>
    </xf>
    <xf numFmtId="0" fontId="2" fillId="4" borderId="12" xfId="0" applyFont="1" applyFill="1" applyBorder="1" applyAlignment="1" applyProtection="1">
      <alignment vertical="center"/>
    </xf>
    <xf numFmtId="0" fontId="2" fillId="4" borderId="3" xfId="0" applyFont="1" applyFill="1" applyBorder="1" applyAlignment="1" applyProtection="1">
      <alignment horizontal="left" vertical="center"/>
    </xf>
    <xf numFmtId="0" fontId="2" fillId="4" borderId="2" xfId="0" applyFont="1" applyFill="1" applyBorder="1" applyAlignment="1" applyProtection="1">
      <alignment horizontal="right" vertical="center"/>
    </xf>
    <xf numFmtId="0" fontId="2" fillId="4" borderId="0" xfId="0" applyFont="1" applyFill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vertical="center"/>
    </xf>
    <xf numFmtId="2" fontId="2" fillId="16" borderId="5" xfId="0" applyNumberFormat="1" applyFont="1" applyFill="1" applyBorder="1" applyAlignment="1" applyProtection="1">
      <alignment horizontal="right" vertical="center"/>
    </xf>
    <xf numFmtId="0" fontId="2" fillId="16" borderId="5" xfId="0" applyFont="1" applyFill="1" applyBorder="1" applyAlignment="1" applyProtection="1">
      <alignment horizontal="right" vertical="center"/>
    </xf>
    <xf numFmtId="0" fontId="2" fillId="17" borderId="5" xfId="0" applyFont="1" applyFill="1" applyBorder="1" applyAlignment="1" applyProtection="1">
      <alignment vertical="center"/>
    </xf>
    <xf numFmtId="0" fontId="2" fillId="0" borderId="0" xfId="0" applyNumberFormat="1" applyFont="1" applyAlignment="1" applyProtection="1">
      <alignment vertical="center"/>
    </xf>
    <xf numFmtId="0" fontId="2" fillId="18" borderId="5" xfId="0" applyFont="1" applyFill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2" fillId="22" borderId="0" xfId="0" applyFont="1" applyFill="1" applyBorder="1" applyAlignment="1" applyProtection="1">
      <alignment vertical="center"/>
    </xf>
    <xf numFmtId="0" fontId="2" fillId="22" borderId="0" xfId="0" applyFont="1" applyFill="1" applyAlignment="1" applyProtection="1">
      <alignment vertical="center"/>
    </xf>
    <xf numFmtId="0" fontId="57" fillId="22" borderId="0" xfId="15" applyFont="1" applyFill="1"/>
    <xf numFmtId="0" fontId="2" fillId="9" borderId="14" xfId="0" applyFont="1" applyFill="1" applyBorder="1" applyAlignment="1" applyProtection="1"/>
    <xf numFmtId="0" fontId="2" fillId="0" borderId="13" xfId="0" applyFont="1" applyFill="1" applyBorder="1" applyAlignment="1" applyProtection="1">
      <alignment vertical="center"/>
    </xf>
    <xf numFmtId="0" fontId="2" fillId="22" borderId="0" xfId="0" applyFont="1" applyFill="1" applyAlignment="1" applyProtection="1">
      <alignment horizontal="left" vertical="center"/>
    </xf>
    <xf numFmtId="0" fontId="2" fillId="9" borderId="0" xfId="0" applyFont="1" applyFill="1" applyBorder="1" applyAlignment="1" applyProtection="1">
      <alignment vertical="center"/>
    </xf>
    <xf numFmtId="0" fontId="2" fillId="17" borderId="15" xfId="0" applyFont="1" applyFill="1" applyBorder="1" applyAlignment="1" applyProtection="1">
      <alignment vertical="center"/>
    </xf>
    <xf numFmtId="0" fontId="2" fillId="9" borderId="14" xfId="0" applyFont="1" applyFill="1" applyBorder="1" applyAlignment="1" applyProtection="1">
      <alignment vertical="center"/>
    </xf>
    <xf numFmtId="0" fontId="2" fillId="0" borderId="28" xfId="0" applyFont="1" applyFill="1" applyBorder="1" applyAlignment="1" applyProtection="1">
      <alignment vertical="center"/>
    </xf>
    <xf numFmtId="0" fontId="2" fillId="22" borderId="0" xfId="0" applyFont="1" applyFill="1" applyAlignment="1" applyProtection="1">
      <alignment horizontal="right"/>
    </xf>
    <xf numFmtId="0" fontId="2" fillId="17" borderId="15" xfId="0" applyNumberFormat="1" applyFont="1" applyFill="1" applyBorder="1" applyAlignment="1" applyProtection="1">
      <alignment vertical="center"/>
    </xf>
    <xf numFmtId="3" fontId="2" fillId="17" borderId="7" xfId="0" applyNumberFormat="1" applyFont="1" applyFill="1" applyBorder="1" applyAlignment="1" applyProtection="1">
      <alignment vertical="center"/>
    </xf>
    <xf numFmtId="0" fontId="2" fillId="0" borderId="15" xfId="0" applyFont="1" applyBorder="1" applyAlignment="1" applyProtection="1">
      <alignment horizontal="left" vertical="center"/>
    </xf>
    <xf numFmtId="0" fontId="2" fillId="19" borderId="16" xfId="0" applyFont="1" applyFill="1" applyBorder="1" applyAlignment="1" applyProtection="1">
      <alignment horizontal="right" vertical="center"/>
    </xf>
    <xf numFmtId="0" fontId="2" fillId="19" borderId="0" xfId="0" applyFont="1" applyFill="1" applyBorder="1" applyAlignment="1" applyProtection="1">
      <alignment horizontal="right" vertical="center"/>
    </xf>
    <xf numFmtId="0" fontId="2" fillId="0" borderId="0" xfId="0" quotePrefix="1" applyFont="1" applyBorder="1" applyAlignment="1" applyProtection="1">
      <alignment vertical="center"/>
    </xf>
    <xf numFmtId="0" fontId="2" fillId="0" borderId="16" xfId="0" applyFont="1" applyBorder="1" applyAlignment="1" applyProtection="1">
      <alignment horizontal="left" vertical="center"/>
    </xf>
    <xf numFmtId="0" fontId="2" fillId="19" borderId="3" xfId="0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2" fillId="0" borderId="14" xfId="0" quotePrefix="1" applyFont="1" applyBorder="1" applyAlignment="1" applyProtection="1">
      <alignment vertical="center"/>
    </xf>
    <xf numFmtId="0" fontId="2" fillId="0" borderId="14" xfId="0" applyFont="1" applyBorder="1" applyAlignment="1" applyProtection="1"/>
    <xf numFmtId="0" fontId="2" fillId="0" borderId="12" xfId="0" applyFont="1" applyBorder="1" applyAlignment="1" applyProtection="1"/>
    <xf numFmtId="3" fontId="2" fillId="5" borderId="5" xfId="0" applyNumberFormat="1" applyFont="1" applyFill="1" applyBorder="1" applyAlignment="1" applyProtection="1">
      <alignment vertical="center"/>
    </xf>
    <xf numFmtId="0" fontId="2" fillId="0" borderId="0" xfId="0" quotePrefix="1" applyFont="1" applyAlignment="1" applyProtection="1">
      <alignment vertical="center"/>
    </xf>
    <xf numFmtId="0" fontId="2" fillId="0" borderId="5" xfId="0" quotePrefix="1" applyFont="1" applyBorder="1" applyAlignment="1" applyProtection="1">
      <alignment horizontal="left" vertical="center"/>
    </xf>
    <xf numFmtId="165" fontId="2" fillId="15" borderId="4" xfId="0" applyNumberFormat="1" applyFont="1" applyFill="1" applyBorder="1" applyAlignment="1" applyProtection="1">
      <alignment horizontal="right" vertical="center"/>
    </xf>
    <xf numFmtId="165" fontId="2" fillId="15" borderId="0" xfId="0" applyNumberFormat="1" applyFont="1" applyFill="1" applyBorder="1" applyAlignment="1" applyProtection="1">
      <alignment horizontal="right" vertical="center"/>
    </xf>
    <xf numFmtId="165" fontId="2" fillId="5" borderId="5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vertical="center" wrapText="1"/>
    </xf>
    <xf numFmtId="0" fontId="57" fillId="0" borderId="0" xfId="15" applyFont="1" applyAlignment="1" applyProtection="1">
      <alignment vertical="center"/>
    </xf>
    <xf numFmtId="0" fontId="33" fillId="0" borderId="0" xfId="0" applyFont="1" applyAlignment="1"/>
    <xf numFmtId="0" fontId="33" fillId="24" borderId="0" xfId="0" applyFont="1" applyFill="1" applyAlignment="1" applyProtection="1">
      <alignment horizontal="right"/>
    </xf>
    <xf numFmtId="0" fontId="21" fillId="0" borderId="0" xfId="0" applyFont="1" applyAlignment="1" applyProtection="1"/>
    <xf numFmtId="3" fontId="2" fillId="0" borderId="0" xfId="0" applyNumberFormat="1" applyFont="1" applyAlignment="1" applyProtection="1"/>
    <xf numFmtId="3" fontId="2" fillId="0" borderId="0" xfId="0" applyNumberFormat="1" applyFont="1" applyBorder="1" applyAlignment="1" applyProtection="1"/>
    <xf numFmtId="0" fontId="18" fillId="0" borderId="0" xfId="15" applyAlignment="1" applyProtection="1">
      <alignment horizontal="center"/>
      <protection locked="0"/>
    </xf>
  </cellXfs>
  <cellStyles count="19">
    <cellStyle name="Accent" xfId="7"/>
    <cellStyle name="Accent 1" xfId="8"/>
    <cellStyle name="Accent 2" xfId="9"/>
    <cellStyle name="Accent 3" xfId="10"/>
    <cellStyle name="Bad" xfId="4" builtinId="27" customBuiltin="1"/>
    <cellStyle name="Error" xfId="11"/>
    <cellStyle name="Excel Built-in Normal" xfId="12"/>
    <cellStyle name="Footnote" xfId="13"/>
    <cellStyle name="Good" xfId="3" builtinId="26" customBuiltin="1"/>
    <cellStyle name="Heading" xfId="14"/>
    <cellStyle name="Heading 1" xfId="1" builtinId="16" customBuiltin="1"/>
    <cellStyle name="Heading 2" xfId="2" builtinId="17" customBuiltin="1"/>
    <cellStyle name="Hyperlink" xfId="15"/>
    <cellStyle name="Neutral" xfId="5" builtinId="28" customBuiltin="1"/>
    <cellStyle name="Normal" xfId="0" builtinId="0" customBuiltin="1"/>
    <cellStyle name="Note" xfId="6" builtinId="10" customBuiltin="1"/>
    <cellStyle name="Status" xfId="16"/>
    <cellStyle name="Text" xfId="17"/>
    <cellStyle name="Warning" xfId="18"/>
  </cellStyles>
  <dxfs count="6">
    <dxf>
      <font>
        <b/>
        <i/>
        <color rgb="FF0070C0"/>
      </font>
    </dxf>
    <dxf>
      <font>
        <b val="0"/>
        <i/>
        <color rgb="FF0070C0"/>
      </font>
    </dxf>
    <dxf>
      <font>
        <b val="0"/>
        <i/>
        <color rgb="FF0070C0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0F0FF"/>
      <color rgb="FFFFFFCC"/>
      <color rgb="FFFFCCCC"/>
      <color rgb="FF03257E"/>
      <color rgb="FFDA2C43"/>
      <color rgb="FFDCFFDC"/>
      <color rgb="FFFFD700"/>
      <color rgb="FFE6E6FF"/>
      <color rgb="FFC8FFC8"/>
      <color rgb="FFFF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240494</xdr:colOff>
      <xdr:row>83</xdr:row>
      <xdr:rowOff>74482</xdr:rowOff>
    </xdr:from>
    <xdr:to>
      <xdr:col>6</xdr:col>
      <xdr:colOff>898710</xdr:colOff>
      <xdr:row>89</xdr:row>
      <xdr:rowOff>47482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244" y="15457357"/>
          <a:ext cx="4715866" cy="11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u-dresden.de/ing/maschinenwesen/ifvu/ressourcen/dateien/tvu/forschungsprojekte/forschung_alt/entschwefelungsverfahren/bge_in_landw_anlagen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biogas-forum-bayern.de/media/files/0002/Entschwefelung-von-Biogas-in-landwirtschaftlichen-Biogasanlagen-2013.pdf" TargetMode="External"/><Relationship Id="rId1" Type="http://schemas.openxmlformats.org/officeDocument/2006/relationships/hyperlink" Target="https://www.teknologisk.dk/_/media/60599_Biogas%20upgrading.%20Evaluation%20of%20methods%20for%20H2S%20removal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u-dresden.de/ing/maschinenwesen/ifvu/ressourcen/dateien/tvu/forschungsprojekte/forschung_alt/entschwefelungsverfahren/bge_in_landw_anlagen.pdf?lang=en" TargetMode="External"/><Relationship Id="rId4" Type="http://schemas.openxmlformats.org/officeDocument/2006/relationships/hyperlink" Target="https://repositum.tuwien.at/bitstream/20.500.12708/492/2/Svardal%20Karl%20-%201991%20-%20Anaerobe%20Abwasserreinigung%20ein%20Modell%20zur%20Berechnung%20und..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7"/>
  <sheetViews>
    <sheetView showGridLines="0" tabSelected="1" zoomScaleNormal="100" workbookViewId="0">
      <selection activeCell="F18" sqref="F18"/>
    </sheetView>
  </sheetViews>
  <sheetFormatPr defaultRowHeight="15"/>
  <cols>
    <col min="1" max="1" width="1.625" style="134" customWidth="1"/>
    <col min="2" max="2" width="2.125" style="135" customWidth="1"/>
    <col min="3" max="3" width="10.125" style="135" customWidth="1"/>
    <col min="4" max="4" width="16.25" style="135" customWidth="1"/>
    <col min="5" max="5" width="0.125" style="135" customWidth="1"/>
    <col min="6" max="6" width="26.75" style="135" customWidth="1"/>
    <col min="7" max="7" width="12.625" style="135" customWidth="1"/>
    <col min="8" max="8" width="10.625" style="135" customWidth="1"/>
    <col min="9" max="9" width="0.875" style="135" customWidth="1"/>
    <col min="10" max="10" width="12.625" style="135" customWidth="1"/>
    <col min="11" max="11" width="0.125" style="135" customWidth="1"/>
    <col min="12" max="12" width="10.625" style="135" customWidth="1"/>
    <col min="13" max="13" width="0.875" style="135" customWidth="1"/>
    <col min="14" max="14" width="33" style="135" customWidth="1"/>
    <col min="15" max="16" width="7" style="135" customWidth="1"/>
    <col min="17" max="17" width="15.75" style="135" customWidth="1"/>
    <col min="18" max="18" width="12.125" style="135" customWidth="1"/>
    <col min="19" max="19" width="26.25" style="135" customWidth="1"/>
    <col min="20" max="24" width="12.625" style="135" hidden="1" customWidth="1"/>
    <col min="25" max="25" width="9" style="135" hidden="1" customWidth="1"/>
    <col min="26" max="26" width="24.875" style="135" hidden="1" customWidth="1"/>
    <col min="27" max="28" width="10.875" style="135" hidden="1" customWidth="1"/>
    <col min="29" max="30" width="3.25" style="135" hidden="1" customWidth="1"/>
    <col min="31" max="31" width="9" style="135" hidden="1" customWidth="1"/>
    <col min="32" max="32" width="26.125" style="135" hidden="1" customWidth="1"/>
    <col min="33" max="34" width="10.875" style="135" hidden="1" customWidth="1"/>
    <col min="35" max="35" width="9" style="135" hidden="1" customWidth="1"/>
    <col min="36" max="36" width="21.25" style="135" hidden="1" customWidth="1"/>
    <col min="37" max="38" width="10.875" style="135" hidden="1" customWidth="1"/>
    <col min="39" max="39" width="3.25" style="135" hidden="1" customWidth="1"/>
    <col min="40" max="40" width="9" style="135" hidden="1" customWidth="1"/>
    <col min="41" max="41" width="19" style="135" hidden="1" customWidth="1"/>
    <col min="42" max="44" width="9" style="135" hidden="1" customWidth="1"/>
    <col min="45" max="45" width="14.625" style="135" hidden="1" customWidth="1"/>
    <col min="46" max="48" width="9" style="135" hidden="1" customWidth="1"/>
    <col min="49" max="16384" width="9" style="135"/>
  </cols>
  <sheetData>
    <row r="1" spans="2:48" ht="9.9499999999999993" customHeight="1"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</row>
    <row r="2" spans="2:48" ht="18.75">
      <c r="B2" s="31" t="s">
        <v>100</v>
      </c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</row>
    <row r="3" spans="2:48">
      <c r="B3" s="23" t="str">
        <f xml:space="preserve"> IF(EXACT(L90, "powered by SwissBiogas.com"), "", "*** This version is not authorised by SwissBiogas.com ***")</f>
        <v/>
      </c>
    </row>
    <row r="4" spans="2:48">
      <c r="B4" s="135" t="s">
        <v>105</v>
      </c>
    </row>
    <row r="5" spans="2:48">
      <c r="B5" s="135" t="s">
        <v>101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</row>
    <row r="6" spans="2:48">
      <c r="B6" s="135" t="s">
        <v>108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2:48">
      <c r="B7" s="135" t="s">
        <v>103</v>
      </c>
      <c r="C7" s="135" t="s">
        <v>130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2:48">
      <c r="C8" s="135" t="s">
        <v>107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</row>
    <row r="9" spans="2:48">
      <c r="B9" s="135" t="s">
        <v>103</v>
      </c>
      <c r="C9" s="135" t="s">
        <v>175</v>
      </c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2:48">
      <c r="C10" s="135" t="s">
        <v>176</v>
      </c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2:48">
      <c r="C11" s="135" t="s">
        <v>106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</row>
    <row r="12" spans="2:48">
      <c r="B12" s="135" t="s">
        <v>103</v>
      </c>
      <c r="C12" s="135" t="s">
        <v>131</v>
      </c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T12" s="138" t="s">
        <v>169</v>
      </c>
      <c r="U12" s="139" t="s">
        <v>19</v>
      </c>
      <c r="V12" s="140"/>
    </row>
    <row r="13" spans="2:48">
      <c r="C13" s="135" t="s">
        <v>177</v>
      </c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T13" s="141" t="s">
        <v>170</v>
      </c>
      <c r="U13" s="142" t="s">
        <v>79</v>
      </c>
      <c r="V13" s="143"/>
    </row>
    <row r="14" spans="2:48">
      <c r="C14" s="135" t="s">
        <v>178</v>
      </c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</row>
    <row r="15" spans="2:48">
      <c r="B15" s="144"/>
      <c r="C15" s="144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4"/>
      <c r="P15" s="144"/>
      <c r="Q15" s="144"/>
      <c r="R15" s="144"/>
      <c r="S15" s="144"/>
      <c r="T15" s="22" t="s">
        <v>155</v>
      </c>
    </row>
    <row r="16" spans="2:48"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7" t="s">
        <v>92</v>
      </c>
      <c r="U16" s="148" t="s">
        <v>122</v>
      </c>
      <c r="V16" s="149">
        <f xml:space="preserve"> IF(NOT(ISERR(G30)), IF(AND(ISNUMBER(G30), G30 &gt; 0), G30, 0), 0)</f>
        <v>2.7500010000000001</v>
      </c>
      <c r="W16" s="148" t="s">
        <v>123</v>
      </c>
      <c r="X16" s="150">
        <f xml:space="preserve"> IF(NOT(ISERR(G30)), IF(ISNUMBER(G30), basis!D22, 0), 0)</f>
        <v>2</v>
      </c>
    </row>
    <row r="17" spans="1:24" ht="15" customHeight="1">
      <c r="B17" s="113" t="s">
        <v>98</v>
      </c>
      <c r="C17" s="113" t="s">
        <v>99</v>
      </c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38" t="s">
        <v>114</v>
      </c>
      <c r="U17" s="151" t="s">
        <v>109</v>
      </c>
      <c r="V17" s="152" t="s">
        <v>110</v>
      </c>
      <c r="W17" s="151" t="s">
        <v>111</v>
      </c>
      <c r="X17" s="153" t="s">
        <v>112</v>
      </c>
    </row>
    <row r="18" spans="1:24" s="154" customFormat="1" ht="15" customHeight="1">
      <c r="A18" s="134"/>
      <c r="C18" s="22" t="s">
        <v>253</v>
      </c>
      <c r="D18" s="22"/>
      <c r="E18" s="22"/>
      <c r="F18" s="155" t="s">
        <v>232</v>
      </c>
      <c r="G18" s="39" t="str">
        <f xml:space="preserve"> IF(OR(F18 = "", F18 = " ", F18 = "  "), "Your Additive", F18)</f>
        <v>Your_De-Sulph</v>
      </c>
      <c r="H18" s="40"/>
      <c r="J18" s="41" t="str">
        <f xml:space="preserve"> U13</f>
        <v>SBGx by SwissBiogas.com</v>
      </c>
      <c r="K18" s="41"/>
      <c r="L18" s="156"/>
      <c r="T18" s="157" t="s">
        <v>115</v>
      </c>
      <c r="U18" s="158">
        <f xml:space="preserve"> IF(ISERR(G20), 0, IF(AND(ISNUMBER(G20), G20 &gt; 0), G20 * basis!E8 / 100 * (100 - $V$16) / 100, 0))</f>
        <v>0</v>
      </c>
      <c r="V18" s="159">
        <v>0</v>
      </c>
      <c r="W18" s="158">
        <f xml:space="preserve"> IF(J20 &gt; 0, J20 * basis!E8 / 100 * (100 - X16) / 100, 0)</f>
        <v>31.856750727962098</v>
      </c>
      <c r="X18" s="160">
        <v>0</v>
      </c>
    </row>
    <row r="19" spans="1:24" ht="15" customHeight="1">
      <c r="A19" s="161"/>
      <c r="C19" s="49" t="s">
        <v>94</v>
      </c>
      <c r="D19" s="50" t="s">
        <v>128</v>
      </c>
      <c r="E19" s="50"/>
      <c r="F19" s="49" t="s">
        <v>129</v>
      </c>
      <c r="G19" s="51" t="s">
        <v>173</v>
      </c>
      <c r="H19" s="52" t="s">
        <v>26</v>
      </c>
      <c r="I19" s="53"/>
      <c r="J19" s="54" t="s">
        <v>217</v>
      </c>
      <c r="K19" s="98"/>
      <c r="L19" s="99" t="s">
        <v>26</v>
      </c>
      <c r="M19" s="48"/>
      <c r="T19" s="157" t="s">
        <v>116</v>
      </c>
      <c r="U19" s="158">
        <v>0</v>
      </c>
      <c r="V19" s="159">
        <f xml:space="preserve"> IF(ISERR(G21), 0, IF(AND(ISNUMBER(G21), G21 &gt; 0), G21 * basis!E9 / 100 * (100 - $V$16) / 100, 0))</f>
        <v>0</v>
      </c>
      <c r="W19" s="158">
        <v>0</v>
      </c>
      <c r="X19" s="160">
        <f xml:space="preserve"> IF(J21 &gt; 0, J21 * basis!E9 / 100 * (100 - X16) / 100, 0)</f>
        <v>30.24833460456064</v>
      </c>
    </row>
    <row r="20" spans="1:24" ht="15" customHeight="1">
      <c r="C20" s="162" t="s">
        <v>5</v>
      </c>
      <c r="D20" s="46" t="str">
        <f xml:space="preserve"> IF(OR(H20 &gt; 0, J20 &gt; 0), "Fe²⁺, ""ferrous""", "")</f>
        <v>Fe²⁺, "ferrous"</v>
      </c>
      <c r="E20" s="46"/>
      <c r="F20" s="163" t="str">
        <f xml:space="preserve"> IF(OR(H20 &gt; 0, J20 &gt; 0), "Iron(II) oxide", "")</f>
        <v>Iron(II) oxide</v>
      </c>
      <c r="G20" s="164"/>
      <c r="H20" s="45">
        <f t="shared" ref="H20:H28" si="0" xml:space="preserve"> SUM(U18:V18)</f>
        <v>0</v>
      </c>
      <c r="J20" s="165">
        <f xml:space="preserve"> basis!B22</f>
        <v>41.82</v>
      </c>
      <c r="K20" s="166"/>
      <c r="L20" s="100">
        <f t="shared" ref="L20:L28" si="1" xml:space="preserve"> SUM(W18:X18)</f>
        <v>31.856750727962098</v>
      </c>
      <c r="M20" s="30"/>
      <c r="N20" s="125" t="str">
        <f xml:space="preserve"> IF(ISERR(AND(MOD(G20 * 1000000, 100) &gt; 0.99, MOD(G20 * 1000000, 100) &lt; 1.01)), "", IF(AND(MOD(G20 * 1000000, 100) &gt; 0.99, MOD(G20 * 1000000, 100) &lt; 1.01), "← " &amp; TEXT(G20, "0.00") &amp; ": Example - Delete or replace with your own additive's value", ""))</f>
        <v/>
      </c>
      <c r="T20" s="157" t="s">
        <v>113</v>
      </c>
      <c r="U20" s="158">
        <f xml:space="preserve"> IF(ISERR(G22), 0, IF(AND(ISNUMBER(G22), G22 &gt; 0), G22 / 3 * basis!E10 / 100 * (100 - $V$16) / 100, 0))</f>
        <v>0</v>
      </c>
      <c r="V20" s="159">
        <f xml:space="preserve"> IF(ISERR(G22), 0, IF(AND(ISNUMBER(G22), G22 &gt; 0), G22 * 2 / 3 * basis!E10 / 100 * (100 - $V$16) / 100, 0))</f>
        <v>0</v>
      </c>
      <c r="W20" s="158">
        <f xml:space="preserve"> IF(J22 &gt; 0, J22 / 3 * basis!E10 / 100 * (100 - X16) / 100, 0)</f>
        <v>0</v>
      </c>
      <c r="X20" s="160">
        <f xml:space="preserve"> IF(J22 &gt; 0, J22 * 2 / 3 * basis!E10 / 100 * (100 - X16) / 100, 0)</f>
        <v>0</v>
      </c>
    </row>
    <row r="21" spans="1:24" ht="15" customHeight="1">
      <c r="C21" s="162" t="s">
        <v>27</v>
      </c>
      <c r="D21" s="46" t="str">
        <f xml:space="preserve"> IF(OR(H21 &gt; 0, J21 &gt; 0), "Fe³⁺, ""ferric""", "")</f>
        <v>Fe³⁺, "ferric"</v>
      </c>
      <c r="E21" s="46"/>
      <c r="F21" s="163" t="str">
        <f xml:space="preserve"> IF(OR(H21 &gt; 0, J21 &gt; 0), "Iron(III) oxide", "")</f>
        <v>Iron(III) oxide</v>
      </c>
      <c r="G21" s="164"/>
      <c r="H21" s="45">
        <f t="shared" si="0"/>
        <v>0</v>
      </c>
      <c r="J21" s="167">
        <f xml:space="preserve"> basis!C22</f>
        <v>44.13</v>
      </c>
      <c r="K21" s="168"/>
      <c r="L21" s="100">
        <f t="shared" si="1"/>
        <v>30.24833460456064</v>
      </c>
      <c r="M21" s="30"/>
      <c r="N21" s="125" t="str">
        <f t="shared" ref="N21:N30" si="2" xml:space="preserve"> IF(ISERR(AND(MOD(G21 * 1000000, 100) &gt; 0.99, MOD(G21 * 1000000, 100) &lt; 1.01)), "", IF(AND(MOD(G21 * 1000000, 100) &gt; 0.99, MOD(G21 * 1000000, 100) &lt; 1.01), "← " &amp; TEXT(G21, "0.00") &amp; ": Example - Delete or replace with your own additive's value", ""))</f>
        <v/>
      </c>
      <c r="T21" s="157" t="s">
        <v>115</v>
      </c>
      <c r="U21" s="158">
        <f xml:space="preserve"> IF(ISERR(G23), 0, IF(AND(ISNUMBER(G23), G23 &gt; 0), G23 * basis!E11 / 100 * (100 - $V$16) / 100, 0))</f>
        <v>0</v>
      </c>
      <c r="V21" s="159">
        <v>0</v>
      </c>
      <c r="W21" s="158">
        <f xml:space="preserve"> IF(J23 &gt; 0, J23 * basis!E11 / 100 * (100 - X16) / 100, 0)</f>
        <v>0</v>
      </c>
      <c r="X21" s="160">
        <v>0</v>
      </c>
    </row>
    <row r="22" spans="1:24" ht="15" customHeight="1">
      <c r="C22" s="163" t="s">
        <v>28</v>
      </c>
      <c r="D22" s="46" t="str">
        <f xml:space="preserve"> IF(OR(H22 &gt; 0, J22 &gt; 0), "⅓ Fe²⁺ + ⅔ Fe³⁺", "")</f>
        <v/>
      </c>
      <c r="E22" s="46"/>
      <c r="F22" s="163" t="str">
        <f xml:space="preserve"> IF(OR(H22 &gt; 0, J22 &gt; 0), "Iron(II,III) oxide", "")</f>
        <v/>
      </c>
      <c r="G22" s="164"/>
      <c r="H22" s="45">
        <f t="shared" si="0"/>
        <v>0</v>
      </c>
      <c r="J22" s="169"/>
      <c r="K22" s="170"/>
      <c r="L22" s="100">
        <f t="shared" si="1"/>
        <v>0</v>
      </c>
      <c r="M22" s="30"/>
      <c r="N22" s="125" t="str">
        <f t="shared" si="2"/>
        <v/>
      </c>
      <c r="T22" s="157" t="s">
        <v>116</v>
      </c>
      <c r="U22" s="158">
        <v>0</v>
      </c>
      <c r="V22" s="159">
        <f xml:space="preserve"> IF(ISERR(G24), 0, IF(AND(ISNUMBER(G24), G24 &gt; 0), G24 * basis!E12 / 100 * (100 - $V$16) / 100, 0))</f>
        <v>0</v>
      </c>
      <c r="W22" s="158">
        <v>0</v>
      </c>
      <c r="X22" s="160">
        <f xml:space="preserve"> IF(J24 &gt; 0, J24 * basis!E12 / 100 * (100 - X16) / 100, 0)</f>
        <v>0</v>
      </c>
    </row>
    <row r="23" spans="1:24" ht="15" customHeight="1">
      <c r="C23" s="163" t="s">
        <v>29</v>
      </c>
      <c r="D23" s="46" t="str">
        <f xml:space="preserve"> IF(OR(H23 &gt; 0, J23 &gt; 0), "Fe²⁺, ""ferrous""", "")</f>
        <v/>
      </c>
      <c r="E23" s="46"/>
      <c r="F23" s="163" t="str">
        <f xml:space="preserve"> IF(OR(H23 &gt; 0, J23 &gt; 0), "Iron(II) chloride", "")</f>
        <v/>
      </c>
      <c r="G23" s="164"/>
      <c r="H23" s="45">
        <f t="shared" si="0"/>
        <v>0</v>
      </c>
      <c r="J23" s="169"/>
      <c r="K23" s="170"/>
      <c r="L23" s="100">
        <f t="shared" si="1"/>
        <v>0</v>
      </c>
      <c r="M23" s="30"/>
      <c r="N23" s="125" t="str">
        <f t="shared" si="2"/>
        <v/>
      </c>
      <c r="T23" s="157" t="s">
        <v>116</v>
      </c>
      <c r="U23" s="158">
        <v>0</v>
      </c>
      <c r="V23" s="159">
        <f xml:space="preserve"> IF(ISERR(G25), 0, IF(AND(ISNUMBER(G25), G25 &gt; 0), G25 * basis!E13 / 100 * (100 - $V$16) / 100, 0))</f>
        <v>44.620129848243948</v>
      </c>
      <c r="W23" s="158">
        <v>0</v>
      </c>
      <c r="X23" s="160">
        <f xml:space="preserve"> IF(J25 &gt; 0, J25 * basis!E13 / 100 * (100 - X16) / 100, 0)</f>
        <v>0</v>
      </c>
    </row>
    <row r="24" spans="1:24" ht="15" customHeight="1">
      <c r="C24" s="163" t="s">
        <v>30</v>
      </c>
      <c r="D24" s="46" t="str">
        <f xml:space="preserve"> IF(OR(H24 &gt; 0, J24 &gt; 0), "Fe³⁺, ""ferric""", "")</f>
        <v/>
      </c>
      <c r="E24" s="46"/>
      <c r="F24" s="163" t="str">
        <f xml:space="preserve"> IF(OR(H24 &gt; 0, J24 &gt; 0), "Iron(III) chloride", "")</f>
        <v/>
      </c>
      <c r="G24" s="164"/>
      <c r="H24" s="45">
        <f t="shared" si="0"/>
        <v>0</v>
      </c>
      <c r="J24" s="169"/>
      <c r="K24" s="170"/>
      <c r="L24" s="100">
        <f t="shared" si="1"/>
        <v>0</v>
      </c>
      <c r="M24" s="30"/>
      <c r="N24" s="125" t="str">
        <f t="shared" si="2"/>
        <v/>
      </c>
      <c r="T24" s="157" t="s">
        <v>115</v>
      </c>
      <c r="U24" s="158">
        <f xml:space="preserve"> IF(ISERR(G26), 0, IF(AND(ISNUMBER(G26), G26 &gt; 0), G26 * basis!E14 / 100 * (100 - $V$16) / 100, 0))</f>
        <v>0</v>
      </c>
      <c r="V24" s="159">
        <v>0</v>
      </c>
      <c r="W24" s="158">
        <f xml:space="preserve"> IF(J26 &gt; 0, J26 * basis!E14 / 100 * (100 - X16) / 100, 0)</f>
        <v>0</v>
      </c>
      <c r="X24" s="160">
        <v>0</v>
      </c>
    </row>
    <row r="25" spans="1:24" ht="15" customHeight="1">
      <c r="C25" s="163" t="s">
        <v>15</v>
      </c>
      <c r="D25" s="46" t="str">
        <f xml:space="preserve"> IF(OR(H25 &gt; 0, J25 &gt; 0), "Fe³⁺, ""ferric""", "")</f>
        <v>Fe³⁺, "ferric"</v>
      </c>
      <c r="E25" s="46"/>
      <c r="F25" s="163" t="str">
        <f xml:space="preserve"> IF(OR(H25 &gt; 0, J25 &gt; 0), "Iron(III) oxide-hydroxide", "")</f>
        <v>Iron(III) oxide-hydroxide</v>
      </c>
      <c r="G25" s="171">
        <v>73.000000999999997</v>
      </c>
      <c r="H25" s="45">
        <f t="shared" si="0"/>
        <v>44.620129848243948</v>
      </c>
      <c r="J25" s="169"/>
      <c r="K25" s="170"/>
      <c r="L25" s="100">
        <f t="shared" si="1"/>
        <v>0</v>
      </c>
      <c r="M25" s="30"/>
      <c r="N25" s="125" t="str">
        <f t="shared" si="2"/>
        <v>← 73.00: Example - Delete or replace with your own additive's value</v>
      </c>
      <c r="T25" s="157" t="s">
        <v>116</v>
      </c>
      <c r="U25" s="158">
        <v>0</v>
      </c>
      <c r="V25" s="159">
        <f xml:space="preserve"> IF(ISERR(G27), 0, IF(AND(ISNUMBER(G27), G27 &gt; 0), G27 * basis!E15 / 100 * (100 - $V$16) / 100, 0))</f>
        <v>0</v>
      </c>
      <c r="W25" s="158">
        <v>0</v>
      </c>
      <c r="X25" s="160">
        <f xml:space="preserve"> IF(J27 &gt; 0, J27 * basis!E15 / 100 * (100 - X16) / 100, 0)</f>
        <v>0</v>
      </c>
    </row>
    <row r="26" spans="1:24" ht="15" customHeight="1">
      <c r="C26" s="163" t="s">
        <v>84</v>
      </c>
      <c r="D26" s="46" t="str">
        <f xml:space="preserve"> IF(OR(H26 &gt; 0, J26 &gt; 0), "Fe²⁺, ""ferrous""", "")</f>
        <v/>
      </c>
      <c r="E26" s="46"/>
      <c r="F26" s="163" t="str">
        <f xml:space="preserve"> IF(OR(H26 &gt; 0, J26 &gt; 0), "Iron(II) hydroxide", "")</f>
        <v/>
      </c>
      <c r="G26" s="164"/>
      <c r="H26" s="45">
        <f t="shared" si="0"/>
        <v>0</v>
      </c>
      <c r="J26" s="169"/>
      <c r="K26" s="170"/>
      <c r="L26" s="100">
        <f t="shared" si="1"/>
        <v>0</v>
      </c>
      <c r="M26" s="30"/>
      <c r="N26" s="125" t="str">
        <f t="shared" si="2"/>
        <v/>
      </c>
      <c r="T26" s="157" t="s">
        <v>116</v>
      </c>
      <c r="U26" s="158">
        <v>0</v>
      </c>
      <c r="V26" s="159">
        <f xml:space="preserve"> IF(ISERR(G28), 0, IF(AND(ISNUMBER(G28), G28 &gt; 0), G28 * basis!E16 / 100 * (100 - $V$16) / 100, 0))</f>
        <v>0</v>
      </c>
      <c r="W26" s="158">
        <v>0</v>
      </c>
      <c r="X26" s="160">
        <f xml:space="preserve"> IF(J28 &gt; 0, J28 * basis!E16 / 100 * (100 - X16) / 100, 0)</f>
        <v>0</v>
      </c>
    </row>
    <row r="27" spans="1:24" s="154" customFormat="1" ht="15" customHeight="1">
      <c r="A27" s="134"/>
      <c r="C27" s="163" t="s">
        <v>31</v>
      </c>
      <c r="D27" s="46" t="str">
        <f xml:space="preserve"> IF(OR(H27 &gt; 0, J27 &gt; 0), "Fe³⁺, ""ferric""", "")</f>
        <v/>
      </c>
      <c r="E27" s="46"/>
      <c r="F27" s="163" t="str">
        <f xml:space="preserve"> IF(OR(H27 &gt; 0, J27 &gt; 0), "Iron(III) hydroxide", "")</f>
        <v/>
      </c>
      <c r="G27" s="164"/>
      <c r="H27" s="45">
        <f t="shared" si="0"/>
        <v>0</v>
      </c>
      <c r="I27" s="135"/>
      <c r="J27" s="169"/>
      <c r="K27" s="170"/>
      <c r="L27" s="100">
        <f t="shared" si="1"/>
        <v>0</v>
      </c>
      <c r="M27" s="30"/>
      <c r="N27" s="125" t="str">
        <f t="shared" si="2"/>
        <v/>
      </c>
      <c r="T27" s="141" t="s">
        <v>124</v>
      </c>
      <c r="U27" s="172">
        <f xml:space="preserve"> SUM(U18:U26)</f>
        <v>0</v>
      </c>
      <c r="V27" s="141">
        <f xml:space="preserve"> SUM(V18:V26)</f>
        <v>44.620129848243948</v>
      </c>
      <c r="W27" s="172">
        <f xml:space="preserve"> SUM(W18:W26)</f>
        <v>31.856750727962098</v>
      </c>
      <c r="X27" s="173">
        <f xml:space="preserve"> SUM(X18:X26)</f>
        <v>30.24833460456064</v>
      </c>
    </row>
    <row r="28" spans="1:24" s="154" customFormat="1" ht="15" customHeight="1">
      <c r="A28" s="134"/>
      <c r="C28" s="163" t="s">
        <v>134</v>
      </c>
      <c r="D28" s="57" t="str">
        <f xml:space="preserve"> IF(OR(H28 &gt; 0, J28 &gt; 0), "Fe³⁺, ""ferric""", "")</f>
        <v/>
      </c>
      <c r="E28" s="46"/>
      <c r="F28" s="163" t="str">
        <f xml:space="preserve"> IF(OR(H28 &gt; 0, J28 &gt; 0), "Iron(III) oxide trihydrate", "")</f>
        <v/>
      </c>
      <c r="G28" s="164"/>
      <c r="H28" s="45">
        <f t="shared" si="0"/>
        <v>0</v>
      </c>
      <c r="I28" s="135"/>
      <c r="J28" s="169"/>
      <c r="K28" s="170"/>
      <c r="L28" s="100">
        <f t="shared" si="1"/>
        <v>0</v>
      </c>
      <c r="M28" s="30"/>
      <c r="N28" s="125" t="str">
        <f t="shared" si="2"/>
        <v/>
      </c>
      <c r="T28" s="174" t="s">
        <v>121</v>
      </c>
      <c r="U28" s="175"/>
      <c r="V28" s="176">
        <f xml:space="preserve"> SUM(U18:V26)</f>
        <v>44.620129848243948</v>
      </c>
      <c r="W28" s="175"/>
      <c r="X28" s="177">
        <f xml:space="preserve"> SUM(W18:X26)</f>
        <v>62.105085332522734</v>
      </c>
    </row>
    <row r="29" spans="1:24" s="154" customFormat="1" ht="15" customHeight="1">
      <c r="A29" s="134"/>
      <c r="C29" s="178" t="s">
        <v>172</v>
      </c>
      <c r="D29" s="131"/>
      <c r="E29" s="131"/>
      <c r="F29" s="178"/>
      <c r="G29" s="179"/>
      <c r="H29" s="129" t="str">
        <f xml:space="preserve"> V30</f>
        <v>0 : 100</v>
      </c>
      <c r="I29" s="135"/>
      <c r="J29" s="169"/>
      <c r="K29" s="170"/>
      <c r="L29" s="130" t="str">
        <f xml:space="preserve"> X30</f>
        <v>51 : 49</v>
      </c>
      <c r="N29" s="122"/>
      <c r="T29" s="141" t="s">
        <v>263</v>
      </c>
      <c r="U29" s="172">
        <f xml:space="preserve"> U27 / (U27 + V27) * 100</f>
        <v>0</v>
      </c>
      <c r="V29" s="172">
        <f xml:space="preserve"> V27 / (U27 + V27) * 100</f>
        <v>100</v>
      </c>
      <c r="W29" s="172">
        <f xml:space="preserve"> W27 / (W27 + X27) * 100</f>
        <v>51.294914993506325</v>
      </c>
      <c r="X29" s="172">
        <f xml:space="preserve"> X27 / (W27 + X27) * 100</f>
        <v>48.70508500649369</v>
      </c>
    </row>
    <row r="30" spans="1:24" s="154" customFormat="1" ht="15" customHeight="1">
      <c r="A30" s="161"/>
      <c r="C30" s="180" t="s">
        <v>126</v>
      </c>
      <c r="D30" s="181"/>
      <c r="E30" s="181"/>
      <c r="F30" s="163"/>
      <c r="G30" s="182">
        <v>2.7500010000000001</v>
      </c>
      <c r="H30" s="45"/>
      <c r="I30" s="135"/>
      <c r="J30" s="169">
        <f xml:space="preserve"> IF(X16 = 0, "", X16)</f>
        <v>2</v>
      </c>
      <c r="K30" s="170"/>
      <c r="L30" s="100"/>
      <c r="M30" s="36"/>
      <c r="N30" s="125" t="str">
        <f t="shared" si="2"/>
        <v>← 2.75: Example - Delete or replace with your own additive's value</v>
      </c>
      <c r="T30" s="183" t="s">
        <v>125</v>
      </c>
      <c r="U30" s="184"/>
      <c r="V30" s="183" t="str">
        <f xml:space="preserve">
IF(U27 = 0,
    IF(V27 = 0, "0 : 0", "0 : 100"),
    IF(V27 = 0,
        "100 : 0",
        ROUND(U29, 0) &amp; " : " &amp; ROUND(V29, 0)
    )
)</f>
        <v>0 : 100</v>
      </c>
      <c r="W30" s="184"/>
      <c r="X30" s="183" t="str">
        <f xml:space="preserve">
IF(W27 = 0,
    IF(X27 = 0, "0 : 0", "0 : 100"),
    IF(X27 = 0,
        "100 : 0",
        ROUND(W29, 0) &amp; " : " &amp; ROUND(X29, 0)
    )
)</f>
        <v>51 : 49</v>
      </c>
    </row>
    <row r="31" spans="1:24" s="186" customFormat="1" ht="15" customHeight="1">
      <c r="A31" s="185"/>
      <c r="C31" s="32" t="s">
        <v>26</v>
      </c>
      <c r="D31" s="32"/>
      <c r="E31" s="32"/>
      <c r="F31" s="32"/>
      <c r="G31" s="75"/>
      <c r="H31" s="76">
        <f xml:space="preserve"> V28</f>
        <v>44.620129848243948</v>
      </c>
      <c r="I31" s="22"/>
      <c r="J31" s="77"/>
      <c r="K31" s="101"/>
      <c r="L31" s="102">
        <f xml:space="preserve"> X28</f>
        <v>62.105085332522734</v>
      </c>
      <c r="M31" s="37"/>
      <c r="N31" s="28" t="str">
        <f xml:space="preserve"> IF(X16, "Moisture(" &amp; U12 &amp; ") &lt; " &amp; TEXT(basis!E22, "0.#") &amp; "% → RIIC(" &amp; U12 &amp; ") &gt; " &amp; TEXT(X28 / (100 - basis!D22) * (100 - basis!E22), "#.00") &amp; "%", "")</f>
        <v>Moisture(SBGx) &lt; 1.7% → RIIC(SBGx) &gt; 62.30%</v>
      </c>
      <c r="O31" s="154"/>
    </row>
    <row r="32" spans="1:24" s="154" customFormat="1" ht="12.95" customHeight="1">
      <c r="A32" s="134"/>
      <c r="C32" s="71" t="s">
        <v>247</v>
      </c>
      <c r="G32" s="187"/>
      <c r="H32" s="188"/>
      <c r="J32" s="156"/>
      <c r="K32" s="156"/>
      <c r="L32" s="156"/>
      <c r="N32" s="44"/>
    </row>
    <row r="33" spans="1:48" s="154" customFormat="1" ht="12.95" customHeight="1">
      <c r="A33" s="134"/>
      <c r="C33" s="71" t="s">
        <v>248</v>
      </c>
      <c r="H33" s="189"/>
      <c r="N33" s="44"/>
    </row>
    <row r="34" spans="1:48" s="154" customFormat="1" ht="6" customHeight="1"/>
    <row r="35" spans="1:48" s="154" customFormat="1" ht="15" customHeight="1">
      <c r="C35" s="82" t="s">
        <v>95</v>
      </c>
      <c r="D35" s="83" t="str">
        <f xml:space="preserve">
IF(H31 &gt; 0,
    IF(ABS(H31 - L31) / L31 &gt;= 0.0005,
        "The RIIC of " &amp;
        IF(H31 &gt; L31, G18, U12) &amp;
        " is " &amp;
        TEXT(ABS(H31 - L31) / MIN(H31, L31) * 100, "0.0")  &amp;
        "% higher than the RIIC of " &amp;
        IF(H31 &gt; L31, U12, G18) &amp;
        ".",
        "RIIC difference &lt; 0.05%"
    ),
    ""
)</f>
        <v>The RIIC of SBGx is 39.2% higher than the RIIC of Your_De-Sulph.</v>
      </c>
      <c r="E35" s="83"/>
      <c r="F35" s="84"/>
      <c r="G35" s="84"/>
      <c r="H35" s="84"/>
      <c r="I35" s="84"/>
      <c r="J35" s="84"/>
      <c r="K35" s="84"/>
      <c r="L35" s="86" t="str">
        <f xml:space="preserve"> IF(L31 / H31 &gt; 1.09, "RIIC(" &amp; U12 &amp; ") : RIIC(" &amp; G18 &amp; ") = " &amp; TEXT(L31 / H31, "0.0") &amp; " : 1", "")</f>
        <v>RIIC(SBGx) : RIIC(Your_De-Sulph) = 1.4 : 1</v>
      </c>
      <c r="P35" s="28"/>
    </row>
    <row r="36" spans="1:48" s="154" customFormat="1" ht="6" customHeight="1"/>
    <row r="37" spans="1:48" s="154" customFormat="1" ht="15" customHeight="1">
      <c r="C37" s="135" t="s">
        <v>78</v>
      </c>
      <c r="D37" s="23"/>
      <c r="E37" s="23"/>
      <c r="F37" s="23"/>
      <c r="G37" s="135"/>
      <c r="H37" s="135"/>
      <c r="I37" s="135"/>
      <c r="J37" s="135"/>
      <c r="K37" s="135"/>
      <c r="L37" s="135"/>
      <c r="M37" s="135"/>
      <c r="N37" s="135"/>
    </row>
    <row r="38" spans="1:48" s="154" customFormat="1" ht="15" customHeight="1">
      <c r="C38" s="135" t="s">
        <v>86</v>
      </c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</row>
    <row r="39" spans="1:48" s="154" customFormat="1" ht="15" customHeight="1">
      <c r="C39" s="135" t="s">
        <v>87</v>
      </c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</row>
    <row r="40" spans="1:48" s="154" customFormat="1" ht="15" customHeight="1">
      <c r="C40" s="135" t="s">
        <v>80</v>
      </c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T40" s="22" t="s">
        <v>155</v>
      </c>
      <c r="W40" s="58" t="s">
        <v>144</v>
      </c>
      <c r="X40" s="191"/>
      <c r="Y40" s="192"/>
      <c r="Z40" s="63" t="s">
        <v>152</v>
      </c>
      <c r="AA40" s="69">
        <f xml:space="preserve"> G48</f>
        <v>0</v>
      </c>
      <c r="AB40" s="70" t="s">
        <v>135</v>
      </c>
      <c r="AC40" s="193" t="s">
        <v>165</v>
      </c>
      <c r="AD40" s="193" t="s">
        <v>195</v>
      </c>
      <c r="AF40" s="63" t="s">
        <v>153</v>
      </c>
      <c r="AG40" s="69">
        <f xml:space="preserve"> G49</f>
        <v>0</v>
      </c>
      <c r="AH40" s="70" t="s">
        <v>149</v>
      </c>
      <c r="AJ40" s="63" t="s">
        <v>154</v>
      </c>
      <c r="AK40" s="69">
        <f xml:space="preserve"> G51</f>
        <v>0</v>
      </c>
      <c r="AL40" s="70" t="s">
        <v>147</v>
      </c>
      <c r="AM40" s="193" t="s">
        <v>165</v>
      </c>
      <c r="AO40" s="64" t="s">
        <v>157</v>
      </c>
      <c r="AP40" s="65">
        <f xml:space="preserve"> AK51</f>
        <v>0</v>
      </c>
      <c r="AQ40" s="65">
        <f xml:space="preserve"> J52</f>
        <v>1300.0000010000001</v>
      </c>
      <c r="AS40" s="64" t="s">
        <v>166</v>
      </c>
      <c r="AT40" s="69">
        <f xml:space="preserve"> G54 - J54</f>
        <v>0</v>
      </c>
      <c r="AU40" s="194"/>
      <c r="AV40" s="194" t="s">
        <v>167</v>
      </c>
    </row>
    <row r="41" spans="1:48" s="154" customFormat="1" ht="15" customHeight="1">
      <c r="C41" s="135" t="s">
        <v>88</v>
      </c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W41" s="195" t="s">
        <v>145</v>
      </c>
      <c r="X41" s="196" t="s">
        <v>146</v>
      </c>
      <c r="Y41" s="192"/>
      <c r="Z41" s="163"/>
      <c r="AA41" s="197">
        <f xml:space="preserve"> IF(IFERROR(SEARCH(Z41, $F$48), 0) = 0, 0, AB41)</f>
        <v>0</v>
      </c>
      <c r="AB41" s="198">
        <v>0</v>
      </c>
      <c r="AC41" s="198">
        <v>1</v>
      </c>
      <c r="AD41" s="198"/>
      <c r="AF41" s="163"/>
      <c r="AG41" s="197">
        <f xml:space="preserve"> IF(IFERROR(SEARCH(AF41, $F$49), 0) = 0, 0, AH41)</f>
        <v>0</v>
      </c>
      <c r="AH41" s="198">
        <v>0</v>
      </c>
      <c r="AJ41" s="163"/>
      <c r="AK41" s="197">
        <f xml:space="preserve"> IF(IFERROR(SEARCH(AJ41,$F$51), 0) = 0, 0, AL41)</f>
        <v>0</v>
      </c>
      <c r="AL41" s="198">
        <v>0</v>
      </c>
      <c r="AM41" s="198">
        <v>1</v>
      </c>
      <c r="AO41" s="163"/>
      <c r="AP41" s="198">
        <f xml:space="preserve"> IF(IFERROR(SEARCH(AO41, $F$53), 0) = 0, 0, AQ41)</f>
        <v>0</v>
      </c>
      <c r="AQ41" s="198">
        <v>0</v>
      </c>
      <c r="AS41" s="163" t="s">
        <v>183</v>
      </c>
      <c r="AT41" s="199">
        <f xml:space="preserve"> IF(IFERROR(SEARCH(AS41, $L$58), 0) = 0, 0, AU41)</f>
        <v>0</v>
      </c>
      <c r="AU41" s="198">
        <f xml:space="preserve"> AT40</f>
        <v>0</v>
      </c>
      <c r="AV41" s="198" t="s">
        <v>160</v>
      </c>
    </row>
    <row r="42" spans="1:48" s="154" customFormat="1" ht="15" customHeight="1"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W42" s="59" t="s">
        <v>136</v>
      </c>
      <c r="X42" s="60" t="s">
        <v>137</v>
      </c>
      <c r="Y42" s="192"/>
      <c r="Z42" s="201" t="s">
        <v>179</v>
      </c>
      <c r="AA42" s="197">
        <f xml:space="preserve"> IF(IFERROR(SEARCH(Z42, $F$48), 0) = 0, 0, AB42)</f>
        <v>0</v>
      </c>
      <c r="AB42" s="197">
        <f xml:space="preserve"> G48</f>
        <v>0</v>
      </c>
      <c r="AC42" s="197"/>
      <c r="AD42" s="197" t="s">
        <v>196</v>
      </c>
      <c r="AF42" s="201" t="s">
        <v>187</v>
      </c>
      <c r="AG42" s="197">
        <f xml:space="preserve"> IF(IFERROR(SEARCH(AF42, $F$49), 0) = 0, 0, AH42)</f>
        <v>0</v>
      </c>
      <c r="AH42" s="197">
        <f xml:space="preserve"> G49</f>
        <v>0</v>
      </c>
      <c r="AJ42" s="163" t="s">
        <v>189</v>
      </c>
      <c r="AK42" s="197">
        <f xml:space="preserve"> IF(IFERROR(SEARCH(AJ42,$F$51), 0) = 0, 0, AL42)</f>
        <v>0</v>
      </c>
      <c r="AL42" s="198">
        <f xml:space="preserve"> G51 * 1000</f>
        <v>0</v>
      </c>
      <c r="AM42" s="198"/>
      <c r="AO42" s="201" t="s">
        <v>189</v>
      </c>
      <c r="AP42" s="198">
        <f xml:space="preserve"> IF(IFERROR(SEARCH(AO42, $F$53), 0) = 0, 0, AQ42)</f>
        <v>0</v>
      </c>
      <c r="AQ42" s="198">
        <f xml:space="preserve"> AP40 / 1000</f>
        <v>0</v>
      </c>
      <c r="AS42" s="163" t="s">
        <v>184</v>
      </c>
      <c r="AT42" s="199">
        <f xml:space="preserve"> IF(IFERROR(SEARCH(AS42, $L$58), 0) = 0, 0, AU42)</f>
        <v>0</v>
      </c>
      <c r="AU42" s="198">
        <f xml:space="preserve"> AT40 * 7</f>
        <v>0</v>
      </c>
      <c r="AV42" s="198" t="s">
        <v>161</v>
      </c>
    </row>
    <row r="43" spans="1:48" s="154" customFormat="1" ht="15" customHeight="1">
      <c r="T43" s="202" t="s">
        <v>117</v>
      </c>
      <c r="U43" s="202">
        <f xml:space="preserve"> IF(ISERR(G50), 0, IF(AND(ISNUMBER(G50), G50 &gt; 0), G50, 0))</f>
        <v>0</v>
      </c>
      <c r="W43" s="195" t="s">
        <v>138</v>
      </c>
      <c r="X43" s="196">
        <v>0.45359237000000002</v>
      </c>
      <c r="Y43" s="192"/>
      <c r="Z43" s="201" t="s">
        <v>180</v>
      </c>
      <c r="AA43" s="197">
        <f xml:space="preserve"> IF(IFERROR(SEARCH(Z43, $F$48), 0) = 0, 0, AB43)</f>
        <v>0</v>
      </c>
      <c r="AB43" s="198">
        <f xml:space="preserve"> G48 * 1000</f>
        <v>0</v>
      </c>
      <c r="AC43" s="198"/>
      <c r="AD43" s="198"/>
      <c r="AF43" s="201" t="s">
        <v>207</v>
      </c>
      <c r="AG43" s="197">
        <f t="shared" ref="AG43:AG44" si="3" xml:space="preserve"> IF(IFERROR(SEARCH(AF43, $F$49), 0) = 0, 0, AH43)</f>
        <v>0</v>
      </c>
      <c r="AH43" s="197">
        <f xml:space="preserve"> G49 * X43 / X48</f>
        <v>0</v>
      </c>
      <c r="AJ43" s="201" t="s">
        <v>190</v>
      </c>
      <c r="AK43" s="197">
        <f xml:space="preserve"> IF(IFERROR(SEARCH(AJ43,$F$51), 0) = 0, 0, AL43)</f>
        <v>0</v>
      </c>
      <c r="AL43" s="197">
        <f xml:space="preserve"> G51</f>
        <v>0</v>
      </c>
      <c r="AM43" s="197"/>
      <c r="AO43" s="201" t="s">
        <v>192</v>
      </c>
      <c r="AP43" s="198">
        <f xml:space="preserve"> IF(IFERROR(SEARCH(AO43, $F$53), 0) = 0, 0, AQ43)</f>
        <v>0</v>
      </c>
      <c r="AQ43" s="198">
        <f xml:space="preserve"> AP40 / 1000 * X43</f>
        <v>0</v>
      </c>
      <c r="AS43" s="163" t="s">
        <v>185</v>
      </c>
      <c r="AT43" s="199">
        <f xml:space="preserve"> IF(IFERROR(SEARCH(AS43, $L$58), 0) = 0, 0, AU43)</f>
        <v>0</v>
      </c>
      <c r="AU43" s="198">
        <f xml:space="preserve"> AT40 * 30</f>
        <v>0</v>
      </c>
      <c r="AV43" s="198" t="s">
        <v>162</v>
      </c>
    </row>
    <row r="44" spans="1:48" s="154" customFormat="1" ht="15" customHeight="1">
      <c r="A44" s="134"/>
      <c r="B44" s="22" t="s">
        <v>97</v>
      </c>
      <c r="C44" s="22" t="str">
        <f xml:space="preserve"> "Comparing dosages and costs between " &amp; G18 &amp; " and " &amp; U12 &amp; " for your biogas reactor, based on their respective RIICs"</f>
        <v>Comparing dosages and costs between Your_De-Sulph and SBGx for your biogas reactor, based on their respective RIICs</v>
      </c>
      <c r="H44" s="189"/>
      <c r="L44" s="189"/>
      <c r="Q44" s="120" t="s">
        <v>144</v>
      </c>
      <c r="R44" s="203"/>
      <c r="T44" s="202" t="s">
        <v>118</v>
      </c>
      <c r="U44" s="202">
        <f xml:space="preserve"> IF(ISERR(G52), 0, IF(AND(ISNUMBER(G52), G52 &gt; 0), G52, 0))</f>
        <v>0</v>
      </c>
      <c r="W44" s="195" t="s">
        <v>139</v>
      </c>
      <c r="X44" s="196">
        <v>1016.0469000000001</v>
      </c>
      <c r="Y44" s="192"/>
      <c r="Z44" s="201" t="s">
        <v>181</v>
      </c>
      <c r="AA44" s="197">
        <f t="shared" ref="AA44:AA47" si="4" xml:space="preserve"> IF(IFERROR(SEARCH(Z44, $F$48), 0) = 0, 0, AB44)</f>
        <v>0</v>
      </c>
      <c r="AB44" s="197">
        <f xml:space="preserve"> G48 * 1 * AG46</f>
        <v>0</v>
      </c>
      <c r="AC44" s="197">
        <v>1</v>
      </c>
      <c r="AD44" s="197"/>
      <c r="AF44" s="201" t="s">
        <v>188</v>
      </c>
      <c r="AG44" s="197">
        <f t="shared" si="3"/>
        <v>0</v>
      </c>
      <c r="AH44" s="197">
        <f xml:space="preserve"> G49 * X43 / X49</f>
        <v>0</v>
      </c>
      <c r="AJ44" s="201" t="s">
        <v>191</v>
      </c>
      <c r="AK44" s="197">
        <f t="shared" ref="AK44:AK49" si="5" xml:space="preserve"> IF(IFERROR(SEARCH(AJ44,$F$51), 0) = 0, 0, AL44)</f>
        <v>0</v>
      </c>
      <c r="AL44" s="197">
        <f xml:space="preserve"> IF(AG46 = 0, 0, G51 / (1 * AG46) * 1000)</f>
        <v>0</v>
      </c>
      <c r="AM44" s="197">
        <v>1</v>
      </c>
      <c r="AO44" s="201" t="s">
        <v>205</v>
      </c>
      <c r="AP44" s="198">
        <f xml:space="preserve"> IF(IFERROR(SEARCH(AO44, $F$53), 0) = 0, 0, AQ44)</f>
        <v>0</v>
      </c>
      <c r="AQ44" s="198">
        <f xml:space="preserve"> AP40 / 1000 * X44</f>
        <v>0</v>
      </c>
      <c r="AS44" s="163" t="s">
        <v>186</v>
      </c>
      <c r="AT44" s="199">
        <f xml:space="preserve"> IF(IFERROR(SEARCH(AS44, $L$58), 0) = 0, 0, AU44)</f>
        <v>0</v>
      </c>
      <c r="AU44" s="198">
        <f xml:space="preserve"> AT40 * 365</f>
        <v>0</v>
      </c>
      <c r="AV44" s="198" t="s">
        <v>164</v>
      </c>
    </row>
    <row r="45" spans="1:48" s="154" customFormat="1" ht="15" customHeight="1">
      <c r="A45" s="134"/>
      <c r="B45" s="22"/>
      <c r="C45" s="154" t="s">
        <v>242</v>
      </c>
      <c r="H45" s="189"/>
      <c r="L45" s="189"/>
      <c r="Q45" s="204" t="s">
        <v>145</v>
      </c>
      <c r="R45" s="203" t="s">
        <v>146</v>
      </c>
      <c r="T45" s="202" t="s">
        <v>119</v>
      </c>
      <c r="U45" s="202">
        <f xml:space="preserve"> IF(ISERR(J52), 0, IF(AND(ISNUMBER(J52), J52 &gt; 0), J52, 0))</f>
        <v>1300.0000010000001</v>
      </c>
      <c r="W45" s="195" t="s">
        <v>140</v>
      </c>
      <c r="X45" s="196">
        <v>907.18474000000003</v>
      </c>
      <c r="Y45" s="192"/>
      <c r="Z45" s="201" t="s">
        <v>182</v>
      </c>
      <c r="AA45" s="197">
        <f t="shared" si="4"/>
        <v>0</v>
      </c>
      <c r="AB45" s="197">
        <f xml:space="preserve"> G48 * X43</f>
        <v>0</v>
      </c>
      <c r="AC45" s="197"/>
      <c r="AD45" s="197" t="s">
        <v>197</v>
      </c>
      <c r="AJ45" s="201" t="s">
        <v>192</v>
      </c>
      <c r="AK45" s="197">
        <f t="shared" si="5"/>
        <v>0</v>
      </c>
      <c r="AL45" s="197">
        <f xml:space="preserve"> G51 / X43 * 1000</f>
        <v>0</v>
      </c>
      <c r="AM45" s="197"/>
      <c r="AO45" s="201" t="s">
        <v>204</v>
      </c>
      <c r="AP45" s="198">
        <f xml:space="preserve"> IF(IFERROR(SEARCH(AO45, $F$53), 0) = 0, 0, AQ45)</f>
        <v>0</v>
      </c>
      <c r="AQ45" s="198">
        <f xml:space="preserve"> AP40 / 1000 * X45</f>
        <v>0</v>
      </c>
    </row>
    <row r="46" spans="1:48" s="154" customFormat="1" ht="15" customHeight="1">
      <c r="A46" s="134"/>
      <c r="B46" s="22"/>
      <c r="C46" s="22" t="s">
        <v>213</v>
      </c>
      <c r="D46" s="37"/>
      <c r="E46" s="94" t="s">
        <v>216</v>
      </c>
      <c r="F46" s="205"/>
      <c r="H46" s="189"/>
      <c r="L46" s="189"/>
      <c r="P46" s="206" t="s">
        <v>241</v>
      </c>
      <c r="Q46" s="120" t="s">
        <v>136</v>
      </c>
      <c r="R46" s="121" t="s">
        <v>137</v>
      </c>
      <c r="T46" s="202" t="s">
        <v>120</v>
      </c>
      <c r="U46" s="202">
        <f xml:space="preserve"> IF(ISERR(#REF!), 0, IF(AND(ISNUMBER(#REF!),#REF! &gt; 0),#REF!, 0))</f>
        <v>0</v>
      </c>
      <c r="W46" s="195"/>
      <c r="X46" s="196"/>
      <c r="Y46" s="192"/>
      <c r="Z46" s="201" t="s">
        <v>208</v>
      </c>
      <c r="AA46" s="197">
        <f t="shared" si="4"/>
        <v>0</v>
      </c>
      <c r="AB46" s="197">
        <f xml:space="preserve"> G48 * X44</f>
        <v>0</v>
      </c>
      <c r="AC46" s="197"/>
      <c r="AD46" s="197"/>
      <c r="AF46" s="138" t="s">
        <v>150</v>
      </c>
      <c r="AG46" s="194">
        <f xml:space="preserve"> SUM(AG41:AG44)</f>
        <v>0</v>
      </c>
      <c r="AJ46" s="201" t="s">
        <v>205</v>
      </c>
      <c r="AK46" s="197">
        <f t="shared" si="5"/>
        <v>0</v>
      </c>
      <c r="AL46" s="197">
        <f xml:space="preserve"> G51 / X44 * 1000</f>
        <v>0</v>
      </c>
      <c r="AM46" s="197"/>
      <c r="AS46" s="138" t="s">
        <v>163</v>
      </c>
      <c r="AT46" s="194">
        <f xml:space="preserve"> SUM(AT41:AT44)</f>
        <v>0</v>
      </c>
      <c r="AU46" s="194" t="str">
        <f xml:space="preserve"> VLOOKUP(AT46, AT41:AV44, 3, FALSE)</f>
        <v>daily</v>
      </c>
      <c r="AV46" s="207"/>
    </row>
    <row r="47" spans="1:48" s="154" customFormat="1" ht="15" customHeight="1">
      <c r="A47" s="134"/>
      <c r="G47" s="39" t="str">
        <f xml:space="preserve"> G18</f>
        <v>Your_De-Sulph</v>
      </c>
      <c r="H47" s="39"/>
      <c r="J47" s="41" t="str">
        <f xml:space="preserve"> U13</f>
        <v>SBGx by SwissBiogas.com</v>
      </c>
      <c r="K47" s="41"/>
      <c r="L47" s="156"/>
      <c r="Q47" s="204" t="s">
        <v>138</v>
      </c>
      <c r="R47" s="203">
        <v>0.45359237000000002</v>
      </c>
      <c r="W47" s="59" t="s">
        <v>141</v>
      </c>
      <c r="X47" s="60" t="s">
        <v>142</v>
      </c>
      <c r="Y47" s="192"/>
      <c r="Z47" s="201" t="s">
        <v>203</v>
      </c>
      <c r="AA47" s="197">
        <f t="shared" si="4"/>
        <v>0</v>
      </c>
      <c r="AB47" s="197">
        <f xml:space="preserve"> G48 * X45</f>
        <v>0</v>
      </c>
      <c r="AC47" s="197"/>
      <c r="AD47" s="197"/>
      <c r="AJ47" s="201" t="s">
        <v>204</v>
      </c>
      <c r="AK47" s="197">
        <f t="shared" si="5"/>
        <v>0</v>
      </c>
      <c r="AL47" s="197">
        <f xml:space="preserve"> G51 / X45 * 1000</f>
        <v>0</v>
      </c>
      <c r="AM47" s="197"/>
      <c r="AO47" s="138" t="str">
        <f xml:space="preserve"> "Price per " &amp; F53</f>
        <v xml:space="preserve">Price per </v>
      </c>
      <c r="AP47" s="194">
        <f xml:space="preserve"> SUM(AP41:AP45)</f>
        <v>0</v>
      </c>
      <c r="AQ47" s="194">
        <f xml:space="preserve"> IF(AP40 &gt; 0, AP47 / AP40 * AQ40, 0)</f>
        <v>0</v>
      </c>
    </row>
    <row r="48" spans="1:48" s="154" customFormat="1" ht="15" customHeight="1">
      <c r="A48" s="134"/>
      <c r="C48" s="208" t="s">
        <v>174</v>
      </c>
      <c r="D48" s="208"/>
      <c r="E48" s="94" t="s">
        <v>210</v>
      </c>
      <c r="F48" s="95"/>
      <c r="G48" s="209"/>
      <c r="H48" s="43"/>
      <c r="J48" s="41"/>
      <c r="K48" s="41"/>
      <c r="L48" s="156"/>
      <c r="Q48" s="204" t="s">
        <v>139</v>
      </c>
      <c r="R48" s="203">
        <v>1016.0469000000001</v>
      </c>
      <c r="W48" s="195" t="s">
        <v>143</v>
      </c>
      <c r="X48" s="196">
        <v>4.5460900000000004</v>
      </c>
      <c r="Y48" s="192"/>
      <c r="Z48" s="201" t="s">
        <v>209</v>
      </c>
      <c r="AA48" s="197">
        <f xml:space="preserve"> IF(IFERROR(SEARCH(Z48, $F$48), 0) = 0, 0, AB48)</f>
        <v>0</v>
      </c>
      <c r="AB48" s="197">
        <f xml:space="preserve"> G48 * X48 * AG46</f>
        <v>0</v>
      </c>
      <c r="AC48" s="197">
        <v>1</v>
      </c>
      <c r="AD48" s="197"/>
      <c r="AE48" s="192"/>
      <c r="AF48" s="192"/>
      <c r="AJ48" s="201" t="s">
        <v>206</v>
      </c>
      <c r="AK48" s="197">
        <f t="shared" si="5"/>
        <v>0</v>
      </c>
      <c r="AL48" s="197">
        <f xml:space="preserve"> IF(AG46 = 0, 0, G51 / (X48 * AG46) * 1000)</f>
        <v>0</v>
      </c>
      <c r="AM48" s="197">
        <v>1</v>
      </c>
    </row>
    <row r="49" spans="1:48" s="154" customFormat="1" ht="15" customHeight="1">
      <c r="A49" s="134"/>
      <c r="C49" s="208" t="s">
        <v>193</v>
      </c>
      <c r="D49" s="208"/>
      <c r="E49" s="112" t="s">
        <v>236</v>
      </c>
      <c r="F49" s="205"/>
      <c r="G49" s="209"/>
      <c r="H49" s="43"/>
      <c r="J49" s="41"/>
      <c r="K49" s="41"/>
      <c r="L49" s="156"/>
      <c r="Q49" s="204" t="s">
        <v>240</v>
      </c>
      <c r="R49" s="203">
        <v>907.18474000000003</v>
      </c>
      <c r="W49" s="210" t="s">
        <v>233</v>
      </c>
      <c r="X49" s="211">
        <v>3.7854117839999999</v>
      </c>
      <c r="Y49" s="212"/>
      <c r="Z49" s="201" t="s">
        <v>234</v>
      </c>
      <c r="AA49" s="197">
        <f xml:space="preserve"> IF(IFERROR(SEARCH(Z49, $F$48), 0) = 0, 0, AB49)</f>
        <v>0</v>
      </c>
      <c r="AB49" s="213">
        <f xml:space="preserve"> G48 * X49 * AG46</f>
        <v>0</v>
      </c>
      <c r="AC49" s="213">
        <v>1</v>
      </c>
      <c r="AD49" s="213"/>
      <c r="AJ49" s="201" t="s">
        <v>235</v>
      </c>
      <c r="AK49" s="197">
        <f t="shared" si="5"/>
        <v>0</v>
      </c>
      <c r="AL49" s="213">
        <f xml:space="preserve"> IF(AG46 = 0, 0, G51 / (X49 * AG46) * 1000)</f>
        <v>0</v>
      </c>
      <c r="AM49" s="213">
        <v>1</v>
      </c>
    </row>
    <row r="50" spans="1:48" s="154" customFormat="1" ht="15" customHeight="1">
      <c r="A50" s="134"/>
      <c r="C50" s="85" t="s">
        <v>148</v>
      </c>
      <c r="D50" s="214"/>
      <c r="E50" s="214"/>
      <c r="F50" s="215"/>
      <c r="G50" s="117">
        <f xml:space="preserve"> AA51</f>
        <v>0</v>
      </c>
      <c r="H50" s="43"/>
      <c r="J50" s="62">
        <f xml:space="preserve"> IF(ISERR(U43), 0, U43 / L31 * H31)</f>
        <v>0</v>
      </c>
      <c r="K50" s="104"/>
      <c r="L50" s="103" t="str">
        <f xml:space="preserve"> IF(AND(U43 &gt; 0, J50 &gt; 0, U43 &gt; J50), "Factor " &amp; TEXT(U43 / J50, "0.0") &amp; " x", "")</f>
        <v/>
      </c>
      <c r="M50" s="22"/>
      <c r="N50" s="28" t="str">
        <f xml:space="preserve">
IF(AND(U43 &gt; 0, J50 &gt; 0),
    IF(ABS(U43 - J50) / U43 &lt; 0.0005,
        "Dosage difference &lt; 0.1%",
        U12 &amp; ": " &amp; TEXT(ABS(U43 - J50) / U43 * 100, "0.0") &amp; "% additive dosage " &amp;
        IF(U43 &gt; J50,
            "reduction; Dosage factor = " &amp; TEXT(G50 / J50, "0.0"),
            "increase, unfortunately"
        )
    ),
    ""
)</f>
        <v/>
      </c>
      <c r="Q50" s="204"/>
      <c r="R50" s="203"/>
      <c r="W50" s="192"/>
      <c r="X50" s="216"/>
      <c r="Y50" s="192"/>
      <c r="Z50" s="192"/>
      <c r="AA50" s="192"/>
      <c r="AB50" s="217" t="s">
        <v>165</v>
      </c>
      <c r="AC50" s="192" t="s">
        <v>195</v>
      </c>
      <c r="AD50" s="192"/>
      <c r="AL50" s="206" t="s">
        <v>165</v>
      </c>
    </row>
    <row r="51" spans="1:48" s="154" customFormat="1" ht="15" customHeight="1">
      <c r="A51" s="134"/>
      <c r="C51" s="218" t="s">
        <v>194</v>
      </c>
      <c r="D51" s="218"/>
      <c r="E51" s="94" t="s">
        <v>210</v>
      </c>
      <c r="F51" s="205"/>
      <c r="G51" s="219"/>
      <c r="H51" s="43"/>
      <c r="J51" s="220"/>
      <c r="K51" s="221"/>
      <c r="L51" s="156"/>
      <c r="P51" s="206" t="s">
        <v>241</v>
      </c>
      <c r="Q51" s="120" t="s">
        <v>141</v>
      </c>
      <c r="R51" s="121" t="s">
        <v>142</v>
      </c>
      <c r="Z51" s="222" t="s">
        <v>151</v>
      </c>
      <c r="AA51" s="223">
        <f xml:space="preserve"> SUM(AA41:AA49)</f>
        <v>0</v>
      </c>
      <c r="AB51" s="194">
        <f xml:space="preserve"> IF(ISBLANK(F48), 1, VLOOKUP(F48,Z42:AC49,4,FALSE))</f>
        <v>1</v>
      </c>
      <c r="AC51" s="194">
        <f xml:space="preserve"> IF(ISBLANK(F48), 1, VLOOKUP(F48, Z42:AD49, 5, FALSE))</f>
        <v>1</v>
      </c>
      <c r="AJ51" s="138" t="s">
        <v>156</v>
      </c>
      <c r="AK51" s="194">
        <f xml:space="preserve"> SUM(AK41:AK49)</f>
        <v>0</v>
      </c>
      <c r="AL51" s="194">
        <f xml:space="preserve"> IF(ISBLANK(F51), 1, VLOOKUP(F51, AJ42:AM49,4,FALSE))</f>
        <v>1</v>
      </c>
    </row>
    <row r="52" spans="1:48" s="154" customFormat="1" ht="15" customHeight="1">
      <c r="A52" s="134"/>
      <c r="C52" s="32" t="str">
        <f xml:space="preserve"> "Price comparison of your additive and " &amp; U12 &amp; " per metric ton [/t]"</f>
        <v>Price comparison of your additive and SBGx per metric ton [/t]</v>
      </c>
      <c r="D52" s="215"/>
      <c r="E52" s="215"/>
      <c r="F52" s="215"/>
      <c r="G52" s="118">
        <f xml:space="preserve"> AK51</f>
        <v>0</v>
      </c>
      <c r="H52" s="43"/>
      <c r="J52" s="67">
        <v>1300.0000010000001</v>
      </c>
      <c r="K52" s="107"/>
      <c r="L52" s="126" t="str">
        <f xml:space="preserve"> IF(ISERR(AND(MOD(J52 * 1000000, 100) &gt; 0.99, MOD(J52 * 1000000, 100) &lt; 1.01)), "", IF(AND(MOD(J52 * 1000000, 100) &gt; 0.99, MOD(J52 * 1000000, 100) &lt; 1.01), " ← Example", ""))</f>
        <v xml:space="preserve"> ← Example</v>
      </c>
      <c r="M52" s="156"/>
      <c r="N52" s="156" t="s">
        <v>239</v>
      </c>
      <c r="Q52" s="204" t="s">
        <v>143</v>
      </c>
      <c r="R52" s="203">
        <v>4.5460900000000004</v>
      </c>
      <c r="Y52" s="192"/>
      <c r="Z52" s="224"/>
      <c r="AA52" s="224"/>
    </row>
    <row r="53" spans="1:48" s="154" customFormat="1" ht="15" customHeight="1">
      <c r="A53" s="134"/>
      <c r="C53" s="218" t="s">
        <v>158</v>
      </c>
      <c r="D53" s="218"/>
      <c r="E53" s="96" t="s">
        <v>211</v>
      </c>
      <c r="F53" s="205"/>
      <c r="G53" s="66">
        <f xml:space="preserve"> AP47</f>
        <v>0</v>
      </c>
      <c r="H53" s="43"/>
      <c r="J53" s="68">
        <f xml:space="preserve"> AQ47</f>
        <v>0</v>
      </c>
      <c r="K53" s="105"/>
      <c r="L53" s="61"/>
      <c r="M53" s="156"/>
      <c r="N53" s="225" t="s">
        <v>238</v>
      </c>
      <c r="Q53" s="204" t="s">
        <v>233</v>
      </c>
      <c r="R53" s="203">
        <v>3.7854117839999999</v>
      </c>
      <c r="Y53" s="192"/>
      <c r="Z53" s="192"/>
      <c r="AA53" s="192"/>
    </row>
    <row r="54" spans="1:48" s="154" customFormat="1" ht="15" customHeight="1">
      <c r="A54" s="134"/>
      <c r="C54" s="32" t="s">
        <v>171</v>
      </c>
      <c r="D54" s="32"/>
      <c r="E54" s="32"/>
      <c r="F54" s="32"/>
      <c r="G54" s="119">
        <f xml:space="preserve"> IF(ISERR(U43), 0, IF(ISERR(U44), 0, IF(AND(U43 &gt; 0, U44 &gt; 0), U43 * U44 / 1000, 0)))</f>
        <v>0</v>
      </c>
      <c r="H54" s="187"/>
      <c r="J54" s="93">
        <f xml:space="preserve"> IF(ISERR(J50), 0, IF(ISERR(U45), 0, IF(AND(J50 &gt; 0, U45 &gt; 0), J50 * U45 / 1000, 0)))</f>
        <v>0</v>
      </c>
      <c r="K54" s="106"/>
      <c r="L54" s="103" t="str">
        <f xml:space="preserve"> IF(AND(G54 &gt; 0, J54 &gt; 0, G54 &gt; J54), "Factor " &amp; TEXT(G54 / J54, "0.0") &amp; " x", "")</f>
        <v/>
      </c>
      <c r="M54" s="22"/>
      <c r="N54" s="28" t="str">
        <f xml:space="preserve">
IF(AND(G54 &gt; 0, J54 &gt; 0),
    IF(ABS(G54 - J54) / G54 &lt; 0.0005,
        "Cost difference &lt; 0.1%",
        U12 &amp;": " &amp; TEXT(ABS(G54 - J54) / G54 * 100, "0.0") &amp; "% additive cost " &amp;
        IF(G54 &gt; J54,
            "reduction; Cost factor = " &amp; TEXT(G54 / J54, "0.0"),
            "increase, unfortunately"
        )
    ),
    ""
)</f>
        <v/>
      </c>
      <c r="O54" s="22"/>
      <c r="V54" s="216"/>
      <c r="Y54" s="192"/>
      <c r="Z54" s="192" t="s">
        <v>200</v>
      </c>
      <c r="AA54" s="192"/>
      <c r="AF54" s="154" t="s">
        <v>200</v>
      </c>
      <c r="AJ54" s="154" t="s">
        <v>200</v>
      </c>
      <c r="AO54" s="154" t="s">
        <v>200</v>
      </c>
    </row>
    <row r="55" spans="1:48" s="154" customFormat="1" ht="12.95" customHeight="1">
      <c r="C55" s="71" t="s">
        <v>245</v>
      </c>
      <c r="D55" s="71"/>
      <c r="E55" s="71"/>
      <c r="F55" s="71"/>
      <c r="G55" s="72"/>
      <c r="H55" s="72"/>
      <c r="I55" s="71"/>
      <c r="J55" s="73"/>
      <c r="K55" s="73"/>
      <c r="L55" s="73"/>
      <c r="M55" s="37"/>
      <c r="N55" s="226"/>
      <c r="O55" s="226"/>
      <c r="T55" s="154" t="s">
        <v>212</v>
      </c>
      <c r="V55" s="216"/>
      <c r="W55" s="135"/>
      <c r="X55" s="135"/>
      <c r="Y55" s="192"/>
      <c r="Z55" s="227" t="str">
        <f xml:space="preserve"> Z42</f>
        <v>Kilogram [kg/day]</v>
      </c>
      <c r="AA55" s="192"/>
      <c r="AB55" s="192"/>
      <c r="AC55" s="192"/>
      <c r="AD55" s="192"/>
      <c r="AE55" s="192"/>
      <c r="AF55" s="227" t="str">
        <f xml:space="preserve"> AF42</f>
        <v>Kilogram per litre [kg/l]</v>
      </c>
      <c r="AG55" s="135"/>
      <c r="AH55" s="135"/>
      <c r="AI55" s="135"/>
      <c r="AJ55" s="227" t="str">
        <f xml:space="preserve"> AJ42</f>
        <v>Kilogram [/kg]</v>
      </c>
      <c r="AK55" s="135"/>
      <c r="AL55" s="135"/>
      <c r="AM55" s="135"/>
      <c r="AN55" s="135"/>
      <c r="AO55" s="227" t="str">
        <f xml:space="preserve"> AO42</f>
        <v>Kilogram [/kg]</v>
      </c>
      <c r="AP55" s="135"/>
      <c r="AR55" s="135"/>
      <c r="AS55" s="135"/>
      <c r="AT55" s="135"/>
      <c r="AU55" s="135"/>
      <c r="AV55" s="135"/>
    </row>
    <row r="56" spans="1:48" s="154" customFormat="1" ht="12.95" customHeight="1">
      <c r="C56" s="71" t="s">
        <v>246</v>
      </c>
      <c r="D56" s="71"/>
      <c r="E56" s="71"/>
      <c r="F56" s="71"/>
      <c r="G56" s="71"/>
      <c r="H56" s="71"/>
      <c r="I56" s="71"/>
      <c r="L56" s="206"/>
      <c r="M56" s="37"/>
      <c r="N56" s="226"/>
      <c r="O56" s="71"/>
      <c r="T56" s="192" t="s">
        <v>199</v>
      </c>
      <c r="V56" s="216"/>
      <c r="W56" s="135"/>
      <c r="X56" s="135"/>
      <c r="Y56" s="192"/>
      <c r="Z56" s="227" t="str">
        <f xml:space="preserve"> Z43</f>
        <v>Metric ton (Tonne) [t/day]</v>
      </c>
      <c r="AA56" s="192"/>
      <c r="AB56" s="135"/>
      <c r="AC56" s="135"/>
      <c r="AD56" s="135"/>
      <c r="AE56" s="135"/>
      <c r="AF56" s="135"/>
      <c r="AG56" s="135"/>
      <c r="AH56" s="135"/>
      <c r="AI56" s="135"/>
      <c r="AJ56" s="227" t="str">
        <f xml:space="preserve"> AJ43</f>
        <v>Metric ton (Tonne) [/t]</v>
      </c>
      <c r="AK56" s="135"/>
      <c r="AL56" s="135"/>
      <c r="AM56" s="135"/>
      <c r="AN56" s="135"/>
      <c r="AO56" s="135"/>
      <c r="AP56" s="135"/>
      <c r="AR56" s="135"/>
      <c r="AS56" s="135"/>
      <c r="AT56" s="135"/>
      <c r="AU56" s="135"/>
      <c r="AV56" s="135"/>
    </row>
    <row r="57" spans="1:48" s="154" customFormat="1" ht="15" customHeight="1">
      <c r="C57" s="74"/>
      <c r="J57" s="206"/>
      <c r="K57" s="206"/>
      <c r="L57" s="206" t="s">
        <v>168</v>
      </c>
      <c r="T57" s="228" t="s">
        <v>215</v>
      </c>
      <c r="U57" s="229">
        <v>1</v>
      </c>
      <c r="V57" s="229">
        <f xml:space="preserve"> IF(IFERROR(SEARCH(T57, $F$46), 0) = 0, 0, U57)</f>
        <v>0</v>
      </c>
      <c r="W57" s="135"/>
      <c r="X57" s="135"/>
      <c r="Y57" s="192"/>
      <c r="Z57" s="227" t="str">
        <f xml:space="preserve"> Z44</f>
        <v>Litre [l/day]</v>
      </c>
      <c r="AA57" s="192"/>
      <c r="AB57" s="135"/>
      <c r="AC57" s="135"/>
      <c r="AD57" s="135"/>
      <c r="AE57" s="135"/>
      <c r="AF57" s="135"/>
      <c r="AG57" s="135"/>
      <c r="AH57" s="135"/>
      <c r="AI57" s="135"/>
      <c r="AJ57" s="227" t="str">
        <f xml:space="preserve"> AJ44</f>
        <v>Litre [/l]</v>
      </c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</row>
    <row r="58" spans="1:48">
      <c r="B58" s="22"/>
      <c r="C58" s="85" t="s">
        <v>95</v>
      </c>
      <c r="D58" s="85" t="str">
        <f xml:space="preserve">
IF(G54 - J54 &gt; 0,
    "Possible " &amp; AU46 &amp; " cost savings with additives by using " &amp; U12 &amp; ": " &amp; TEXT(AT46, "#,##0") &amp; ".--. (Minus " &amp; TEXT((G54 - J54) / G54 * 100, "0.0") &amp; "%)",
    IF(AND(G54 - J54 &lt;= 0, H31 &lt;&gt; 0, G54 &lt;&gt; 0),
        "It seems you won't save any costs for additives by using our " &amp; U13 &amp; ".",
        IF(J50 &gt; 0,
            "The daily dosage of " &amp; TEXT(G50, "#,##0") &amp; " kg of " &amp; G18 &amp; " can be replaced with " &amp; TEXT(J50, "#,##0") &amp; " kg of " &amp; U13 &amp; ".",
            "Please enter the needed values to complete the calculation."
        )
    )
)</f>
        <v>Please enter the needed values to complete the calculation.</v>
      </c>
      <c r="E58" s="85"/>
      <c r="F58" s="85"/>
      <c r="G58" s="85"/>
      <c r="H58" s="85"/>
      <c r="I58" s="85"/>
      <c r="J58" s="85"/>
      <c r="K58" s="85"/>
      <c r="L58" s="230" t="s">
        <v>186</v>
      </c>
      <c r="M58" s="154"/>
      <c r="P58" s="154"/>
      <c r="S58" s="154"/>
      <c r="T58" s="231" t="s">
        <v>214</v>
      </c>
      <c r="U58" s="232">
        <v>2</v>
      </c>
      <c r="V58" s="229">
        <f xml:space="preserve"> IF(IFERROR(SEARCH(T58, $F$46), 0) = 0, 0, U58)</f>
        <v>0</v>
      </c>
      <c r="Y58" s="192"/>
      <c r="Z58" s="192" t="s">
        <v>201</v>
      </c>
      <c r="AA58" s="192"/>
      <c r="AF58" s="135" t="s">
        <v>201</v>
      </c>
      <c r="AJ58" s="135" t="s">
        <v>201</v>
      </c>
      <c r="AO58" s="135" t="s">
        <v>201</v>
      </c>
    </row>
    <row r="59" spans="1:48"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233"/>
      <c r="M59" s="200"/>
      <c r="N59" s="200"/>
      <c r="O59" s="144"/>
      <c r="P59" s="200"/>
      <c r="Q59" s="200"/>
      <c r="R59" s="200"/>
      <c r="S59" s="200"/>
      <c r="T59" s="234" t="s">
        <v>198</v>
      </c>
      <c r="U59" s="232">
        <v>3</v>
      </c>
      <c r="V59" s="229">
        <f xml:space="preserve"> IF(IFERROR(SEARCH(T59, $F$46), 0) = 0, 0, U59)</f>
        <v>0</v>
      </c>
      <c r="Y59" s="192"/>
      <c r="Z59" s="227" t="str">
        <f xml:space="preserve"> Z45</f>
        <v>Pound [lb/day]</v>
      </c>
      <c r="AA59" s="192"/>
      <c r="AF59" s="235" t="str">
        <f xml:space="preserve"> AF43</f>
        <v>Pound per Imperial gallon [lb/gal]</v>
      </c>
      <c r="AJ59" s="235" t="str">
        <f xml:space="preserve"> AJ45</f>
        <v>Pound [/lb]</v>
      </c>
      <c r="AO59" s="235" t="str">
        <f xml:space="preserve"> AO43</f>
        <v>Pound [/lb]</v>
      </c>
    </row>
    <row r="60" spans="1:48">
      <c r="B60" s="236"/>
      <c r="S60" s="236"/>
      <c r="T60" s="224"/>
      <c r="V60" s="216"/>
      <c r="Y60" s="192"/>
      <c r="Z60" s="227" t="str">
        <f xml:space="preserve"> Z46</f>
        <v>Imperial ton [t/day]</v>
      </c>
      <c r="AA60" s="192"/>
      <c r="AJ60" s="235" t="str">
        <f xml:space="preserve"> AJ46</f>
        <v>Imperial ton [/t]</v>
      </c>
      <c r="AO60" s="235" t="str">
        <f xml:space="preserve"> AO44</f>
        <v>Imperial ton [/t]</v>
      </c>
    </row>
    <row r="61" spans="1:48" ht="15" customHeight="1">
      <c r="A61" s="161"/>
      <c r="B61" s="113" t="s">
        <v>96</v>
      </c>
      <c r="C61" s="113" t="s">
        <v>127</v>
      </c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54"/>
      <c r="V61" s="138">
        <f xml:space="preserve"> SUM(V57:V59)</f>
        <v>0</v>
      </c>
      <c r="Z61" s="235" t="str">
        <f xml:space="preserve"> Z48</f>
        <v>Imperial gallon [gal/day]</v>
      </c>
      <c r="AJ61" s="235" t="str">
        <f xml:space="preserve"> AJ48</f>
        <v>Imperial gallon [/gal]</v>
      </c>
    </row>
    <row r="62" spans="1:48" ht="15" customHeight="1">
      <c r="A62" s="161"/>
      <c r="C62" s="135" t="s">
        <v>159</v>
      </c>
      <c r="X62" s="216"/>
      <c r="Z62" s="135" t="s">
        <v>202</v>
      </c>
      <c r="AF62" s="135" t="s">
        <v>202</v>
      </c>
      <c r="AJ62" s="135" t="s">
        <v>202</v>
      </c>
      <c r="AO62" s="135" t="s">
        <v>202</v>
      </c>
    </row>
    <row r="63" spans="1:48" ht="15" customHeight="1">
      <c r="A63" s="161"/>
      <c r="C63" s="208" t="s">
        <v>237</v>
      </c>
      <c r="D63" s="208"/>
      <c r="E63" s="208"/>
      <c r="F63" s="208"/>
      <c r="G63" s="208"/>
      <c r="H63" s="208"/>
      <c r="I63" s="239"/>
      <c r="J63" s="240">
        <v>240.000001</v>
      </c>
      <c r="K63" s="241"/>
      <c r="L63" s="127" t="str">
        <f xml:space="preserve"> IF(AND(J63 = 240.000001, J64 = 41250.000001, J65 = 1750.000001, J66 = 45.000001, J67 = 7.500001, J68 = "", J70 = 1.700001), " ← Example data set - Replace with your own biogas reactor's data", "")</f>
        <v xml:space="preserve"> ← Example data set - Replace with your own biogas reactor's data</v>
      </c>
      <c r="X63" s="216"/>
      <c r="Z63" s="235" t="str">
        <f xml:space="preserve"> Z45</f>
        <v>Pound [lb/day]</v>
      </c>
      <c r="AF63" s="235" t="str">
        <f xml:space="preserve"> AF44</f>
        <v>Pound per US gallon [lb/gal]</v>
      </c>
      <c r="AJ63" s="235" t="str">
        <f xml:space="preserve"> AJ45</f>
        <v>Pound [/lb]</v>
      </c>
      <c r="AO63" s="235" t="str">
        <f xml:space="preserve"> AO43</f>
        <v>Pound [/lb]</v>
      </c>
    </row>
    <row r="64" spans="1:48" ht="15" customHeight="1">
      <c r="A64" s="161"/>
      <c r="C64" s="218" t="s">
        <v>219</v>
      </c>
      <c r="D64" s="218"/>
      <c r="E64" s="218"/>
      <c r="F64" s="218"/>
      <c r="G64" s="218"/>
      <c r="H64" s="218"/>
      <c r="I64" s="163"/>
      <c r="J64" s="242">
        <v>41250.000001</v>
      </c>
      <c r="K64" s="243"/>
      <c r="L64" s="128" t="str">
        <f xml:space="preserve"> IF(AND(J63 = 240.000001, J64 = 41250.000001, J65 = 1750.000001, J66 = 45.000001, J67 = 7.500001, J68 = "", J70 = 1.700001), " ↓", "")</f>
        <v xml:space="preserve"> ↓</v>
      </c>
      <c r="O64" s="132" t="s">
        <v>218</v>
      </c>
      <c r="P64" s="133" t="s">
        <v>259</v>
      </c>
      <c r="Z64" s="235" t="str">
        <f xml:space="preserve"> Z47</f>
        <v>US short ton [t/day]</v>
      </c>
      <c r="AJ64" s="235" t="str">
        <f xml:space="preserve"> AJ47</f>
        <v>US short ton [/t]</v>
      </c>
      <c r="AO64" s="235" t="str">
        <f xml:space="preserve"> AO45</f>
        <v>US short ton [/t]</v>
      </c>
    </row>
    <row r="65" spans="1:48" ht="15" customHeight="1">
      <c r="A65" s="161"/>
      <c r="C65" s="218" t="s">
        <v>260</v>
      </c>
      <c r="D65" s="218"/>
      <c r="E65" s="218"/>
      <c r="F65" s="218"/>
      <c r="G65" s="218"/>
      <c r="H65" s="218"/>
      <c r="I65" s="163"/>
      <c r="J65" s="242">
        <v>1750.0000010000001</v>
      </c>
      <c r="K65" s="243"/>
      <c r="L65" s="34"/>
      <c r="N65" s="140" t="s">
        <v>249</v>
      </c>
      <c r="O65" s="244">
        <v>2399</v>
      </c>
      <c r="P65" s="245">
        <f xml:space="preserve"> O65 / H119</f>
        <v>1749.81765134938</v>
      </c>
      <c r="Z65" s="235" t="str">
        <f xml:space="preserve"> Z49</f>
        <v>US gallon [gal/day]</v>
      </c>
      <c r="AJ65" s="235" t="str">
        <f xml:space="preserve"> AJ49</f>
        <v>US gallon [/gal]</v>
      </c>
    </row>
    <row r="66" spans="1:48" ht="15" customHeight="1">
      <c r="A66" s="161"/>
      <c r="C66" s="218" t="s">
        <v>229</v>
      </c>
      <c r="D66" s="218"/>
      <c r="E66" s="218"/>
      <c r="F66" s="218"/>
      <c r="G66" s="218"/>
      <c r="H66" s="218"/>
      <c r="I66" s="163"/>
      <c r="J66" s="246">
        <v>45.000000999999997</v>
      </c>
      <c r="K66" s="247"/>
      <c r="L66" s="33"/>
    </row>
    <row r="67" spans="1:48" ht="15" customHeight="1">
      <c r="A67" s="161"/>
      <c r="C67" s="218" t="s">
        <v>230</v>
      </c>
      <c r="D67" s="218"/>
      <c r="E67" s="218"/>
      <c r="F67" s="218"/>
      <c r="G67" s="218"/>
      <c r="H67" s="218"/>
      <c r="I67" s="163"/>
      <c r="J67" s="248">
        <v>7.5000010000000001</v>
      </c>
      <c r="K67" s="249"/>
      <c r="L67" s="33"/>
      <c r="N67" s="309" t="str">
        <f xml:space="preserve"> IF(ISERROR(SEARCH("sbgx", J68)), "", "H₂S(aq-ges) = " &amp; TEXT(H135, "0.0") &amp; " g/m³  |  fH₂S(aq) = " &amp; TEXT(H125, "0.0%") &amp; "  |  H₂S(aq) = " &amp; TEXT(H135 * H125, "0.0") &amp; " g/m³  |  fHS⁻ = " &amp; TEXT(H126, "0.0%") &amp; "  |  fS²⁻ = " &amp; TEXT(H127, "0.0%") &amp; "  |  [1], page 109, ""Calculation of the hydrogen sulfide transfer to the gas phase""")</f>
        <v/>
      </c>
    </row>
    <row r="68" spans="1:48" ht="15" customHeight="1">
      <c r="A68" s="161"/>
      <c r="C68" s="180" t="s">
        <v>231</v>
      </c>
      <c r="D68" s="218"/>
      <c r="E68" s="218"/>
      <c r="F68" s="218"/>
      <c r="G68" s="218"/>
      <c r="H68" s="218"/>
      <c r="I68" s="110"/>
      <c r="J68" s="250"/>
      <c r="K68" s="111" t="str">
        <f xml:space="preserve"> "Approx. " &amp; TEXT(H135, "0.0")</f>
        <v>Approx. 20.2</v>
      </c>
      <c r="L68" s="116" t="s">
        <v>251</v>
      </c>
      <c r="O68" s="310"/>
    </row>
    <row r="69" spans="1:48" ht="15" customHeight="1">
      <c r="A69" s="161"/>
      <c r="C69" s="236" t="s">
        <v>252</v>
      </c>
      <c r="D69" s="236"/>
      <c r="E69" s="236"/>
      <c r="F69" s="236"/>
      <c r="G69" s="236"/>
      <c r="H69" s="236"/>
      <c r="I69" s="236"/>
      <c r="J69" s="146"/>
      <c r="K69" s="146"/>
      <c r="L69" s="146"/>
      <c r="M69" s="146"/>
      <c r="N69" s="146"/>
      <c r="O69" s="311"/>
      <c r="AR69" s="124"/>
      <c r="AS69" s="124"/>
      <c r="AT69" s="124"/>
      <c r="AU69" s="124"/>
      <c r="AV69" s="124"/>
    </row>
    <row r="70" spans="1:48" ht="15" customHeight="1">
      <c r="A70" s="161"/>
      <c r="C70" s="218" t="s">
        <v>264</v>
      </c>
      <c r="D70" s="218"/>
      <c r="E70" s="218"/>
      <c r="F70" s="218"/>
      <c r="G70" s="218"/>
      <c r="H70" s="218"/>
      <c r="I70" s="163"/>
      <c r="J70" s="240">
        <v>1.7000010000000001</v>
      </c>
      <c r="K70" s="252"/>
      <c r="L70" s="135" t="str">
        <f xml:space="preserve"> IF(AND(ISNUMBER(J70), J70 &lt;= 1), " Recommendation: Use a value greater than 1 for β; See footnote A.", "")</f>
        <v/>
      </c>
      <c r="AR70" s="124"/>
      <c r="AS70" s="124"/>
      <c r="AT70" s="124"/>
      <c r="AU70" s="124"/>
      <c r="AV70" s="124"/>
    </row>
    <row r="71" spans="1:48" s="124" customFormat="1" ht="15" customHeight="1">
      <c r="A71" s="161"/>
      <c r="B71" s="135"/>
      <c r="C71" s="32" t="s">
        <v>220</v>
      </c>
      <c r="D71" s="215"/>
      <c r="E71" s="215"/>
      <c r="F71" s="215"/>
      <c r="G71" s="215"/>
      <c r="H71" s="215"/>
      <c r="I71" s="215"/>
      <c r="J71" s="108">
        <f xml:space="preserve"> IF(ISERROR(J70 * J63 * J64 * J65 * J66 * J67), 0, IF(J70 * J63 * J64 * J65 * J66 * J67 = 0, 0, IFERROR(H137, 0)))</f>
        <v>307476.8795226831</v>
      </c>
      <c r="K71" s="109"/>
      <c r="M71" s="135"/>
      <c r="N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</row>
    <row r="72" spans="1:48">
      <c r="A72" s="161"/>
      <c r="C72" s="253" t="s">
        <v>102</v>
      </c>
      <c r="D72" s="35"/>
      <c r="E72" s="35"/>
      <c r="G72" s="254"/>
      <c r="H72" s="254"/>
      <c r="J72" s="255"/>
      <c r="K72" s="255"/>
      <c r="L72" s="255"/>
    </row>
    <row r="73" spans="1:48">
      <c r="A73" s="161"/>
      <c r="C73" s="256"/>
      <c r="D73" s="35"/>
      <c r="E73" s="35"/>
      <c r="F73" s="256"/>
      <c r="G73" s="39" t="str">
        <f xml:space="preserve"> G18</f>
        <v>Your_De-Sulph</v>
      </c>
      <c r="H73" s="39"/>
      <c r="J73" s="42" t="str">
        <f xml:space="preserve"> U13</f>
        <v>SBGx by SwissBiogas.com</v>
      </c>
      <c r="K73" s="42"/>
      <c r="L73" s="255"/>
    </row>
    <row r="74" spans="1:48">
      <c r="A74" s="161"/>
      <c r="C74" s="85" t="s">
        <v>95</v>
      </c>
      <c r="D74" s="85" t="s">
        <v>228</v>
      </c>
      <c r="E74" s="85"/>
      <c r="F74" s="214"/>
      <c r="G74" s="78">
        <f xml:space="preserve"> IF(V28 &gt; 0, J71 / V28 * 100 / 1000, 0)</f>
        <v>689.09902451748246</v>
      </c>
      <c r="H74" s="254"/>
      <c r="J74" s="79">
        <f xml:space="preserve"> J71 / X28 * 100 / 1000</f>
        <v>495.09130834679951</v>
      </c>
      <c r="K74" s="97"/>
      <c r="L74" s="255" t="str">
        <f xml:space="preserve"> IF(J74 &gt; 0, " About " &amp; TRIM(TEXT(J74 / 20, "# ?/2")) &amp; " bags of SBGx (20 kg; 44.1 lb)", "")</f>
        <v xml:space="preserve"> About 25 bags of SBGx (20 kg; 44.1 lb)</v>
      </c>
    </row>
    <row r="75" spans="1:48" ht="12.95" customHeight="1">
      <c r="A75" s="307"/>
      <c r="B75" s="124"/>
      <c r="C75" s="123" t="s">
        <v>258</v>
      </c>
      <c r="D75" s="22"/>
      <c r="E75" s="22"/>
      <c r="F75" s="154"/>
      <c r="G75" s="40"/>
      <c r="H75" s="47"/>
      <c r="J75" s="115"/>
      <c r="K75" s="80"/>
      <c r="L75" s="308"/>
      <c r="N75" s="124"/>
      <c r="O75" s="124"/>
      <c r="P75" s="124"/>
      <c r="Q75" s="124"/>
      <c r="R75" s="124"/>
      <c r="S75" s="124"/>
    </row>
    <row r="76" spans="1:48" ht="12.95" customHeight="1">
      <c r="A76" s="161"/>
      <c r="C76" s="123" t="s">
        <v>243</v>
      </c>
      <c r="D76" s="146"/>
      <c r="E76" s="146"/>
      <c r="F76" s="146"/>
    </row>
    <row r="77" spans="1:48" ht="12.95" customHeight="1">
      <c r="A77" s="161"/>
      <c r="C77" s="123" t="s">
        <v>244</v>
      </c>
    </row>
    <row r="78" spans="1:48">
      <c r="A78" s="161"/>
      <c r="O78" s="81"/>
    </row>
    <row r="79" spans="1:48">
      <c r="A79" s="161"/>
      <c r="C79" s="135" t="s">
        <v>67</v>
      </c>
      <c r="D79" s="216"/>
      <c r="E79" s="216"/>
    </row>
    <row r="80" spans="1:48">
      <c r="A80" s="161"/>
      <c r="C80" s="135" t="s">
        <v>68</v>
      </c>
      <c r="D80" s="216"/>
      <c r="E80" s="216"/>
    </row>
    <row r="81" spans="1:48">
      <c r="A81" s="135"/>
      <c r="C81" s="135" t="s">
        <v>69</v>
      </c>
      <c r="D81" s="216"/>
      <c r="E81" s="216"/>
      <c r="J81" s="312" t="s">
        <v>262</v>
      </c>
      <c r="K81" s="312"/>
      <c r="L81" s="312"/>
    </row>
    <row r="82" spans="1:48">
      <c r="A82" s="161"/>
    </row>
    <row r="83" spans="1:48" ht="15" customHeight="1">
      <c r="A83" s="161"/>
      <c r="C83" s="135" t="s">
        <v>85</v>
      </c>
    </row>
    <row r="84" spans="1:48" s="124" customFormat="1">
      <c r="A84" s="307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135"/>
      <c r="AS84" s="135"/>
      <c r="AT84" s="135"/>
      <c r="AU84" s="135"/>
      <c r="AV84" s="135"/>
    </row>
    <row r="85" spans="1:48" s="124" customFormat="1">
      <c r="A85" s="307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135"/>
      <c r="AS85" s="135"/>
      <c r="AT85" s="135"/>
      <c r="AU85" s="135"/>
      <c r="AV85" s="135"/>
    </row>
    <row r="86" spans="1:48" s="124" customFormat="1">
      <c r="A86" s="307"/>
      <c r="N86" s="135"/>
      <c r="T86" s="135"/>
      <c r="U86" s="135"/>
      <c r="V86" s="135"/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  <c r="AK86" s="135"/>
      <c r="AL86" s="135"/>
      <c r="AM86" s="135"/>
      <c r="AN86" s="135"/>
      <c r="AO86" s="135"/>
      <c r="AP86" s="135"/>
      <c r="AQ86" s="135"/>
      <c r="AR86" s="135"/>
      <c r="AS86" s="135"/>
      <c r="AT86" s="135"/>
      <c r="AU86" s="135"/>
      <c r="AV86" s="135"/>
    </row>
    <row r="87" spans="1:48">
      <c r="A87" s="161"/>
    </row>
    <row r="88" spans="1:48">
      <c r="A88" s="161"/>
    </row>
    <row r="89" spans="1:48">
      <c r="A89" s="161"/>
    </row>
    <row r="90" spans="1:48">
      <c r="A90" s="161"/>
      <c r="L90" s="29" t="s">
        <v>77</v>
      </c>
    </row>
    <row r="91" spans="1:48" hidden="1">
      <c r="B91" s="238"/>
      <c r="C91" s="238"/>
      <c r="D91" s="238"/>
      <c r="E91" s="238"/>
      <c r="F91" s="238"/>
      <c r="G91" s="238"/>
      <c r="H91" s="238"/>
      <c r="I91" s="238"/>
      <c r="J91" s="238"/>
      <c r="K91" s="238"/>
      <c r="M91" s="238"/>
      <c r="O91" s="238"/>
    </row>
    <row r="92" spans="1:48" hidden="1">
      <c r="B92" s="238"/>
      <c r="D92" s="257"/>
      <c r="E92" s="257"/>
      <c r="F92" s="238"/>
      <c r="G92" s="238"/>
      <c r="H92" s="238"/>
      <c r="I92" s="238"/>
      <c r="J92" s="238"/>
      <c r="K92" s="238"/>
      <c r="L92" s="238"/>
      <c r="M92" s="238"/>
      <c r="O92" s="238"/>
    </row>
    <row r="93" spans="1:48" hidden="1">
      <c r="B93" s="238"/>
      <c r="C93" s="238"/>
      <c r="D93" s="257"/>
      <c r="E93" s="257"/>
      <c r="F93" s="238"/>
      <c r="G93" s="238"/>
      <c r="H93" s="238"/>
      <c r="I93" s="238"/>
      <c r="J93" s="238"/>
      <c r="K93" s="238"/>
      <c r="L93" s="238"/>
      <c r="M93" s="238"/>
      <c r="N93" s="238"/>
      <c r="O93" s="238"/>
    </row>
    <row r="94" spans="1:48" hidden="1">
      <c r="B94" s="238"/>
      <c r="C94" s="238"/>
      <c r="D94" s="257"/>
      <c r="E94" s="257"/>
      <c r="F94" s="238"/>
      <c r="G94" s="238"/>
      <c r="H94" s="238"/>
      <c r="I94" s="238"/>
      <c r="J94" s="238"/>
      <c r="K94" s="238"/>
      <c r="L94" s="238"/>
      <c r="M94" s="238"/>
      <c r="N94" s="238"/>
      <c r="O94" s="238"/>
    </row>
    <row r="95" spans="1:48" hidden="1">
      <c r="B95" s="238"/>
      <c r="C95" s="238"/>
      <c r="D95" s="257"/>
      <c r="E95" s="257"/>
      <c r="F95" s="238"/>
      <c r="G95" s="238"/>
      <c r="H95" s="238"/>
      <c r="I95" s="238"/>
      <c r="J95" s="238"/>
      <c r="K95" s="238"/>
      <c r="L95" s="238"/>
      <c r="M95" s="238"/>
      <c r="N95" s="238"/>
      <c r="O95" s="238"/>
    </row>
    <row r="96" spans="1:48" hidden="1">
      <c r="B96" s="238"/>
      <c r="M96" s="238"/>
      <c r="N96" s="238"/>
      <c r="O96" s="238"/>
    </row>
    <row r="97" spans="2:19" hidden="1">
      <c r="B97" s="238"/>
      <c r="M97" s="238"/>
      <c r="N97" s="238"/>
      <c r="O97" s="238"/>
    </row>
    <row r="98" spans="2:19" hidden="1">
      <c r="B98" s="238"/>
      <c r="M98" s="238"/>
      <c r="N98" s="238"/>
      <c r="O98" s="238"/>
    </row>
    <row r="99" spans="2:19">
      <c r="B99" s="258"/>
      <c r="C99" s="258"/>
      <c r="D99" s="259"/>
      <c r="E99" s="259"/>
      <c r="F99" s="258"/>
      <c r="G99" s="258"/>
      <c r="H99" s="258"/>
      <c r="I99" s="258"/>
      <c r="J99" s="258"/>
      <c r="K99" s="258"/>
      <c r="L99" s="258"/>
      <c r="M99" s="258"/>
      <c r="N99" s="258"/>
      <c r="O99" s="258"/>
      <c r="P99" s="144"/>
      <c r="Q99" s="144"/>
      <c r="R99" s="144"/>
      <c r="S99" s="144"/>
    </row>
    <row r="100" spans="2:19">
      <c r="B100" s="238"/>
      <c r="C100" s="257"/>
      <c r="D100" s="238"/>
      <c r="E100" s="238"/>
      <c r="F100" s="238"/>
      <c r="G100" s="238"/>
      <c r="H100" s="238"/>
      <c r="I100" s="238"/>
      <c r="J100" s="238"/>
      <c r="K100" s="238"/>
      <c r="L100" s="238"/>
      <c r="M100" s="238"/>
      <c r="N100" s="238"/>
      <c r="O100" s="238"/>
    </row>
    <row r="101" spans="2:19">
      <c r="B101" s="238"/>
      <c r="C101" s="238"/>
      <c r="D101" s="238"/>
      <c r="E101" s="238"/>
      <c r="F101" s="238"/>
      <c r="G101" s="238"/>
      <c r="H101" s="238"/>
      <c r="I101" s="238"/>
      <c r="J101" s="238"/>
      <c r="K101" s="238"/>
      <c r="L101" s="238"/>
      <c r="M101" s="238"/>
      <c r="N101" s="238"/>
      <c r="O101" s="238"/>
    </row>
    <row r="102" spans="2:19"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8"/>
      <c r="M102" s="238"/>
      <c r="N102" s="238"/>
      <c r="O102" s="238"/>
    </row>
    <row r="103" spans="2:19">
      <c r="B103" s="238"/>
      <c r="C103" s="238"/>
      <c r="D103" s="238"/>
      <c r="E103" s="238"/>
      <c r="F103" s="238"/>
      <c r="G103" s="238"/>
      <c r="H103" s="238"/>
      <c r="I103" s="238"/>
      <c r="J103" s="238"/>
      <c r="K103" s="238"/>
      <c r="L103" s="238"/>
      <c r="M103" s="238"/>
      <c r="N103" s="238"/>
      <c r="O103" s="238"/>
    </row>
    <row r="104" spans="2:19">
      <c r="B104" s="238"/>
      <c r="C104" s="238"/>
      <c r="D104" s="238"/>
      <c r="E104" s="238"/>
      <c r="F104" s="238"/>
      <c r="G104" s="238"/>
      <c r="H104" s="238"/>
      <c r="I104" s="238"/>
      <c r="J104" s="238"/>
      <c r="K104" s="238"/>
      <c r="L104" s="238"/>
      <c r="M104" s="238"/>
      <c r="N104" s="238"/>
      <c r="O104" s="238"/>
    </row>
    <row r="105" spans="2:19">
      <c r="B105" s="238"/>
      <c r="C105" s="238"/>
      <c r="D105" s="238"/>
      <c r="E105" s="238"/>
      <c r="F105" s="238"/>
      <c r="G105" s="238"/>
      <c r="H105" s="238"/>
      <c r="I105" s="238"/>
      <c r="J105" s="238"/>
      <c r="K105" s="238"/>
      <c r="L105" s="238"/>
      <c r="M105" s="238"/>
      <c r="N105" s="238"/>
      <c r="O105" s="238"/>
    </row>
    <row r="106" spans="2:19">
      <c r="B106" s="238"/>
      <c r="F106" s="238"/>
      <c r="G106" s="238"/>
      <c r="H106" s="238"/>
      <c r="I106" s="238"/>
      <c r="J106" s="238"/>
      <c r="K106" s="238"/>
      <c r="L106" s="238"/>
      <c r="M106" s="238"/>
      <c r="N106" s="238"/>
      <c r="O106" s="238"/>
    </row>
    <row r="107" spans="2:19">
      <c r="B107" s="238"/>
      <c r="F107" s="238"/>
      <c r="G107" s="238"/>
      <c r="H107" s="238"/>
      <c r="I107" s="238"/>
      <c r="J107" s="238"/>
      <c r="K107" s="238"/>
      <c r="L107" s="238"/>
      <c r="M107" s="238"/>
      <c r="N107" s="238"/>
      <c r="O107" s="238"/>
    </row>
    <row r="108" spans="2:19" hidden="1">
      <c r="B108" s="238"/>
      <c r="C108" s="238"/>
      <c r="D108" s="260" t="s">
        <v>32</v>
      </c>
      <c r="E108" s="260"/>
      <c r="F108" s="261" t="s">
        <v>33</v>
      </c>
      <c r="G108" s="238"/>
      <c r="H108" s="238"/>
      <c r="I108" s="238"/>
      <c r="J108" s="238"/>
      <c r="K108" s="238"/>
      <c r="L108" s="238"/>
      <c r="M108" s="238"/>
      <c r="N108" s="238"/>
      <c r="O108" s="238"/>
    </row>
    <row r="109" spans="2:19" hidden="1">
      <c r="B109" s="238"/>
      <c r="C109" s="238"/>
      <c r="D109" s="257"/>
      <c r="E109" s="257"/>
      <c r="F109" s="238"/>
      <c r="G109" s="238"/>
      <c r="H109" s="238"/>
      <c r="I109" s="238"/>
      <c r="J109" s="238"/>
      <c r="K109" s="238"/>
      <c r="L109" s="238"/>
      <c r="M109" s="238"/>
      <c r="N109" s="238"/>
      <c r="O109" s="238"/>
    </row>
    <row r="110" spans="2:19" hidden="1">
      <c r="B110" s="238"/>
      <c r="C110" s="262" t="s">
        <v>34</v>
      </c>
      <c r="H110" s="263" t="s">
        <v>35</v>
      </c>
      <c r="J110" s="264" t="s">
        <v>36</v>
      </c>
      <c r="K110" s="265"/>
      <c r="L110" s="238"/>
      <c r="M110" s="238"/>
      <c r="N110" s="238"/>
      <c r="O110" s="238"/>
    </row>
    <row r="111" spans="2:19" hidden="1">
      <c r="B111" s="238"/>
      <c r="C111" s="266" t="s">
        <v>37</v>
      </c>
      <c r="H111" s="267" t="s">
        <v>38</v>
      </c>
      <c r="J111" s="238"/>
      <c r="K111" s="238"/>
      <c r="L111" s="238"/>
      <c r="M111" s="238"/>
      <c r="N111" s="238"/>
      <c r="O111" s="238"/>
    </row>
    <row r="112" spans="2:19" ht="18" hidden="1">
      <c r="B112" s="238"/>
      <c r="C112" s="266" t="s">
        <v>261</v>
      </c>
      <c r="H112" s="267" t="s">
        <v>39</v>
      </c>
      <c r="J112" s="238"/>
      <c r="K112" s="238"/>
      <c r="L112" s="238"/>
      <c r="M112" s="238"/>
      <c r="N112" s="238"/>
      <c r="O112" s="238"/>
    </row>
    <row r="113" spans="2:17" ht="18" hidden="1">
      <c r="B113" s="238"/>
      <c r="C113" s="266" t="s">
        <v>40</v>
      </c>
      <c r="H113" s="268"/>
      <c r="J113" s="238"/>
      <c r="K113" s="238"/>
      <c r="L113" s="238"/>
      <c r="M113" s="238"/>
      <c r="N113" s="238"/>
      <c r="O113" s="238"/>
    </row>
    <row r="114" spans="2:17" ht="18" hidden="1">
      <c r="B114" s="238"/>
      <c r="C114" s="266" t="s">
        <v>41</v>
      </c>
      <c r="H114" s="267"/>
      <c r="J114" s="238"/>
      <c r="K114" s="238"/>
      <c r="L114" s="238"/>
      <c r="M114" s="238"/>
      <c r="N114" s="238"/>
      <c r="O114" s="238"/>
    </row>
    <row r="115" spans="2:17" hidden="1">
      <c r="B115" s="238"/>
      <c r="C115" s="266" t="s">
        <v>42</v>
      </c>
      <c r="H115" s="267"/>
      <c r="J115" s="238"/>
      <c r="K115" s="238"/>
      <c r="L115" s="238"/>
      <c r="M115" s="238"/>
      <c r="N115" s="238"/>
      <c r="O115" s="238"/>
    </row>
    <row r="116" spans="2:17" hidden="1">
      <c r="B116" s="238"/>
      <c r="C116" s="266" t="s">
        <v>43</v>
      </c>
      <c r="H116" s="267"/>
      <c r="J116" s="238"/>
      <c r="K116" s="238"/>
      <c r="L116" s="238"/>
      <c r="M116" s="238"/>
      <c r="N116" s="238"/>
      <c r="O116" s="238"/>
    </row>
    <row r="117" spans="2:17" ht="18" hidden="1">
      <c r="B117" s="238"/>
      <c r="C117" s="266" t="s">
        <v>44</v>
      </c>
      <c r="H117" s="269">
        <v>55.85</v>
      </c>
      <c r="J117" s="251"/>
      <c r="K117" s="251"/>
      <c r="L117" s="238"/>
      <c r="M117" s="238"/>
      <c r="N117" s="238"/>
      <c r="O117" s="238"/>
    </row>
    <row r="118" spans="2:17" ht="18" hidden="1">
      <c r="B118" s="238"/>
      <c r="C118" s="266" t="s">
        <v>45</v>
      </c>
      <c r="H118" s="269">
        <v>32.06</v>
      </c>
      <c r="J118" s="251"/>
      <c r="K118" s="251"/>
      <c r="L118" s="238"/>
      <c r="M118" s="238"/>
      <c r="N118" s="238"/>
      <c r="O118" s="238"/>
    </row>
    <row r="119" spans="2:17" ht="18" hidden="1">
      <c r="B119" s="238"/>
      <c r="C119" s="266" t="s">
        <v>46</v>
      </c>
      <c r="H119" s="270">
        <v>1.371</v>
      </c>
      <c r="J119" s="251" t="s">
        <v>93</v>
      </c>
      <c r="K119" s="251"/>
      <c r="L119" s="238"/>
      <c r="M119" s="238"/>
      <c r="N119" s="238"/>
      <c r="O119" s="238"/>
    </row>
    <row r="120" spans="2:17" ht="18" hidden="1">
      <c r="B120" s="238"/>
      <c r="C120" s="266" t="s">
        <v>47</v>
      </c>
      <c r="H120" s="267" t="s">
        <v>48</v>
      </c>
      <c r="J120" s="238"/>
      <c r="K120" s="238"/>
      <c r="L120" s="238"/>
      <c r="M120" s="238"/>
      <c r="N120" s="238"/>
      <c r="O120" s="238"/>
    </row>
    <row r="121" spans="2:17" ht="18" hidden="1">
      <c r="B121" s="238"/>
      <c r="C121" s="266" t="s">
        <v>49</v>
      </c>
      <c r="H121" s="267" t="s">
        <v>48</v>
      </c>
      <c r="J121" s="238"/>
      <c r="K121" s="238"/>
      <c r="L121" s="238"/>
      <c r="M121" s="238"/>
      <c r="N121" s="238"/>
      <c r="O121" s="238"/>
    </row>
    <row r="122" spans="2:17" ht="17.25" hidden="1">
      <c r="B122" s="238"/>
      <c r="C122" s="266" t="s">
        <v>50</v>
      </c>
      <c r="H122" s="271">
        <f xml:space="preserve"> 10 ^ -J67</f>
        <v>3.1622703787633577E-8</v>
      </c>
      <c r="J122" s="272">
        <f xml:space="preserve"> 1 / (10 ^ J67)</f>
        <v>3.1622703787633577E-8</v>
      </c>
      <c r="K122" s="238"/>
      <c r="L122" s="238"/>
      <c r="M122" s="238"/>
      <c r="N122" s="238"/>
      <c r="O122" s="238"/>
    </row>
    <row r="123" spans="2:17" hidden="1">
      <c r="B123" s="238"/>
      <c r="C123" s="266" t="s">
        <v>51</v>
      </c>
      <c r="H123" s="271">
        <f xml:space="preserve"> 10 ^ -(1351.9 / (J66 + 273.15) + 0.0992 + 0.00792 * (J66 + 273.15))</f>
        <v>1.3545608167512498E-7</v>
      </c>
      <c r="J123" s="238">
        <f xml:space="preserve"> 1 / 10 ^ (1351.9 / (J66 + 273.15) + 0.0992 + 0.00792 * (J66 + 273.15))</f>
        <v>1.3545608167512498E-7</v>
      </c>
      <c r="K123" s="238"/>
      <c r="L123" s="238"/>
      <c r="M123" s="238"/>
      <c r="N123" s="238"/>
      <c r="O123" s="238"/>
    </row>
    <row r="124" spans="2:17" hidden="1">
      <c r="B124" s="238"/>
      <c r="C124" s="266" t="s">
        <v>52</v>
      </c>
      <c r="H124" s="273">
        <f xml:space="preserve"> 10 ^ -11.96</f>
        <v>1.0964781961431817E-12</v>
      </c>
      <c r="J124" s="186"/>
      <c r="K124" s="186"/>
      <c r="L124" s="238"/>
      <c r="M124" s="238"/>
      <c r="N124" s="238"/>
      <c r="O124" s="238"/>
    </row>
    <row r="125" spans="2:17" ht="17.25" hidden="1">
      <c r="B125" s="238"/>
      <c r="C125" s="274" t="s">
        <v>265</v>
      </c>
      <c r="H125" s="271">
        <f xml:space="preserve"> (1 + H123 / H122 + H123 * H124 / H122 ^ 2) ^ -1</f>
        <v>0.18926289639535035</v>
      </c>
      <c r="J125" s="186"/>
      <c r="K125" s="186"/>
      <c r="L125" s="238"/>
      <c r="M125" s="238"/>
      <c r="N125" s="238"/>
      <c r="O125" s="238"/>
    </row>
    <row r="126" spans="2:17" hidden="1">
      <c r="B126" s="238"/>
      <c r="C126" s="274" t="s">
        <v>266</v>
      </c>
      <c r="H126" s="271">
        <f xml:space="preserve"> H123 / H122 * H125</f>
        <v>0.81070899327162738</v>
      </c>
      <c r="J126" s="275" t="s">
        <v>257</v>
      </c>
      <c r="K126" s="275"/>
      <c r="L126" s="276"/>
      <c r="M126" s="276"/>
      <c r="N126" s="276"/>
      <c r="O126" s="276"/>
      <c r="P126" s="136"/>
      <c r="Q126" s="136"/>
    </row>
    <row r="127" spans="2:17" hidden="1">
      <c r="B127" s="238"/>
      <c r="C127" s="274" t="s">
        <v>267</v>
      </c>
      <c r="H127" s="271">
        <f xml:space="preserve"> H123 * H124 / H122 ^ 2 * H125</f>
        <v>2.8110333022413889E-5</v>
      </c>
      <c r="J127" s="277" t="s">
        <v>254</v>
      </c>
      <c r="K127" s="275"/>
      <c r="L127" s="276"/>
      <c r="M127" s="276"/>
      <c r="N127" s="276"/>
      <c r="O127" s="276"/>
      <c r="P127" s="136"/>
      <c r="Q127" s="136"/>
    </row>
    <row r="128" spans="2:17" hidden="1">
      <c r="B128" s="238"/>
      <c r="C128" s="92" t="s">
        <v>222</v>
      </c>
      <c r="D128" s="278"/>
      <c r="E128" s="278"/>
      <c r="F128" s="278"/>
      <c r="G128" s="278"/>
      <c r="H128" s="279"/>
      <c r="J128" s="275" t="s">
        <v>268</v>
      </c>
      <c r="K128" s="275"/>
      <c r="L128" s="276"/>
      <c r="M128" s="276"/>
      <c r="N128" s="280">
        <f xml:space="preserve"> SUM(H125:H127)</f>
        <v>1.0000000000000002</v>
      </c>
      <c r="O128" s="276"/>
      <c r="P128" s="136"/>
      <c r="Q128" s="136"/>
    </row>
    <row r="129" spans="2:15" ht="18" hidden="1">
      <c r="B129" s="238"/>
      <c r="C129" s="281" t="s">
        <v>225</v>
      </c>
      <c r="D129" s="235"/>
      <c r="E129" s="235"/>
      <c r="F129" s="235"/>
      <c r="G129" s="235"/>
      <c r="H129" s="282">
        <f xml:space="preserve"> (32.064 * 4.67 * 10 ^ -(1.761 * J66 / (116.94 + J66))) / 22.41</f>
        <v>2.1654332916688133</v>
      </c>
      <c r="J129" s="186"/>
      <c r="K129" s="186"/>
      <c r="L129" s="238"/>
      <c r="M129" s="238"/>
      <c r="N129" s="238"/>
      <c r="O129" s="238"/>
    </row>
    <row r="130" spans="2:15" ht="18" hidden="1">
      <c r="B130" s="238"/>
      <c r="C130" s="283" t="s">
        <v>224</v>
      </c>
      <c r="D130" s="235"/>
      <c r="E130" s="235"/>
      <c r="F130" s="235"/>
      <c r="G130" s="235"/>
      <c r="H130" s="284"/>
      <c r="J130" s="186"/>
      <c r="K130" s="186"/>
      <c r="L130" s="238"/>
      <c r="M130" s="238"/>
      <c r="N130" s="238"/>
      <c r="O130" s="238"/>
    </row>
    <row r="131" spans="2:15" ht="18" hidden="1">
      <c r="B131" s="238"/>
      <c r="C131" s="281" t="s">
        <v>227</v>
      </c>
      <c r="D131" s="235"/>
      <c r="E131" s="235"/>
      <c r="F131" s="235"/>
      <c r="G131" s="285" t="s">
        <v>255</v>
      </c>
      <c r="H131" s="286">
        <f xml:space="preserve"> (J65 / 1000000) * (H129 * 1000) / H125</f>
        <v>20.022457305471914</v>
      </c>
      <c r="J131" s="89" t="s">
        <v>221</v>
      </c>
      <c r="K131" s="89"/>
      <c r="L131" s="287">
        <f xml:space="preserve"> J70 * H117 / H118 * (IF(AND(ISNUMBER(J68), J68 &gt; 0), J68 / H125, H131) * J63 + J65 / 1000 * H119 * J64)</f>
        <v>307325.98791304789</v>
      </c>
      <c r="M131" s="238"/>
      <c r="N131" s="276" t="s">
        <v>256</v>
      </c>
      <c r="O131" s="238"/>
    </row>
    <row r="132" spans="2:15" hidden="1">
      <c r="B132" s="238"/>
      <c r="C132" s="88" t="s">
        <v>223</v>
      </c>
      <c r="D132" s="87"/>
      <c r="E132" s="87"/>
      <c r="F132" s="87"/>
      <c r="G132" s="87"/>
      <c r="H132" s="91"/>
      <c r="J132" s="186"/>
      <c r="K132" s="186"/>
      <c r="L132" s="238"/>
      <c r="M132" s="238"/>
      <c r="N132" s="238"/>
      <c r="O132" s="238"/>
    </row>
    <row r="133" spans="2:15" ht="18" hidden="1">
      <c r="B133" s="238"/>
      <c r="C133" s="237" t="s">
        <v>53</v>
      </c>
      <c r="H133" s="288" t="s">
        <v>54</v>
      </c>
      <c r="J133" s="289" t="s">
        <v>55</v>
      </c>
      <c r="K133" s="290"/>
      <c r="L133" s="238"/>
      <c r="M133" s="238"/>
      <c r="N133" s="238"/>
      <c r="O133" s="238"/>
    </row>
    <row r="134" spans="2:15" ht="18" hidden="1">
      <c r="B134" s="238"/>
      <c r="C134" s="291" t="s">
        <v>56</v>
      </c>
      <c r="H134" s="292" t="s">
        <v>57</v>
      </c>
      <c r="J134" s="293" t="s">
        <v>58</v>
      </c>
      <c r="K134" s="290"/>
      <c r="L134" s="238"/>
      <c r="M134" s="238"/>
      <c r="N134" s="238"/>
      <c r="O134" s="238"/>
    </row>
    <row r="135" spans="2:15" ht="18" hidden="1">
      <c r="B135" s="238"/>
      <c r="C135" s="291" t="s">
        <v>226</v>
      </c>
      <c r="H135" s="271">
        <f xml:space="preserve"> EXP((LN(J65) - 6.42) / 0.78) / H125</f>
        <v>20.234754869812299</v>
      </c>
      <c r="J135" s="294"/>
      <c r="K135" s="294"/>
      <c r="L135" s="294"/>
      <c r="M135" s="238"/>
      <c r="N135" s="238"/>
      <c r="O135" s="238"/>
    </row>
    <row r="136" spans="2:15" hidden="1">
      <c r="B136" s="238"/>
      <c r="C136" s="295"/>
      <c r="D136" s="296"/>
      <c r="E136" s="296"/>
      <c r="F136" s="296"/>
      <c r="G136" s="296"/>
      <c r="H136" s="279"/>
      <c r="L136" s="294"/>
      <c r="M136" s="238"/>
      <c r="N136" s="238"/>
      <c r="O136" s="238"/>
    </row>
    <row r="137" spans="2:15" hidden="1">
      <c r="B137" s="238"/>
      <c r="C137" s="90" t="s">
        <v>59</v>
      </c>
      <c r="D137" s="297"/>
      <c r="E137" s="297"/>
      <c r="F137" s="297"/>
      <c r="G137" s="297"/>
      <c r="H137" s="298">
        <f xml:space="preserve"> J70 * H117 / H118 * (IF(AND(ISNUMBER(J68), J68 &gt; 0), J68, H135) * J63 + J65 / 1000 * H119 * J64)</f>
        <v>307476.8795226831</v>
      </c>
      <c r="J137" s="238"/>
      <c r="K137" s="238"/>
      <c r="L137" s="238"/>
      <c r="M137" s="238"/>
      <c r="N137" s="238"/>
      <c r="O137" s="238"/>
    </row>
    <row r="138" spans="2:15" ht="18" hidden="1">
      <c r="B138" s="238"/>
      <c r="C138" s="299" t="s">
        <v>60</v>
      </c>
      <c r="H138" s="257"/>
      <c r="J138" s="238"/>
      <c r="K138" s="238"/>
      <c r="L138" s="238"/>
      <c r="M138" s="238"/>
      <c r="N138" s="238"/>
      <c r="O138" s="238"/>
    </row>
    <row r="139" spans="2:15" hidden="1">
      <c r="B139" s="238"/>
      <c r="C139" s="238"/>
      <c r="H139" s="238"/>
      <c r="J139" s="238"/>
      <c r="K139" s="238"/>
      <c r="L139" s="238"/>
      <c r="M139" s="238"/>
      <c r="N139" s="238"/>
      <c r="O139" s="238"/>
    </row>
    <row r="140" spans="2:15" hidden="1">
      <c r="B140" s="238"/>
      <c r="C140" s="262" t="s">
        <v>61</v>
      </c>
      <c r="H140" s="263" t="s">
        <v>62</v>
      </c>
      <c r="J140" s="264" t="s">
        <v>36</v>
      </c>
      <c r="K140" s="265"/>
      <c r="L140" s="238"/>
      <c r="M140" s="238"/>
      <c r="N140" s="238"/>
      <c r="O140" s="238"/>
    </row>
    <row r="141" spans="2:15" hidden="1">
      <c r="B141" s="238"/>
      <c r="C141" s="266" t="s">
        <v>63</v>
      </c>
      <c r="H141" s="300" t="str">
        <f xml:space="preserve"> "77.73%: Fe ion ratio [m/m] in FeO → " &amp; TEXT(J141 * 0.7773, "0.0") &amp; "%"</f>
        <v>77.73%: Fe ion ratio [m/m] in FeO → 10.9%</v>
      </c>
      <c r="J141" s="301">
        <v>14</v>
      </c>
      <c r="K141" s="302"/>
      <c r="L141" s="238"/>
      <c r="M141" s="238"/>
      <c r="N141" s="238"/>
      <c r="O141" s="238"/>
    </row>
    <row r="142" spans="2:15" ht="18" hidden="1">
      <c r="B142" s="238"/>
      <c r="C142" s="266" t="s">
        <v>64</v>
      </c>
      <c r="H142" s="268" t="str">
        <f xml:space="preserve"> "69.94%: Fe ion ratio [m/m] in Fe2O3 → " &amp; TEXT(J142 * 0.6994, "0.0") &amp; "%"</f>
        <v>69.94%: Fe ion ratio [m/m] in Fe2O3 → 29.2%</v>
      </c>
      <c r="J142" s="301">
        <v>41.8</v>
      </c>
      <c r="K142" s="302"/>
      <c r="L142" s="238"/>
      <c r="M142" s="238"/>
      <c r="N142" s="238"/>
      <c r="O142" s="238"/>
    </row>
    <row r="143" spans="2:15" hidden="1">
      <c r="B143" s="238"/>
      <c r="C143" s="266" t="s">
        <v>65</v>
      </c>
      <c r="H143" s="303">
        <f xml:space="preserve"> (J141 / 100 * 0.7773 + J142 / 100 * 0.6994) * 100</f>
        <v>40.11712</v>
      </c>
      <c r="J143" s="238"/>
      <c r="K143" s="238"/>
      <c r="L143" s="238"/>
      <c r="M143" s="238"/>
      <c r="N143" s="238"/>
      <c r="O143" s="238"/>
    </row>
    <row r="144" spans="2:15" hidden="1">
      <c r="B144" s="238"/>
      <c r="C144" s="238"/>
      <c r="H144" s="257"/>
      <c r="J144" s="238"/>
      <c r="K144" s="238"/>
      <c r="L144" s="238"/>
      <c r="M144" s="238"/>
      <c r="N144" s="238"/>
      <c r="O144" s="238"/>
    </row>
    <row r="145" spans="2:15" ht="15.75" hidden="1" thickBot="1">
      <c r="B145" s="238"/>
      <c r="C145" s="16" t="s">
        <v>66</v>
      </c>
      <c r="H145" s="17">
        <f xml:space="preserve"> $H$137 / $H$143 * 100 / 1000</f>
        <v>766.44803894866607</v>
      </c>
      <c r="J145" s="238"/>
      <c r="K145" s="238"/>
      <c r="L145" s="238"/>
      <c r="M145" s="238"/>
      <c r="N145" s="238"/>
      <c r="O145" s="238"/>
    </row>
    <row r="146" spans="2:15" ht="15.75" hidden="1" thickTop="1">
      <c r="B146" s="238"/>
      <c r="C146" s="238"/>
      <c r="D146" s="238"/>
      <c r="E146" s="238"/>
      <c r="F146" s="238"/>
      <c r="G146" s="238"/>
      <c r="H146" s="238"/>
      <c r="I146" s="238"/>
      <c r="J146" s="238"/>
      <c r="K146" s="238"/>
      <c r="L146" s="238"/>
      <c r="M146" s="238"/>
      <c r="N146" s="238"/>
      <c r="O146" s="238"/>
    </row>
    <row r="147" spans="2:15" hidden="1">
      <c r="B147" s="238"/>
      <c r="C147" s="238" t="s">
        <v>67</v>
      </c>
      <c r="D147" s="238"/>
      <c r="E147" s="238"/>
      <c r="F147" s="238"/>
      <c r="G147" s="238"/>
      <c r="H147" s="238"/>
      <c r="I147" s="238"/>
      <c r="J147" s="238"/>
      <c r="K147" s="238"/>
      <c r="L147" s="238"/>
      <c r="M147" s="238"/>
      <c r="N147" s="238"/>
      <c r="O147" s="238"/>
    </row>
    <row r="148" spans="2:15" hidden="1">
      <c r="B148" s="238"/>
      <c r="C148" s="238" t="s">
        <v>68</v>
      </c>
      <c r="D148" s="304"/>
      <c r="E148" s="304"/>
      <c r="F148" s="238"/>
      <c r="G148" s="238"/>
      <c r="H148" s="238"/>
      <c r="I148" s="238"/>
      <c r="J148" s="238"/>
      <c r="K148" s="238"/>
      <c r="L148" s="238"/>
      <c r="M148" s="238"/>
      <c r="N148" s="238"/>
      <c r="O148" s="238"/>
    </row>
    <row r="149" spans="2:15" hidden="1">
      <c r="B149" s="238"/>
      <c r="C149" s="238" t="s">
        <v>69</v>
      </c>
      <c r="D149" s="305"/>
      <c r="E149" s="305"/>
      <c r="F149" s="238"/>
      <c r="G149" s="238"/>
      <c r="H149" s="238"/>
      <c r="I149" s="238"/>
      <c r="J149" s="238"/>
      <c r="K149" s="238"/>
      <c r="L149" s="238"/>
      <c r="M149" s="238"/>
      <c r="N149" s="238"/>
      <c r="O149" s="238"/>
    </row>
    <row r="150" spans="2:15" hidden="1">
      <c r="B150" s="238"/>
      <c r="C150" s="238"/>
      <c r="D150" s="257"/>
      <c r="E150" s="257"/>
      <c r="F150" s="238"/>
      <c r="G150" s="238"/>
      <c r="H150" s="238"/>
      <c r="I150" s="238"/>
      <c r="J150" s="238"/>
      <c r="K150" s="238"/>
      <c r="L150" s="238"/>
      <c r="M150" s="238"/>
      <c r="N150" s="238"/>
      <c r="O150" s="238"/>
    </row>
    <row r="151" spans="2:15" hidden="1">
      <c r="B151" s="192"/>
      <c r="C151" s="257" t="s">
        <v>70</v>
      </c>
      <c r="D151" s="257"/>
      <c r="E151" s="257"/>
      <c r="F151" s="238"/>
      <c r="G151" s="238"/>
      <c r="H151" s="238"/>
      <c r="I151" s="238"/>
      <c r="J151" s="238"/>
      <c r="K151" s="238"/>
      <c r="L151" s="192"/>
      <c r="M151" s="192"/>
      <c r="N151" s="192"/>
      <c r="O151" s="192"/>
    </row>
    <row r="152" spans="2:15" hidden="1">
      <c r="B152" s="192"/>
      <c r="C152" s="306" t="s">
        <v>71</v>
      </c>
      <c r="D152" s="238"/>
      <c r="E152" s="238"/>
      <c r="F152" s="238"/>
      <c r="G152" s="238"/>
      <c r="H152" s="238"/>
      <c r="I152" s="238"/>
      <c r="J152" s="192"/>
      <c r="K152" s="192"/>
      <c r="L152" s="192"/>
      <c r="M152" s="192"/>
      <c r="N152" s="192"/>
      <c r="O152" s="192"/>
    </row>
    <row r="153" spans="2:15" hidden="1">
      <c r="B153" s="192"/>
      <c r="C153" s="238" t="s">
        <v>72</v>
      </c>
      <c r="D153" s="257"/>
      <c r="E153" s="257"/>
      <c r="F153" s="238"/>
      <c r="G153" s="192"/>
      <c r="H153" s="238"/>
      <c r="I153" s="238"/>
      <c r="J153" s="192"/>
      <c r="K153" s="192"/>
      <c r="L153" s="192"/>
      <c r="M153" s="192"/>
      <c r="N153" s="192"/>
      <c r="O153" s="192"/>
    </row>
    <row r="154" spans="2:15" hidden="1">
      <c r="B154" s="192"/>
      <c r="C154" s="306" t="s">
        <v>73</v>
      </c>
      <c r="D154" s="216"/>
      <c r="E154" s="216"/>
      <c r="F154" s="192"/>
      <c r="G154" s="192"/>
      <c r="H154" s="192"/>
      <c r="I154" s="192"/>
      <c r="J154" s="192"/>
      <c r="K154" s="192"/>
      <c r="L154" s="192"/>
      <c r="M154" s="192"/>
      <c r="N154" s="192"/>
      <c r="O154" s="192"/>
    </row>
    <row r="155" spans="2:15" hidden="1">
      <c r="B155" s="192"/>
      <c r="C155" s="238" t="s">
        <v>74</v>
      </c>
      <c r="D155" s="216"/>
      <c r="E155" s="216"/>
      <c r="F155" s="192"/>
      <c r="G155" s="192"/>
      <c r="H155" s="192"/>
      <c r="I155" s="192"/>
      <c r="J155" s="192"/>
      <c r="K155" s="192"/>
      <c r="L155" s="192"/>
      <c r="M155" s="192"/>
      <c r="N155" s="192"/>
      <c r="O155" s="192"/>
    </row>
    <row r="156" spans="2:15" hidden="1">
      <c r="B156" s="192"/>
      <c r="C156" s="18" t="s">
        <v>75</v>
      </c>
      <c r="D156" s="216"/>
      <c r="E156" s="216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</row>
    <row r="157" spans="2:15" hidden="1">
      <c r="B157" s="192"/>
      <c r="C157" s="238" t="s">
        <v>76</v>
      </c>
      <c r="D157" s="216"/>
      <c r="E157" s="216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</row>
  </sheetData>
  <sheetProtection sheet="1" objects="1" scenarios="1" selectLockedCells="1"/>
  <mergeCells count="1">
    <mergeCell ref="J81:L81"/>
  </mergeCells>
  <conditionalFormatting sqref="N50:P50">
    <cfRule type="expression" dxfId="5" priority="7">
      <formula xml:space="preserve"> NOT(ISERROR(SEARCH("sbgx", $N$50)))</formula>
    </cfRule>
  </conditionalFormatting>
  <conditionalFormatting sqref="N54:P54">
    <cfRule type="expression" dxfId="4" priority="6">
      <formula xml:space="preserve"> NOT(ISERROR(SEARCH("sbgx", $N$54)))</formula>
    </cfRule>
  </conditionalFormatting>
  <conditionalFormatting sqref="E49:G49">
    <cfRule type="expression" dxfId="3" priority="22">
      <formula xml:space="preserve"> NOT(OR($AB$51, $AL$51))</formula>
    </cfRule>
  </conditionalFormatting>
  <conditionalFormatting sqref="G20:G30">
    <cfRule type="expression" dxfId="2" priority="3">
      <formula xml:space="preserve"> NOT(N20 = "")</formula>
    </cfRule>
  </conditionalFormatting>
  <conditionalFormatting sqref="J63:J68 J70">
    <cfRule type="expression" dxfId="1" priority="2">
      <formula xml:space="preserve"> AND(MOD(J63 * 1000000, 100) &gt; 0.99, MOD(J63 * 1000000, 100) &lt; 1.01)</formula>
    </cfRule>
  </conditionalFormatting>
  <conditionalFormatting sqref="J52">
    <cfRule type="expression" dxfId="0" priority="1">
      <formula xml:space="preserve"> NOT($L$52 = "")</formula>
    </cfRule>
  </conditionalFormatting>
  <dataValidations count="7">
    <dataValidation type="list" allowBlank="1" showInputMessage="1" showErrorMessage="1" errorTitle="Invalit timeframe" error="Please select one of the timeframes offered in the list box." sqref="L58:L59">
      <formula1>$AS$41:$AS$44</formula1>
    </dataValidation>
    <dataValidation type="list" allowBlank="1" showInputMessage="1" showErrorMessage="1" sqref="F46">
      <formula1>$T$57:$T$59</formula1>
    </dataValidation>
    <dataValidation type="list" allowBlank="1" showInputMessage="1" showErrorMessage="1" errorTitle="Invalid measuring unit" error="Please select one of the measuring units offered in the list box." sqref="F53">
      <formula1 xml:space="preserve"> IF($V$61 = 0, $AO$42:$AO$45, IF($V$61 = 1, $AO$55, IF($V$61 = 2, $AO$59:$AO$60, $AO$63:$AO$64)))</formula1>
    </dataValidation>
    <dataValidation type="list" allowBlank="1" showInputMessage="1" showErrorMessage="1" errorTitle="Invalid measuring unit" error="Please select one of the measuring units offered in the list box." sqref="F49">
      <formula1 xml:space="preserve"> IF($V$61 = 0, $AF$42:$AF$44, IF($V$61 = 1, $AF$55, IF($V$61 = 2, $AF$59, $AF$63)))</formula1>
    </dataValidation>
    <dataValidation type="list" allowBlank="1" showErrorMessage="1" errorTitle="Invalid measuring unit" error="Please select one of the measuring units offered in the list box." promptTitle="Select the measuring unit" prompt="by clicking on the down arrow on the right side border of the cell" sqref="F48">
      <formula1 xml:space="preserve"> IF($V$61 = 0, $Z$42:$Z$49, IF($V$61 = 1, $Z$55:$Z$57, IF($V$61 = 2, $Z$59:$Z$61, $Z$63:$Z$65)))</formula1>
    </dataValidation>
    <dataValidation type="list" allowBlank="1" showInputMessage="1" showErrorMessage="1" errorTitle="Invalid measuring unit" error="Please select one of the measuring units offered in the list box." sqref="F51">
      <formula1 xml:space="preserve"> IF($V$61 = 0, $AJ$42:$AJ$49, IF($V$61 = 1, $AJ$55:$AJ$57, IF($V$61 = 2, $AJ$59:$AJ$61, $AJ$63:$AJ$65)))</formula1>
    </dataValidation>
    <dataValidation type="custom" allowBlank="1" showInputMessage="1" showErrorMessage="1" sqref="I81 J81:L81">
      <formula1>"&lt; 0 &gt; 0"</formula1>
    </dataValidation>
  </dataValidations>
  <hyperlinks>
    <hyperlink ref="C152" r:id="rId1"/>
    <hyperlink ref="C154" r:id="rId2"/>
    <hyperlink ref="C156" r:id="rId3"/>
    <hyperlink ref="J127" r:id="rId4"/>
    <hyperlink ref="J81:L81" r:id="rId5" display="Link to source (in German)"/>
  </hyperlinks>
  <pageMargins left="0.39370078740157483" right="0.39370078740157483" top="0.47244094488188981" bottom="0.47244094488188981" header="0.31496062992125984" footer="0.31496062992125984"/>
  <pageSetup paperSize="9" orientation="landscape" horizontalDpi="0" verticalDpi="0" r:id="rId6"/>
  <ignoredErrors>
    <ignoredError sqref="D26" formula="1"/>
  </ignoredError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B22" sqref="B22"/>
    </sheetView>
  </sheetViews>
  <sheetFormatPr defaultRowHeight="15"/>
  <cols>
    <col min="1" max="1" width="17.5" style="1" customWidth="1"/>
    <col min="2" max="5" width="15" style="1" customWidth="1"/>
    <col min="6" max="7" width="12.5" style="1" customWidth="1"/>
    <col min="8" max="1024" width="10.625" style="1" customWidth="1"/>
    <col min="1025" max="16384" width="9" style="1"/>
  </cols>
  <sheetData>
    <row r="1" spans="1:10">
      <c r="C1" s="2"/>
      <c r="D1" s="2"/>
      <c r="E1" s="3"/>
    </row>
    <row r="2" spans="1:10">
      <c r="A2" s="24" t="str">
        <f>A20</f>
        <v>*** This version is authorised by SwissBiogas.com ***</v>
      </c>
      <c r="C2" s="2"/>
      <c r="D2" s="2"/>
      <c r="E2" s="3"/>
    </row>
    <row r="3" spans="1:10" ht="30">
      <c r="A3" s="4" t="s">
        <v>22</v>
      </c>
      <c r="B3" s="5" t="s">
        <v>23</v>
      </c>
      <c r="C3" s="6" t="s">
        <v>89</v>
      </c>
      <c r="D3" s="6" t="s">
        <v>90</v>
      </c>
      <c r="E3" s="6" t="s">
        <v>91</v>
      </c>
    </row>
    <row r="4" spans="1:10">
      <c r="A4" s="7" t="s">
        <v>8</v>
      </c>
      <c r="B4" s="8" t="s">
        <v>9</v>
      </c>
      <c r="C4" s="8">
        <v>1.0079400000000001</v>
      </c>
      <c r="D4" s="9"/>
      <c r="E4" s="8"/>
    </row>
    <row r="5" spans="1:10">
      <c r="A5" s="7" t="s">
        <v>0</v>
      </c>
      <c r="B5" s="8" t="s">
        <v>1</v>
      </c>
      <c r="C5" s="8">
        <v>15.9994</v>
      </c>
      <c r="D5" s="8"/>
      <c r="E5" s="8"/>
    </row>
    <row r="6" spans="1:10">
      <c r="A6" s="7" t="s">
        <v>10</v>
      </c>
      <c r="B6" s="10" t="s">
        <v>11</v>
      </c>
      <c r="C6" s="10">
        <v>35.453000000000003</v>
      </c>
      <c r="D6" s="8"/>
      <c r="E6" s="10"/>
    </row>
    <row r="7" spans="1:10">
      <c r="A7" s="7" t="s">
        <v>2</v>
      </c>
      <c r="B7" s="8" t="s">
        <v>3</v>
      </c>
      <c r="C7" s="19">
        <f xml:space="preserve"> IF(EXACT('RIIC Calculator'!L90, "powered by SwissBiogas.com"), 55.845, 0)</f>
        <v>55.844999999999999</v>
      </c>
      <c r="D7" s="8"/>
      <c r="E7" s="8"/>
    </row>
    <row r="8" spans="1:10">
      <c r="A8" s="7" t="s">
        <v>4</v>
      </c>
      <c r="B8" s="8" t="s">
        <v>5</v>
      </c>
      <c r="C8" s="8"/>
      <c r="D8" s="8">
        <f xml:space="preserve"> C7 + C5</f>
        <v>71.844399999999993</v>
      </c>
      <c r="E8" s="15">
        <f xml:space="preserve"> C7 / D8 * 100</f>
        <v>77.730484213104987</v>
      </c>
    </row>
    <row r="9" spans="1:10" ht="18">
      <c r="A9" s="7" t="s">
        <v>6</v>
      </c>
      <c r="B9" s="8" t="s">
        <v>21</v>
      </c>
      <c r="C9" s="8"/>
      <c r="D9" s="8">
        <f xml:space="preserve"> 2 * C7 + 3 * C5</f>
        <v>159.68819999999999</v>
      </c>
      <c r="E9" s="15">
        <f xml:space="preserve"> 2 * C7 / D9 * 100</f>
        <v>69.942550545375298</v>
      </c>
    </row>
    <row r="10" spans="1:10" ht="18">
      <c r="A10" s="7" t="s">
        <v>7</v>
      </c>
      <c r="B10" s="8" t="s">
        <v>16</v>
      </c>
      <c r="C10" s="8"/>
      <c r="D10" s="8">
        <f xml:space="preserve"> 3 * C7 + 4 * C5</f>
        <v>231.5326</v>
      </c>
      <c r="E10" s="15">
        <f xml:space="preserve"> 3 * C7 / D10 * 100</f>
        <v>72.3591407862219</v>
      </c>
    </row>
    <row r="11" spans="1:10" ht="18">
      <c r="A11" s="7" t="s">
        <v>12</v>
      </c>
      <c r="B11" s="8" t="s">
        <v>17</v>
      </c>
      <c r="C11" s="8"/>
      <c r="D11" s="8">
        <f xml:space="preserve"> C7 + 2 * C6</f>
        <v>126.751</v>
      </c>
      <c r="E11" s="15">
        <f xml:space="preserve"> C7 / D11 * 100</f>
        <v>44.058823993499061</v>
      </c>
    </row>
    <row r="12" spans="1:10" ht="18">
      <c r="A12" s="7" t="s">
        <v>13</v>
      </c>
      <c r="B12" s="8" t="s">
        <v>18</v>
      </c>
      <c r="C12" s="8"/>
      <c r="D12" s="8">
        <f xml:space="preserve"> C7 + 3 * C6</f>
        <v>162.20400000000001</v>
      </c>
      <c r="E12" s="15">
        <f xml:space="preserve"> C7 / D12 * 100</f>
        <v>34.428867352223122</v>
      </c>
    </row>
    <row r="13" spans="1:10">
      <c r="A13" s="7" t="s">
        <v>14</v>
      </c>
      <c r="B13" s="8" t="s">
        <v>15</v>
      </c>
      <c r="C13" s="8"/>
      <c r="D13" s="8">
        <f xml:space="preserve"> C7 + 2 * C5 + C4</f>
        <v>88.851740000000007</v>
      </c>
      <c r="E13" s="15">
        <f xml:space="preserve"> C7 / D13 * 100</f>
        <v>62.8518923771217</v>
      </c>
      <c r="J13" s="11"/>
    </row>
    <row r="14" spans="1:10" ht="18">
      <c r="A14" s="20" t="s">
        <v>82</v>
      </c>
      <c r="B14" s="21" t="s">
        <v>83</v>
      </c>
      <c r="C14" s="8"/>
      <c r="D14" s="8">
        <f xml:space="preserve"> C7 + (C5 + C4) * 2</f>
        <v>89.859679999999997</v>
      </c>
      <c r="E14" s="15">
        <f xml:space="preserve"> C7 / D14 * 100</f>
        <v>62.146893912820524</v>
      </c>
      <c r="J14" s="11"/>
    </row>
    <row r="15" spans="1:10" ht="18">
      <c r="A15" s="20" t="s">
        <v>81</v>
      </c>
      <c r="B15" s="56" t="s">
        <v>20</v>
      </c>
      <c r="C15" s="8"/>
      <c r="D15" s="8">
        <f xml:space="preserve"> C7 + (C5 + C4) * 3</f>
        <v>106.86702</v>
      </c>
      <c r="E15" s="15">
        <f xml:space="preserve"> C7 / D15 * 100</f>
        <v>52.256533400107905</v>
      </c>
      <c r="J15" s="11"/>
    </row>
    <row r="16" spans="1:10" ht="18">
      <c r="A16" s="55" t="s">
        <v>132</v>
      </c>
      <c r="B16" s="56" t="s">
        <v>133</v>
      </c>
      <c r="C16" s="8"/>
      <c r="D16" s="8">
        <f xml:space="preserve"> 2 * C7 + 6 * C4 + 6 * C5</f>
        <v>213.73403999999999</v>
      </c>
      <c r="E16" s="15">
        <f xml:space="preserve"> 2 * C7 / D16 * 100</f>
        <v>52.256533400107905</v>
      </c>
      <c r="J16" s="11"/>
    </row>
    <row r="17" spans="1:10">
      <c r="A17" s="20"/>
      <c r="B17" s="8"/>
      <c r="C17" s="8"/>
      <c r="D17" s="8"/>
      <c r="E17" s="15"/>
      <c r="J17" s="11"/>
    </row>
    <row r="18" spans="1:10">
      <c r="J18" s="11"/>
    </row>
    <row r="20" spans="1:10">
      <c r="A20" s="24" t="str">
        <f xml:space="preserve"> IF(C7 &gt; 0, "*** This version is authorised by SwissBiogas.com ***", "*** This version is NOT authorised by SwissBiogas.com ***")</f>
        <v>*** This version is authorised by SwissBiogas.com ***</v>
      </c>
    </row>
    <row r="21" spans="1:10" ht="31.5">
      <c r="A21" s="26"/>
      <c r="B21" s="12" t="s">
        <v>24</v>
      </c>
      <c r="C21" s="12" t="s">
        <v>25</v>
      </c>
      <c r="D21" s="13" t="s">
        <v>104</v>
      </c>
      <c r="E21" s="38" t="s">
        <v>250</v>
      </c>
    </row>
    <row r="22" spans="1:10">
      <c r="A22" s="14" t="s">
        <v>19</v>
      </c>
      <c r="B22" s="25">
        <v>41.82</v>
      </c>
      <c r="C22" s="25">
        <v>44.13</v>
      </c>
      <c r="D22" s="27">
        <v>2</v>
      </c>
      <c r="E22" s="27">
        <v>1.7</v>
      </c>
    </row>
  </sheetData>
  <sheetProtection algorithmName="SHA-512" hashValue="V5UcxJZGo3i5hRw1/rukUMb1xn+IuHJuP0+TBT+y3/jfJQwan2IAIH79rEsfWi22j8/B2GuVy/q/viG+XWtcpw==" saltValue="5INwaXKzByzAQdHMu6OyNA==" spinCount="100000" sheet="1" objects="1" scenarios="1" selectLockedCells="1"/>
  <pageMargins left="0" right="0" top="0.78661417322834648" bottom="0.62992125984251968" header="0.59015748031496063" footer="0.59015748031496063"/>
  <pageSetup paperSize="9" fitToWidth="0" fitToHeight="0" pageOrder="overThenDown" orientation="landscape" useFirstPageNumber="1" horizontalDpi="0" verticalDpi="0" r:id="rId1"/>
  <headerFooter>
    <oddFooter>&amp;R&amp;"Calibri2,Regular"&amp;9&amp;F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622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RIIC Calculator</vt:lpstr>
      <vt:lpstr>basis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andreas</cp:lastModifiedBy>
  <cp:revision>83</cp:revision>
  <cp:lastPrinted>2022-02-04T06:30:47Z</cp:lastPrinted>
  <dcterms:created xsi:type="dcterms:W3CDTF">2021-05-14T16:45:11Z</dcterms:created>
  <dcterms:modified xsi:type="dcterms:W3CDTF">2022-07-15T02:37:00Z</dcterms:modified>
</cp:coreProperties>
</file>