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usiness\SBG\calculation_iron_addition\"/>
    </mc:Choice>
  </mc:AlternateContent>
  <bookViews>
    <workbookView xWindow="0" yWindow="0" windowWidth="28440" windowHeight="12300"/>
  </bookViews>
  <sheets>
    <sheet name="RIIC calculator" sheetId="2" r:id="rId1"/>
    <sheet name="Dosage calculator" sheetId="3" r:id="rId2"/>
    <sheet name="Cost comparison" sheetId="4" r:id="rId3"/>
    <sheet name="basis" sheetId="1" state="hidden" r:id="rId4"/>
  </sheets>
  <calcPr calcId="152511"/>
</workbook>
</file>

<file path=xl/calcChain.xml><?xml version="1.0" encoding="utf-8"?>
<calcChain xmlns="http://schemas.openxmlformats.org/spreadsheetml/2006/main">
  <c r="E10" i="2" l="1"/>
  <c r="H26" i="4" l="1"/>
  <c r="C28" i="4" l="1"/>
  <c r="B2" i="2" l="1"/>
  <c r="C25" i="4" l="1"/>
  <c r="E27" i="4" l="1"/>
  <c r="H24" i="4" l="1"/>
  <c r="E28" i="4"/>
  <c r="I18" i="4"/>
  <c r="I17" i="4"/>
  <c r="I16" i="4"/>
  <c r="I15" i="4"/>
  <c r="I14" i="4"/>
  <c r="H13" i="4"/>
  <c r="I13" i="4" s="1"/>
  <c r="H12" i="4"/>
  <c r="I12" i="4" s="1"/>
  <c r="F18" i="4"/>
  <c r="F17" i="4"/>
  <c r="F16" i="4"/>
  <c r="F15" i="4"/>
  <c r="F14" i="4"/>
  <c r="F13" i="4"/>
  <c r="F12" i="4"/>
  <c r="J16" i="4" l="1"/>
  <c r="K16" i="4"/>
  <c r="J18" i="4"/>
  <c r="K18" i="4"/>
  <c r="J13" i="4"/>
  <c r="K13" i="4"/>
  <c r="J17" i="4"/>
  <c r="K17" i="4"/>
  <c r="K15" i="4"/>
  <c r="J15" i="4"/>
  <c r="K12" i="4"/>
  <c r="J12" i="4"/>
  <c r="K14" i="4"/>
  <c r="J14" i="4"/>
  <c r="F19" i="4"/>
  <c r="I19" i="4"/>
  <c r="D23" i="3"/>
  <c r="B24" i="3"/>
  <c r="J19" i="4" l="1"/>
  <c r="H23" i="4"/>
  <c r="I23" i="4" s="1"/>
  <c r="B4" i="2"/>
  <c r="E21" i="1"/>
  <c r="C21" i="1"/>
  <c r="B21" i="1"/>
  <c r="H28" i="4" l="1"/>
  <c r="H27" i="4"/>
  <c r="D21" i="3"/>
  <c r="D20" i="3"/>
  <c r="D18" i="3"/>
  <c r="D17" i="3"/>
  <c r="D16" i="3"/>
  <c r="D15" i="3"/>
  <c r="D14" i="2"/>
  <c r="D13" i="2"/>
  <c r="D19" i="3"/>
  <c r="D12" i="2"/>
  <c r="D11" i="2"/>
  <c r="D10" i="2"/>
  <c r="D9" i="2"/>
  <c r="D8" i="2"/>
  <c r="C80" i="3"/>
  <c r="C79" i="3"/>
  <c r="C78" i="3"/>
  <c r="C69" i="3"/>
  <c r="C68" i="3"/>
  <c r="C67" i="3"/>
  <c r="H29" i="4" l="1"/>
  <c r="D22" i="3"/>
  <c r="C70" i="3"/>
  <c r="C73" i="3" s="1"/>
  <c r="C74" i="3" s="1"/>
  <c r="C29" i="4" l="1"/>
  <c r="C32" i="4"/>
  <c r="I28" i="4"/>
  <c r="C82" i="3"/>
  <c r="C12" i="3"/>
  <c r="C23" i="3" s="1"/>
  <c r="C22" i="3" l="1"/>
  <c r="D15" i="2"/>
  <c r="E22" i="3" l="1"/>
  <c r="E23" i="3"/>
  <c r="E13" i="1"/>
  <c r="D15" i="1" l="1"/>
  <c r="D14" i="1"/>
  <c r="D13" i="1"/>
  <c r="D12" i="1"/>
  <c r="E12" i="1" l="1"/>
  <c r="E15" i="1" l="1"/>
  <c r="E14" i="1" l="1"/>
  <c r="E8" i="1"/>
  <c r="D8" i="1"/>
  <c r="D7" i="1"/>
  <c r="E7" i="1" s="1"/>
  <c r="D6" i="1"/>
  <c r="E6" i="1" s="1"/>
  <c r="B5" i="2" l="1"/>
  <c r="B16" i="2"/>
</calcChain>
</file>

<file path=xl/sharedStrings.xml><?xml version="1.0" encoding="utf-8"?>
<sst xmlns="http://schemas.openxmlformats.org/spreadsheetml/2006/main" count="182" uniqueCount="136">
  <si>
    <t>Molar mass
[g/mol]</t>
  </si>
  <si>
    <t>Fe ion
[% w/w]</t>
  </si>
  <si>
    <t>Oxygen</t>
  </si>
  <si>
    <t>O</t>
  </si>
  <si>
    <t>Iron</t>
  </si>
  <si>
    <t>Fe</t>
  </si>
  <si>
    <t>Wuestite</t>
  </si>
  <si>
    <t>FeO</t>
  </si>
  <si>
    <t>Hematite</t>
  </si>
  <si>
    <t>Magnetite</t>
  </si>
  <si>
    <t>Comparison</t>
  </si>
  <si>
    <t>Hydrogen</t>
  </si>
  <si>
    <t>H</t>
  </si>
  <si>
    <t>Chlorine</t>
  </si>
  <si>
    <t>Cl</t>
  </si>
  <si>
    <t>Ferrous Chloride</t>
  </si>
  <si>
    <t>Ferric Chloride</t>
  </si>
  <si>
    <t>Ferric Oxyhydroxide</t>
  </si>
  <si>
    <t>FeO(OH)</t>
  </si>
  <si>
    <r>
      <t>Fe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4</t>
    </r>
  </si>
  <si>
    <r>
      <t>FeCl</t>
    </r>
    <r>
      <rPr>
        <vertAlign val="subscript"/>
        <sz val="11"/>
        <color theme="1"/>
        <rFont val="Calibri"/>
        <family val="2"/>
        <scheme val="minor"/>
      </rPr>
      <t>2</t>
    </r>
  </si>
  <si>
    <r>
      <t>FeCl</t>
    </r>
    <r>
      <rPr>
        <vertAlign val="subscript"/>
        <sz val="11"/>
        <color theme="1"/>
        <rFont val="Calibri"/>
        <family val="2"/>
        <scheme val="minor"/>
      </rPr>
      <t>3</t>
    </r>
  </si>
  <si>
    <t>Total</t>
  </si>
  <si>
    <t>SBGx</t>
  </si>
  <si>
    <t>Content [%]</t>
  </si>
  <si>
    <r>
      <t>Fe(OH)</t>
    </r>
    <r>
      <rPr>
        <vertAlign val="subscript"/>
        <sz val="11"/>
        <color theme="1"/>
        <rFont val="Calibri"/>
        <family val="2"/>
        <scheme val="minor"/>
      </rPr>
      <t>3</t>
    </r>
  </si>
  <si>
    <t>Iron(III) Hydroxide</t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</si>
  <si>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</si>
  <si>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Oxidation state</t>
  </si>
  <si>
    <t>Chem. formula</t>
  </si>
  <si>
    <t>Std. atomic
mass</t>
  </si>
  <si>
    <t>Chemical name</t>
  </si>
  <si>
    <t>Chemical formula</t>
  </si>
  <si>
    <t>FeO [%]</t>
  </si>
  <si>
    <r>
      <t>Fe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[%]</t>
    </r>
  </si>
  <si>
    <t>RIIC [%]</t>
  </si>
  <si>
    <t>Fe₂O₃</t>
  </si>
  <si>
    <t>Fe₃O₄</t>
  </si>
  <si>
    <t>FeCl₂</t>
  </si>
  <si>
    <t>FeCl₃</t>
  </si>
  <si>
    <t>Fe(OH)₃</t>
  </si>
  <si>
    <t>Yellow background:</t>
  </si>
  <si>
    <t>Input</t>
  </si>
  <si>
    <t>Formula parameters</t>
  </si>
  <si>
    <t>Remarks, Constants, Interim results</t>
  </si>
  <si>
    <t>Parameters</t>
  </si>
  <si>
    <t>β = factor of over dosing</t>
  </si>
  <si>
    <t>Ries: 1.7 - 2.3; Oechsner: 3 - 5</t>
  </si>
  <si>
    <r>
      <t>ΔH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</t>
    </r>
    <r>
      <rPr>
        <sz val="10"/>
        <color theme="1"/>
        <rFont val="Calibri"/>
        <family val="2"/>
        <scheme val="minor"/>
      </rPr>
      <t>g)</t>
    </r>
    <r>
      <rPr>
        <sz val="11"/>
        <color theme="1"/>
        <rFont val="Calibri"/>
        <family val="2"/>
        <scheme val="minor"/>
      </rPr>
      <t xml:space="preserve"> = amount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to be removed from the biogas [ppmv]</t>
    </r>
  </si>
  <si>
    <r>
      <t xml:space="preserve">Measured </t>
    </r>
    <r>
      <rPr>
        <i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any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treatment</t>
    </r>
  </si>
  <si>
    <r>
      <t>Q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= volumetric flow rate of substrate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/d]</t>
    </r>
  </si>
  <si>
    <r>
      <t>Q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 xml:space="preserve"> = volumetric flow rate of biogas 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/d]</t>
    </r>
  </si>
  <si>
    <t>t = temperature of substrate in reactor [°C]</t>
  </si>
  <si>
    <t>pH = acidity of substrate in reactor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</si>
  <si>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= molecular mass of iron [g/mol]</t>
    </r>
  </si>
  <si>
    <r>
      <t>M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molecular mass of sulphur [g/mol]</t>
    </r>
  </si>
  <si>
    <r>
      <t>ρ</t>
    </r>
    <r>
      <rPr>
        <vertAlign val="subscript"/>
        <sz val="11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density of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 [g/l]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</si>
  <si>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S(aq) = total dissolved </t>
    </r>
    <r>
      <rPr>
        <i/>
        <sz val="11"/>
        <color theme="1"/>
        <rFont val="Calibri"/>
        <family val="2"/>
        <scheme val="minor"/>
      </rPr>
      <t>hydrogen sulphide</t>
    </r>
    <r>
      <rPr>
        <sz val="11"/>
        <color theme="1"/>
        <rFont val="Calibri"/>
        <family val="2"/>
        <scheme val="minor"/>
      </rPr>
      <t xml:space="preserve">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</si>
  <si>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 xml:space="preserve">See below, </t>
    </r>
    <r>
      <rPr>
        <i/>
        <sz val="11"/>
        <color theme="1"/>
        <rFont val="Calibri"/>
        <family val="2"/>
        <scheme val="minor"/>
      </rPr>
      <t>Quotient H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S(aq) / f</t>
    </r>
    <r>
      <rPr>
        <i/>
        <vertAlign val="subscript"/>
        <sz val="11"/>
        <color theme="1"/>
        <rFont val="Calibri"/>
        <family val="2"/>
        <scheme val="minor"/>
      </rPr>
      <t>H2S(aq)</t>
    </r>
  </si>
  <si>
    <r>
      <t>f</t>
    </r>
    <r>
      <rPr>
        <vertAlign val="subscript"/>
        <sz val="11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S(aq)</t>
    </r>
    <r>
      <rPr>
        <sz val="11"/>
        <color theme="1"/>
        <rFont val="Calibri"/>
        <family val="2"/>
        <scheme val="minor"/>
      </rPr>
      <t xml:space="preserve"> = portion of the </t>
    </r>
    <r>
      <rPr>
        <i/>
        <sz val="11"/>
        <color theme="1"/>
        <rFont val="Calibri"/>
        <family val="2"/>
        <scheme val="minor"/>
      </rPr>
      <t>total sulphur</t>
    </r>
    <r>
      <rPr>
        <sz val="11"/>
        <color theme="1"/>
        <rFont val="Calibri"/>
        <family val="2"/>
        <scheme val="minor"/>
      </rPr>
      <t xml:space="preserve"> dissolved as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</t>
    </r>
    <r>
      <rPr>
        <sz val="10"/>
        <color theme="1"/>
        <rFont val="Calibri"/>
        <family val="2"/>
        <scheme val="minor"/>
      </rPr>
      <t>aq)</t>
    </r>
  </si>
  <si>
    <r>
      <t>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10 ^ -pH</t>
    </r>
  </si>
  <si>
    <t>Ks1 = 10 ^ -(1351.9 / T[K] + 0.0992 + 0.00792 * T[K])</t>
  </si>
  <si>
    <t>Ks2 = 10 ^ -11.96</t>
  </si>
  <si>
    <r>
      <t>f</t>
    </r>
    <r>
      <rPr>
        <vertAlign val="subscript"/>
        <sz val="11"/>
        <color theme="1"/>
        <rFont val="Calibri"/>
        <family val="2"/>
        <scheme val="minor"/>
      </rPr>
      <t>H2S(aq)</t>
    </r>
    <r>
      <rPr>
        <sz val="11"/>
        <color theme="1"/>
        <rFont val="Calibri"/>
        <family val="2"/>
        <scheme val="minor"/>
      </rPr>
      <t xml:space="preserve"> = (1 + Ks1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+ Ks1 * Ks2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^ 2) ^ -1</t>
    </r>
  </si>
  <si>
    <r>
      <t xml:space="preserve">Quotient 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S(aq) / f</t>
    </r>
    <r>
      <rPr>
        <b/>
        <vertAlign val="subscript"/>
        <sz val="11"/>
        <color theme="1"/>
        <rFont val="Calibri"/>
        <family val="2"/>
        <scheme val="minor"/>
      </rPr>
      <t>H2S(aq)</t>
    </r>
    <r>
      <rPr>
        <b/>
        <sz val="11"/>
        <color theme="1"/>
        <rFont val="Calibri"/>
        <family val="2"/>
        <scheme val="minor"/>
      </rPr>
      <t xml:space="preserve"> = 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S(aq-ges)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 + HS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+ S</t>
    </r>
    <r>
      <rPr>
        <vertAlign val="superscript"/>
        <sz val="11"/>
        <color theme="1"/>
        <rFont val="Calibri"/>
        <family val="2"/>
        <scheme val="minor"/>
      </rPr>
      <t>2-</t>
    </r>
  </si>
  <si>
    <t>Mathematical approximation, see</t>
  </si>
  <si>
    <t>If available</t>
  </si>
  <si>
    <r>
      <t xml:space="preserve">     = e((ln(H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S(g)) - 6.42) / 0.78) / f</t>
    </r>
    <r>
      <rPr>
        <vertAlign val="subscript"/>
        <sz val="11"/>
        <color theme="1"/>
        <rFont val="Calibri"/>
        <family val="2"/>
        <scheme val="minor"/>
      </rPr>
      <t>H2S(aq)</t>
    </r>
    <r>
      <rPr>
        <sz val="11"/>
        <color theme="1"/>
        <rFont val="Calibri"/>
        <family val="2"/>
        <scheme val="minor"/>
      </rPr>
      <t xml:space="preserve">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</si>
  <si>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t>Polster &amp; Brummack [1], see p. 108f.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</si>
  <si>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</t>
    </r>
  </si>
  <si>
    <r>
      <t xml:space="preserve">     = Concentration of dissolved sulphur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</si>
  <si>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Fe = iron ions [g/d]</t>
  </si>
  <si>
    <r>
      <t xml:space="preserve">     = β * 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* 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* V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+ ΔH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 / 1000 * ρ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V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 xml:space="preserve">)     (See formula </t>
    </r>
    <r>
      <rPr>
        <sz val="11"/>
        <color rgb="FF0000FF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>)</t>
    </r>
  </si>
  <si>
    <t>SBG additive information, iron oxide content</t>
  </si>
  <si>
    <t>Remarks, Interim results</t>
  </si>
  <si>
    <t>FeO content in additive [%]</t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</si>
  <si>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content in additive [%]</t>
    </r>
  </si>
  <si>
    <t>Iron content in SBG additive [%]</t>
  </si>
  <si>
    <t>Required SBG additive [kg/d]</t>
  </si>
  <si>
    <t>[1]: Polster, A. und Brummack, J. (2006): Verbesserung von Entschwefelungsverfahren in landwirtschaftlichen Biogasanlagen.</t>
  </si>
  <si>
    <t>Abschlussbericht der Technischen Universität Dresden, Fakultät Maschinenbau, Institut für Verfahrenstechnik, Lehrstuhl für</t>
  </si>
  <si>
    <t>Thermische Verfahrenstechnik und Umwelttechnik.</t>
  </si>
  <si>
    <t>Sources:</t>
  </si>
  <si>
    <t>https://www.teknologisk.dk/_/media/60599_Biogas%20upgrading.%20Evaluation%20of%20methods%20for%20H2S%20removal.pdf</t>
  </si>
  <si>
    <t>See p. 7</t>
  </si>
  <si>
    <t>https://www.biogas-forum-bayern.de/media/files/0002/Entschwefelung-von-Biogas-in-landwirtschaftlichen-Biogasanlagen-2013.pdf</t>
  </si>
  <si>
    <t>See p. 8f.</t>
  </si>
  <si>
    <t>https://tu-dresden.de/ing/maschinenwesen/ifvu/ressourcen/dateien/tvu/forschungsprojekte/forschung_alt/entschwefelungsverfahren/bge_in_landw_anlagen.pdf</t>
  </si>
  <si>
    <t>See pp. 26f. and 108f.</t>
  </si>
  <si>
    <t>RIIC</t>
  </si>
  <si>
    <r>
      <t>Q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= volumetric flow rate of substrate [m³</t>
    </r>
    <r>
      <rPr>
        <sz val="11"/>
        <color theme="1"/>
        <rFont val="Calibri"/>
        <family val="2"/>
        <scheme val="minor"/>
      </rPr>
      <t>/d]</t>
    </r>
  </si>
  <si>
    <r>
      <t>Q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 xml:space="preserve"> = volumetric flow rate of biogas [m³/d]</t>
    </r>
  </si>
  <si>
    <t>t = temperature of substrate (surface) in reactor [°C]</t>
  </si>
  <si>
    <t>pH = acidity of substrate (surface) in reactor</t>
  </si>
  <si>
    <t>powered by SwissBiogas.com</t>
  </si>
  <si>
    <r>
      <t>ΔH₂S(</t>
    </r>
    <r>
      <rPr>
        <sz val="10"/>
        <color theme="1"/>
        <rFont val="Calibri"/>
        <family val="2"/>
        <scheme val="minor"/>
      </rPr>
      <t>g)</t>
    </r>
    <r>
      <rPr>
        <sz val="11"/>
        <color theme="1"/>
        <rFont val="Calibri"/>
        <family val="2"/>
        <scheme val="minor"/>
      </rPr>
      <t xml:space="preserve"> = amount of H₂S(g) to be removed from the biogas [ppmv] *</t>
    </r>
  </si>
  <si>
    <t>* Value before any H₂S removal from the biogas</t>
  </si>
  <si>
    <t>The calculations above are based on the formulas A) and B), see below.</t>
  </si>
  <si>
    <t>Ox. state</t>
  </si>
  <si>
    <t>H₂S(aq-ges) = Concentration of dissolved sulphur in substrate (surface) [g/m³]</t>
  </si>
  <si>
    <t>If H₂S(aq-ges) is not available, it can be calculated based on temperature (t) and acidity (pH):</t>
  </si>
  <si>
    <t>Calculation of required quantity of Reactive Iron Ions (RII) [g/d]</t>
  </si>
  <si>
    <t>Required quantity of SBGx by SwissBiogas.com additive [kg/d] **</t>
  </si>
  <si>
    <t>Required quantity of additive to be compared [kg/d]</t>
  </si>
  <si>
    <t>Fe composition and content [%] of additive to be compared with SBGx</t>
  </si>
  <si>
    <r>
      <t xml:space="preserve">Additive quantity calculator </t>
    </r>
    <r>
      <rPr>
        <sz val="11"/>
        <color theme="1"/>
        <rFont val="Calibri"/>
        <family val="2"/>
        <scheme val="minor"/>
      </rPr>
      <t>(See below for the formulas used)</t>
    </r>
  </si>
  <si>
    <t>Total RIIC</t>
  </si>
  <si>
    <t>CHF</t>
  </si>
  <si>
    <t>Daily additive dosage [kg/d]</t>
  </si>
  <si>
    <t>Remarks:</t>
  </si>
  <si>
    <t>Additive usage per MWₑ [kg/MWₑ]</t>
  </si>
  <si>
    <t>Electric power generated [MWₑ]</t>
  </si>
  <si>
    <t>Fe²⁺ (Iron(II), "ferrous")</t>
  </si>
  <si>
    <t>Fe³⁺ (Iron(III), "ferric")</t>
  </si>
  <si>
    <t>Fe²⁺</t>
  </si>
  <si>
    <t>Fe³⁺</t>
  </si>
  <si>
    <t>Fe²·⁶⁷⁺</t>
  </si>
  <si>
    <t>• Reactive Iron Ions (RII) bind the sulphur contained in substrates</t>
  </si>
  <si>
    <t>• It also means, that weight and volume of the additive are potentially smaller → Lower costs for transport and storage</t>
  </si>
  <si>
    <t>1) Reactive Iron Ion Content (RIIC) calculation and comparison</t>
  </si>
  <si>
    <t>Your additive</t>
  </si>
  <si>
    <t>SBGx by SwissBiogas.com</t>
  </si>
  <si>
    <t>3) Conclusion</t>
  </si>
  <si>
    <t>2) Dosage and cost comparison</t>
  </si>
  <si>
    <t>Comparison of dosages and additive costs</t>
  </si>
  <si>
    <t>• A higher Reactive Iron Ion Content (RIIC) in an additive means, that less additive is needed for desulphurisation</t>
  </si>
  <si>
    <t>Iron composition and content in your additive</t>
  </si>
  <si>
    <t>Iron composition and content in SBGx by SwissBiogas.com</t>
  </si>
  <si>
    <t xml:space="preserve">   → Potentially less additive waste/residue/non-fe content in the discharge</t>
  </si>
  <si>
    <t>price in your currency for our additive.</t>
  </si>
  <si>
    <t>Please contact us to receive a binding</t>
  </si>
  <si>
    <t>Chemical formula, name</t>
  </si>
  <si>
    <t>Example -</t>
  </si>
  <si>
    <t>● To calculate the specific quantity requirement of additives for a successful desulphurisation, click on the tab "Dosage calculator".</t>
  </si>
  <si>
    <t>● To compare the costs of a specific additive for desulphurisation with the costs for desulphurisation with SBGx by SwissBiogas.com, click on the tab "Cost comparison".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</si>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</sst>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&quot;.&quot;mm&quot;.&quot;yyyy"/>
    <numFmt numFmtId="165" formatCode="0.0"/>
    <numFmt numFmtId="166" formatCode="#,##0.0"/>
  </numFmts>
  <fonts count="56">
    <font>
      <sz val="11"/>
      <color theme="1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 tint="0.499984740745262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B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EEEEEE"/>
      </pattern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E785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CCCCFF"/>
        <bgColor rgb="FFCCCCFF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FFBCC"/>
      </patternFill>
    </fill>
    <fill>
      <gradientFill degree="90">
        <stop position="0">
          <color theme="0"/>
        </stop>
        <stop position="1">
          <color rgb="FFE78587"/>
        </stop>
      </gradient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2" fillId="0" borderId="0"/>
    <xf numFmtId="0" fontId="33" fillId="0" borderId="0"/>
    <xf numFmtId="0" fontId="30" fillId="7" borderId="0"/>
    <xf numFmtId="0" fontId="26" fillId="5" borderId="0"/>
    <xf numFmtId="0" fontId="35" fillId="8" borderId="0"/>
    <xf numFmtId="0" fontId="36" fillId="8" borderId="1"/>
    <xf numFmtId="0" fontId="24" fillId="0" borderId="0"/>
    <xf numFmtId="0" fontId="25" fillId="2" borderId="0"/>
    <xf numFmtId="0" fontId="25" fillId="3" borderId="0"/>
    <xf numFmtId="0" fontId="24" fillId="4" borderId="0"/>
    <xf numFmtId="0" fontId="27" fillId="6" borderId="0"/>
    <xf numFmtId="0" fontId="28" fillId="0" borderId="0"/>
    <xf numFmtId="0" fontId="29" fillId="0" borderId="0"/>
    <xf numFmtId="0" fontId="31" fillId="0" borderId="0"/>
    <xf numFmtId="0" fontId="34" fillId="0" borderId="0"/>
    <xf numFmtId="0" fontId="23" fillId="0" borderId="0"/>
    <xf numFmtId="0" fontId="23" fillId="0" borderId="0"/>
    <xf numFmtId="0" fontId="26" fillId="0" borderId="0"/>
  </cellStyleXfs>
  <cellXfs count="188">
    <xf numFmtId="0" fontId="0" fillId="0" borderId="0" xfId="0"/>
    <xf numFmtId="0" fontId="37" fillId="0" borderId="0" xfId="0" applyFont="1" applyProtection="1"/>
    <xf numFmtId="0" fontId="39" fillId="9" borderId="8" xfId="0" applyFont="1" applyFill="1" applyBorder="1" applyAlignment="1" applyProtection="1">
      <alignment horizontal="right"/>
    </xf>
    <xf numFmtId="0" fontId="22" fillId="0" borderId="0" xfId="0" applyFont="1" applyProtection="1"/>
    <xf numFmtId="0" fontId="22" fillId="0" borderId="0" xfId="0" applyFont="1" applyAlignment="1" applyProtection="1">
      <alignment horizontal="right"/>
    </xf>
    <xf numFmtId="0" fontId="37" fillId="0" borderId="0" xfId="0" applyFont="1" applyAlignment="1" applyProtection="1">
      <alignment horizontal="right"/>
    </xf>
    <xf numFmtId="0" fontId="39" fillId="14" borderId="2" xfId="0" applyFont="1" applyFill="1" applyBorder="1" applyProtection="1"/>
    <xf numFmtId="0" fontId="39" fillId="14" borderId="3" xfId="0" applyFont="1" applyFill="1" applyBorder="1" applyAlignment="1" applyProtection="1">
      <alignment wrapText="1"/>
    </xf>
    <xf numFmtId="0" fontId="39" fillId="14" borderId="3" xfId="0" applyFont="1" applyFill="1" applyBorder="1" applyAlignment="1" applyProtection="1">
      <alignment horizontal="right" wrapText="1"/>
    </xf>
    <xf numFmtId="0" fontId="22" fillId="14" borderId="4" xfId="0" applyFont="1" applyFill="1" applyBorder="1" applyProtection="1"/>
    <xf numFmtId="0" fontId="22" fillId="0" borderId="5" xfId="0" applyFont="1" applyBorder="1" applyProtection="1"/>
    <xf numFmtId="0" fontId="39" fillId="14" borderId="0" xfId="0" applyFont="1" applyFill="1" applyProtection="1"/>
    <xf numFmtId="0" fontId="22" fillId="14" borderId="0" xfId="0" applyFont="1" applyFill="1" applyProtection="1"/>
    <xf numFmtId="0" fontId="22" fillId="14" borderId="6" xfId="0" applyFont="1" applyFill="1" applyBorder="1" applyProtection="1"/>
    <xf numFmtId="0" fontId="22" fillId="0" borderId="5" xfId="0" applyFont="1" applyBorder="1" applyAlignment="1" applyProtection="1"/>
    <xf numFmtId="0" fontId="22" fillId="0" borderId="0" xfId="0" applyFont="1" applyFill="1" applyProtection="1"/>
    <xf numFmtId="0" fontId="22" fillId="0" borderId="5" xfId="0" applyFont="1" applyFill="1" applyBorder="1" applyProtection="1"/>
    <xf numFmtId="164" fontId="22" fillId="0" borderId="0" xfId="0" applyNumberFormat="1" applyFont="1" applyProtection="1"/>
    <xf numFmtId="0" fontId="22" fillId="11" borderId="7" xfId="0" applyFont="1" applyFill="1" applyBorder="1" applyProtection="1"/>
    <xf numFmtId="0" fontId="39" fillId="11" borderId="8" xfId="0" applyFont="1" applyFill="1" applyBorder="1" applyAlignment="1" applyProtection="1">
      <alignment horizontal="right"/>
    </xf>
    <xf numFmtId="0" fontId="39" fillId="11" borderId="8" xfId="0" applyFont="1" applyFill="1" applyBorder="1" applyProtection="1"/>
    <xf numFmtId="0" fontId="39" fillId="14" borderId="8" xfId="0" applyFont="1" applyFill="1" applyBorder="1" applyAlignment="1" applyProtection="1">
      <alignment horizontal="right" wrapText="1"/>
    </xf>
    <xf numFmtId="0" fontId="22" fillId="11" borderId="9" xfId="0" applyFont="1" applyFill="1" applyBorder="1" applyProtection="1"/>
    <xf numFmtId="0" fontId="22" fillId="0" borderId="10" xfId="0" applyFont="1" applyBorder="1" applyProtection="1"/>
    <xf numFmtId="0" fontId="22" fillId="11" borderId="4" xfId="0" applyFont="1" applyFill="1" applyBorder="1" applyProtection="1"/>
    <xf numFmtId="0" fontId="39" fillId="9" borderId="8" xfId="0" applyFont="1" applyFill="1" applyBorder="1" applyProtection="1"/>
    <xf numFmtId="0" fontId="39" fillId="9" borderId="7" xfId="0" applyFont="1" applyFill="1" applyBorder="1" applyProtection="1"/>
    <xf numFmtId="0" fontId="41" fillId="9" borderId="8" xfId="0" applyFont="1" applyFill="1" applyBorder="1" applyAlignment="1" applyProtection="1">
      <alignment horizontal="right"/>
    </xf>
    <xf numFmtId="0" fontId="21" fillId="0" borderId="0" xfId="0" applyFont="1" applyProtection="1"/>
    <xf numFmtId="0" fontId="21" fillId="0" borderId="0" xfId="0" applyFont="1"/>
    <xf numFmtId="2" fontId="20" fillId="13" borderId="1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9" fillId="10" borderId="9" xfId="0" applyFont="1" applyFill="1" applyBorder="1" applyAlignment="1" applyProtection="1">
      <alignment vertical="center"/>
    </xf>
    <xf numFmtId="0" fontId="19" fillId="9" borderId="9" xfId="0" applyFont="1" applyFill="1" applyBorder="1" applyAlignment="1" applyProtection="1">
      <alignment vertical="center"/>
    </xf>
    <xf numFmtId="2" fontId="21" fillId="11" borderId="10" xfId="0" applyNumberFormat="1" applyFont="1" applyFill="1" applyBorder="1" applyAlignment="1" applyProtection="1">
      <alignment vertical="center"/>
    </xf>
    <xf numFmtId="0" fontId="21" fillId="11" borderId="10" xfId="0" applyFont="1" applyFill="1" applyBorder="1" applyAlignment="1" applyProtection="1">
      <alignment vertical="center"/>
    </xf>
    <xf numFmtId="2" fontId="22" fillId="16" borderId="5" xfId="0" applyNumberFormat="1" applyFont="1" applyFill="1" applyBorder="1" applyProtection="1"/>
    <xf numFmtId="0" fontId="22" fillId="13" borderId="10" xfId="0" applyFont="1" applyFill="1" applyBorder="1" applyProtection="1"/>
    <xf numFmtId="2" fontId="18" fillId="12" borderId="10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right" vertical="center"/>
    </xf>
    <xf numFmtId="0" fontId="18" fillId="17" borderId="7" xfId="0" applyFont="1" applyFill="1" applyBorder="1" applyAlignment="1" applyProtection="1">
      <alignment horizontal="right" vertical="center"/>
    </xf>
    <xf numFmtId="0" fontId="18" fillId="4" borderId="13" xfId="0" applyFont="1" applyFill="1" applyBorder="1" applyAlignment="1" applyProtection="1">
      <alignment vertical="center"/>
    </xf>
    <xf numFmtId="0" fontId="18" fillId="4" borderId="3" xfId="0" applyFont="1" applyFill="1" applyBorder="1" applyAlignment="1" applyProtection="1">
      <alignment horizontal="left" vertical="center"/>
    </xf>
    <xf numFmtId="0" fontId="18" fillId="4" borderId="2" xfId="0" applyFont="1" applyFill="1" applyBorder="1" applyAlignment="1" applyProtection="1">
      <alignment horizontal="right" vertical="center"/>
    </xf>
    <xf numFmtId="0" fontId="18" fillId="0" borderId="14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18" fillId="0" borderId="5" xfId="0" applyFont="1" applyBorder="1" applyAlignment="1" applyProtection="1">
      <alignment vertical="center"/>
    </xf>
    <xf numFmtId="0" fontId="46" fillId="0" borderId="0" xfId="0" applyFont="1" applyAlignment="1" applyProtection="1">
      <alignment vertical="center"/>
    </xf>
    <xf numFmtId="2" fontId="18" fillId="19" borderId="5" xfId="0" applyNumberFormat="1" applyFont="1" applyFill="1" applyBorder="1" applyAlignment="1" applyProtection="1">
      <alignment horizontal="right" vertical="center"/>
    </xf>
    <xf numFmtId="3" fontId="18" fillId="0" borderId="0" xfId="0" applyNumberFormat="1" applyFont="1" applyBorder="1" applyAlignment="1" applyProtection="1">
      <alignment vertical="center"/>
    </xf>
    <xf numFmtId="0" fontId="18" fillId="19" borderId="5" xfId="0" applyFont="1" applyFill="1" applyBorder="1" applyAlignment="1" applyProtection="1">
      <alignment horizontal="right" vertical="center"/>
    </xf>
    <xf numFmtId="0" fontId="18" fillId="20" borderId="5" xfId="0" applyFont="1" applyFill="1" applyBorder="1" applyAlignment="1" applyProtection="1">
      <alignment vertical="center"/>
    </xf>
    <xf numFmtId="0" fontId="18" fillId="21" borderId="5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15" xfId="0" applyFont="1" applyBorder="1" applyAlignment="1" applyProtection="1">
      <alignment vertical="center"/>
    </xf>
    <xf numFmtId="0" fontId="18" fillId="0" borderId="16" xfId="0" applyFont="1" applyBorder="1" applyAlignment="1" applyProtection="1">
      <alignment horizontal="left" vertical="center"/>
    </xf>
    <xf numFmtId="0" fontId="18" fillId="22" borderId="17" xfId="0" applyFont="1" applyFill="1" applyBorder="1" applyAlignment="1" applyProtection="1">
      <alignment horizontal="right" vertical="center"/>
    </xf>
    <xf numFmtId="0" fontId="18" fillId="0" borderId="0" xfId="0" quotePrefix="1" applyFont="1" applyBorder="1" applyAlignment="1" applyProtection="1">
      <alignment vertical="center"/>
    </xf>
    <xf numFmtId="0" fontId="18" fillId="0" borderId="17" xfId="0" applyFont="1" applyBorder="1" applyAlignment="1" applyProtection="1">
      <alignment horizontal="left" vertical="center"/>
    </xf>
    <xf numFmtId="0" fontId="18" fillId="22" borderId="3" xfId="0" applyFont="1" applyFill="1" applyBorder="1" applyAlignment="1" applyProtection="1">
      <alignment horizontal="right" vertical="center"/>
    </xf>
    <xf numFmtId="0" fontId="18" fillId="0" borderId="13" xfId="0" quotePrefix="1" applyFont="1" applyBorder="1" applyAlignment="1" applyProtection="1">
      <alignment vertical="center"/>
    </xf>
    <xf numFmtId="3" fontId="18" fillId="5" borderId="5" xfId="0" applyNumberFormat="1" applyFont="1" applyFill="1" applyBorder="1" applyAlignment="1" applyProtection="1">
      <alignment vertical="center"/>
    </xf>
    <xf numFmtId="0" fontId="18" fillId="0" borderId="0" xfId="0" quotePrefix="1" applyFont="1" applyAlignment="1" applyProtection="1">
      <alignment vertical="center"/>
    </xf>
    <xf numFmtId="0" fontId="18" fillId="0" borderId="5" xfId="0" quotePrefix="1" applyFont="1" applyBorder="1" applyAlignment="1" applyProtection="1">
      <alignment horizontal="left" vertical="center"/>
    </xf>
    <xf numFmtId="165" fontId="18" fillId="5" borderId="5" xfId="0" applyNumberFormat="1" applyFont="1" applyFill="1" applyBorder="1" applyAlignment="1" applyProtection="1">
      <alignment vertical="center"/>
    </xf>
    <xf numFmtId="0" fontId="37" fillId="0" borderId="18" xfId="0" applyFont="1" applyFill="1" applyBorder="1" applyAlignment="1" applyProtection="1">
      <alignment vertical="center"/>
    </xf>
    <xf numFmtId="1" fontId="37" fillId="5" borderId="19" xfId="0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 wrapText="1"/>
    </xf>
    <xf numFmtId="0" fontId="18" fillId="0" borderId="0" xfId="0" applyFont="1" applyProtection="1"/>
    <xf numFmtId="0" fontId="34" fillId="0" borderId="0" xfId="15" applyAlignment="1" applyProtection="1">
      <alignment vertical="center"/>
    </xf>
    <xf numFmtId="0" fontId="18" fillId="0" borderId="0" xfId="0" applyFont="1" applyAlignment="1" applyProtection="1">
      <alignment horizontal="left"/>
    </xf>
    <xf numFmtId="0" fontId="49" fillId="0" borderId="0" xfId="15" applyFont="1" applyAlignment="1" applyProtection="1">
      <alignment vertical="center"/>
    </xf>
    <xf numFmtId="0" fontId="18" fillId="13" borderId="5" xfId="0" applyFont="1" applyFill="1" applyBorder="1" applyAlignment="1" applyProtection="1">
      <alignment vertical="center"/>
      <protection locked="0"/>
    </xf>
    <xf numFmtId="3" fontId="18" fillId="23" borderId="5" xfId="0" applyNumberFormat="1" applyFont="1" applyFill="1" applyBorder="1" applyAlignment="1" applyProtection="1">
      <alignment vertical="center"/>
      <protection locked="0"/>
    </xf>
    <xf numFmtId="0" fontId="18" fillId="13" borderId="8" xfId="0" applyFont="1" applyFill="1" applyBorder="1" applyAlignment="1" applyProtection="1">
      <alignment vertical="center"/>
      <protection locked="0"/>
    </xf>
    <xf numFmtId="165" fontId="18" fillId="18" borderId="4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0" fontId="18" fillId="11" borderId="2" xfId="0" applyFont="1" applyFill="1" applyBorder="1" applyAlignment="1" applyProtection="1">
      <alignment vertical="center"/>
    </xf>
    <xf numFmtId="0" fontId="18" fillId="11" borderId="4" xfId="0" applyFont="1" applyFill="1" applyBorder="1" applyAlignment="1" applyProtection="1">
      <alignment vertical="center"/>
    </xf>
    <xf numFmtId="0" fontId="19" fillId="11" borderId="9" xfId="0" applyFont="1" applyFill="1" applyBorder="1" applyAlignment="1" applyProtection="1">
      <alignment vertical="center"/>
    </xf>
    <xf numFmtId="0" fontId="17" fillId="11" borderId="4" xfId="0" applyFont="1" applyFill="1" applyBorder="1" applyAlignment="1" applyProtection="1">
      <alignment vertical="center"/>
    </xf>
    <xf numFmtId="0" fontId="16" fillId="11" borderId="4" xfId="0" applyFont="1" applyFill="1" applyBorder="1" applyAlignment="1" applyProtection="1">
      <alignment vertical="center"/>
    </xf>
    <xf numFmtId="0" fontId="50" fillId="0" borderId="0" xfId="0" applyFont="1" applyAlignment="1" applyProtection="1">
      <alignment vertical="top"/>
    </xf>
    <xf numFmtId="0" fontId="15" fillId="14" borderId="9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4" fillId="11" borderId="9" xfId="0" applyFont="1" applyFill="1" applyBorder="1" applyProtection="1"/>
    <xf numFmtId="0" fontId="22" fillId="0" borderId="10" xfId="0" applyNumberFormat="1" applyFont="1" applyBorder="1" applyProtection="1"/>
    <xf numFmtId="0" fontId="37" fillId="24" borderId="7" xfId="0" applyFont="1" applyFill="1" applyBorder="1" applyAlignment="1" applyProtection="1">
      <alignment vertical="center"/>
    </xf>
    <xf numFmtId="0" fontId="37" fillId="24" borderId="9" xfId="0" applyFont="1" applyFill="1" applyBorder="1" applyAlignment="1" applyProtection="1">
      <alignment vertical="center"/>
    </xf>
    <xf numFmtId="0" fontId="21" fillId="24" borderId="10" xfId="0" applyFont="1" applyFill="1" applyBorder="1" applyAlignment="1" applyProtection="1">
      <alignment vertical="center"/>
    </xf>
    <xf numFmtId="2" fontId="37" fillId="24" borderId="1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2" fontId="12" fillId="12" borderId="10" xfId="0" quotePrefix="1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2" fontId="51" fillId="11" borderId="9" xfId="0" applyNumberFormat="1" applyFont="1" applyFill="1" applyBorder="1" applyAlignment="1" applyProtection="1">
      <alignment vertical="center"/>
    </xf>
    <xf numFmtId="2" fontId="51" fillId="11" borderId="10" xfId="0" applyNumberFormat="1" applyFont="1" applyFill="1" applyBorder="1" applyAlignment="1" applyProtection="1">
      <alignment vertical="center"/>
    </xf>
    <xf numFmtId="0" fontId="18" fillId="14" borderId="9" xfId="0" applyFont="1" applyFill="1" applyBorder="1" applyAlignment="1" applyProtection="1">
      <alignment vertical="center"/>
    </xf>
    <xf numFmtId="2" fontId="18" fillId="12" borderId="10" xfId="0" quotePrefix="1" applyNumberFormat="1" applyFont="1" applyFill="1" applyBorder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</xf>
    <xf numFmtId="2" fontId="53" fillId="11" borderId="10" xfId="0" applyNumberFormat="1" applyFont="1" applyFill="1" applyBorder="1" applyAlignment="1" applyProtection="1">
      <alignment vertical="center"/>
    </xf>
    <xf numFmtId="0" fontId="9" fillId="11" borderId="7" xfId="0" quotePrefix="1" applyFont="1" applyFill="1" applyBorder="1" applyAlignment="1" applyProtection="1">
      <alignment vertical="center"/>
    </xf>
    <xf numFmtId="0" fontId="18" fillId="23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18" fillId="24" borderId="20" xfId="0" applyFont="1" applyFill="1" applyBorder="1" applyAlignment="1" applyProtection="1">
      <alignment vertical="center"/>
    </xf>
    <xf numFmtId="0" fontId="54" fillId="24" borderId="21" xfId="0" applyFont="1" applyFill="1" applyBorder="1" applyAlignment="1" applyProtection="1">
      <alignment horizontal="right" vertical="center"/>
    </xf>
    <xf numFmtId="0" fontId="54" fillId="24" borderId="8" xfId="0" applyFont="1" applyFill="1" applyBorder="1" applyAlignment="1" applyProtection="1">
      <alignment vertical="center" wrapText="1"/>
    </xf>
    <xf numFmtId="0" fontId="41" fillId="24" borderId="0" xfId="0" applyFont="1" applyFill="1" applyAlignment="1" applyProtection="1">
      <alignment vertical="center"/>
    </xf>
    <xf numFmtId="2" fontId="51" fillId="11" borderId="10" xfId="0" applyNumberFormat="1" applyFont="1" applyFill="1" applyBorder="1" applyAlignment="1" applyProtection="1"/>
    <xf numFmtId="0" fontId="54" fillId="24" borderId="8" xfId="0" applyFont="1" applyFill="1" applyBorder="1" applyAlignment="1" applyProtection="1">
      <alignment horizontal="right"/>
    </xf>
    <xf numFmtId="0" fontId="41" fillId="24" borderId="7" xfId="0" applyFont="1" applyFill="1" applyBorder="1" applyAlignment="1" applyProtection="1"/>
    <xf numFmtId="0" fontId="37" fillId="11" borderId="22" xfId="0" applyFont="1" applyFill="1" applyBorder="1" applyAlignment="1" applyProtection="1"/>
    <xf numFmtId="0" fontId="37" fillId="11" borderId="9" xfId="0" applyFont="1" applyFill="1" applyBorder="1" applyAlignment="1" applyProtection="1"/>
    <xf numFmtId="2" fontId="37" fillId="11" borderId="10" xfId="0" applyNumberFormat="1" applyFont="1" applyFill="1" applyBorder="1" applyAlignment="1" applyProtection="1"/>
    <xf numFmtId="0" fontId="37" fillId="0" borderId="0" xfId="0" applyFont="1" applyAlignment="1" applyProtection="1"/>
    <xf numFmtId="0" fontId="41" fillId="24" borderId="8" xfId="0" applyFont="1" applyFill="1" applyBorder="1" applyAlignment="1" applyProtection="1">
      <alignment horizontal="right"/>
    </xf>
    <xf numFmtId="0" fontId="41" fillId="24" borderId="7" xfId="0" applyFont="1" applyFill="1" applyBorder="1" applyAlignment="1" applyProtection="1">
      <alignment horizontal="right"/>
    </xf>
    <xf numFmtId="0" fontId="22" fillId="16" borderId="5" xfId="0" applyFont="1" applyFill="1" applyBorder="1" applyProtection="1"/>
    <xf numFmtId="0" fontId="37" fillId="0" borderId="11" xfId="0" applyFont="1" applyFill="1" applyBorder="1" applyAlignment="1" applyProtection="1"/>
    <xf numFmtId="0" fontId="39" fillId="0" borderId="0" xfId="0" applyFont="1" applyAlignment="1" applyProtection="1"/>
    <xf numFmtId="0" fontId="7" fillId="11" borderId="1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/>
    <xf numFmtId="4" fontId="37" fillId="26" borderId="9" xfId="0" applyNumberFormat="1" applyFont="1" applyFill="1" applyBorder="1" applyAlignment="1" applyProtection="1"/>
    <xf numFmtId="3" fontId="37" fillId="26" borderId="8" xfId="0" applyNumberFormat="1" applyFont="1" applyFill="1" applyBorder="1" applyAlignment="1" applyProtection="1">
      <alignment vertical="center"/>
    </xf>
    <xf numFmtId="166" fontId="42" fillId="26" borderId="10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/>
    <xf numFmtId="0" fontId="6" fillId="0" borderId="0" xfId="0" applyFont="1" applyAlignment="1" applyProtection="1"/>
    <xf numFmtId="0" fontId="6" fillId="0" borderId="0" xfId="0" applyFont="1" applyFill="1" applyBorder="1" applyAlignment="1" applyProtection="1"/>
    <xf numFmtId="2" fontId="6" fillId="12" borderId="10" xfId="0" quotePrefix="1" applyNumberFormat="1" applyFont="1" applyFill="1" applyBorder="1" applyAlignment="1" applyProtection="1">
      <protection locked="0"/>
    </xf>
    <xf numFmtId="2" fontId="6" fillId="25" borderId="9" xfId="0" quotePrefix="1" applyNumberFormat="1" applyFont="1" applyFill="1" applyBorder="1" applyAlignment="1" applyProtection="1"/>
    <xf numFmtId="2" fontId="6" fillId="12" borderId="10" xfId="0" applyNumberFormat="1" applyFont="1" applyFill="1" applyBorder="1" applyAlignment="1" applyProtection="1">
      <protection locked="0"/>
    </xf>
    <xf numFmtId="2" fontId="6" fillId="25" borderId="9" xfId="0" applyNumberFormat="1" applyFont="1" applyFill="1" applyBorder="1" applyAlignment="1" applyProtection="1"/>
    <xf numFmtId="0" fontId="6" fillId="11" borderId="9" xfId="0" applyFont="1" applyFill="1" applyBorder="1" applyAlignment="1" applyProtection="1"/>
    <xf numFmtId="2" fontId="6" fillId="13" borderId="10" xfId="0" applyNumberFormat="1" applyFont="1" applyFill="1" applyBorder="1" applyAlignment="1" applyProtection="1">
      <protection locked="0"/>
    </xf>
    <xf numFmtId="2" fontId="6" fillId="11" borderId="9" xfId="0" applyNumberFormat="1" applyFont="1" applyFill="1" applyBorder="1" applyAlignment="1" applyProtection="1"/>
    <xf numFmtId="0" fontId="6" fillId="0" borderId="11" xfId="0" applyFont="1" applyFill="1" applyBorder="1" applyAlignment="1" applyProtection="1"/>
    <xf numFmtId="3" fontId="6" fillId="13" borderId="10" xfId="0" applyNumberFormat="1" applyFont="1" applyFill="1" applyBorder="1" applyAlignment="1" applyProtection="1">
      <protection locked="0"/>
    </xf>
    <xf numFmtId="3" fontId="6" fillId="11" borderId="9" xfId="0" applyNumberFormat="1" applyFont="1" applyFill="1" applyBorder="1" applyAlignment="1" applyProtection="1"/>
    <xf numFmtId="0" fontId="6" fillId="13" borderId="10" xfId="0" applyFont="1" applyFill="1" applyBorder="1" applyAlignment="1" applyProtection="1">
      <alignment horizontal="right"/>
      <protection locked="0"/>
    </xf>
    <xf numFmtId="165" fontId="6" fillId="11" borderId="9" xfId="0" applyNumberFormat="1" applyFont="1" applyFill="1" applyBorder="1" applyAlignment="1" applyProtection="1">
      <alignment horizontal="right"/>
    </xf>
    <xf numFmtId="4" fontId="6" fillId="13" borderId="10" xfId="0" applyNumberFormat="1" applyFont="1" applyFill="1" applyBorder="1" applyAlignment="1" applyProtection="1">
      <protection locked="0"/>
    </xf>
    <xf numFmtId="4" fontId="6" fillId="13" borderId="9" xfId="0" applyNumberFormat="1" applyFont="1" applyFill="1" applyBorder="1" applyAlignment="1" applyProtection="1">
      <protection locked="0"/>
    </xf>
    <xf numFmtId="0" fontId="6" fillId="13" borderId="10" xfId="0" applyNumberFormat="1" applyFont="1" applyFill="1" applyBorder="1" applyAlignment="1" applyProtection="1">
      <protection locked="0"/>
    </xf>
    <xf numFmtId="0" fontId="6" fillId="11" borderId="9" xfId="0" applyNumberFormat="1" applyFont="1" applyFill="1" applyBorder="1" applyAlignment="1" applyProtection="1"/>
    <xf numFmtId="4" fontId="6" fillId="11" borderId="10" xfId="0" applyNumberFormat="1" applyFont="1" applyFill="1" applyBorder="1" applyAlignment="1" applyProtection="1"/>
    <xf numFmtId="4" fontId="6" fillId="11" borderId="9" xfId="0" applyNumberFormat="1" applyFont="1" applyFill="1" applyBorder="1" applyAlignment="1" applyProtection="1"/>
    <xf numFmtId="0" fontId="6" fillId="11" borderId="24" xfId="0" applyFont="1" applyFill="1" applyBorder="1" applyAlignment="1" applyProtection="1"/>
    <xf numFmtId="4" fontId="6" fillId="11" borderId="25" xfId="0" applyNumberFormat="1" applyFont="1" applyFill="1" applyBorder="1" applyAlignment="1" applyProtection="1"/>
    <xf numFmtId="4" fontId="6" fillId="11" borderId="22" xfId="0" applyNumberFormat="1" applyFont="1" applyFill="1" applyBorder="1" applyAlignment="1" applyProtection="1"/>
    <xf numFmtId="0" fontId="6" fillId="11" borderId="22" xfId="0" applyFont="1" applyFill="1" applyBorder="1" applyAlignment="1" applyProtection="1"/>
    <xf numFmtId="0" fontId="6" fillId="0" borderId="0" xfId="0" applyFont="1"/>
    <xf numFmtId="2" fontId="6" fillId="0" borderId="0" xfId="0" applyNumberFormat="1" applyFont="1" applyFill="1" applyBorder="1" applyAlignment="1" applyProtection="1"/>
    <xf numFmtId="0" fontId="37" fillId="0" borderId="0" xfId="0" applyFont="1" applyFill="1" applyBorder="1" applyAlignment="1" applyProtection="1"/>
    <xf numFmtId="0" fontId="6" fillId="14" borderId="22" xfId="0" applyFont="1" applyFill="1" applyBorder="1" applyAlignment="1" applyProtection="1"/>
    <xf numFmtId="0" fontId="41" fillId="24" borderId="11" xfId="0" applyFont="1" applyFill="1" applyBorder="1" applyAlignment="1" applyProtection="1"/>
    <xf numFmtId="0" fontId="6" fillId="11" borderId="12" xfId="0" applyFont="1" applyFill="1" applyBorder="1" applyAlignment="1" applyProtection="1"/>
    <xf numFmtId="0" fontId="5" fillId="14" borderId="9" xfId="0" applyFont="1" applyFill="1" applyBorder="1" applyAlignment="1" applyProtection="1"/>
    <xf numFmtId="0" fontId="5" fillId="11" borderId="9" xfId="0" applyFont="1" applyFill="1" applyBorder="1" applyAlignment="1" applyProtection="1"/>
    <xf numFmtId="0" fontId="39" fillId="0" borderId="0" xfId="0" applyFont="1" applyAlignment="1" applyProtection="1">
      <alignment horizontal="right"/>
    </xf>
    <xf numFmtId="0" fontId="39" fillId="0" borderId="0" xfId="0" applyFont="1" applyProtection="1"/>
    <xf numFmtId="0" fontId="39" fillId="0" borderId="0" xfId="0" applyFont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/>
    <xf numFmtId="0" fontId="4" fillId="11" borderId="22" xfId="0" applyFont="1" applyFill="1" applyBorder="1" applyAlignment="1" applyProtection="1"/>
    <xf numFmtId="0" fontId="54" fillId="9" borderId="26" xfId="0" applyFont="1" applyFill="1" applyBorder="1" applyAlignment="1" applyProtection="1">
      <alignment vertical="center"/>
    </xf>
    <xf numFmtId="0" fontId="6" fillId="9" borderId="7" xfId="0" applyFont="1" applyFill="1" applyBorder="1" applyAlignment="1" applyProtection="1"/>
    <xf numFmtId="2" fontId="51" fillId="11" borderId="27" xfId="0" applyNumberFormat="1" applyFont="1" applyFill="1" applyBorder="1" applyAlignment="1" applyProtection="1">
      <alignment vertical="center"/>
    </xf>
    <xf numFmtId="0" fontId="3" fillId="11" borderId="10" xfId="0" applyFont="1" applyFill="1" applyBorder="1" applyAlignment="1" applyProtection="1">
      <alignment vertical="center"/>
    </xf>
    <xf numFmtId="0" fontId="3" fillId="11" borderId="9" xfId="0" applyFont="1" applyFill="1" applyBorder="1" applyAlignment="1" applyProtection="1"/>
    <xf numFmtId="2" fontId="2" fillId="13" borderId="10" xfId="0" applyNumberFormat="1" applyFont="1" applyFill="1" applyBorder="1" applyAlignment="1" applyProtection="1">
      <protection locked="0"/>
    </xf>
    <xf numFmtId="0" fontId="21" fillId="15" borderId="11" xfId="0" applyFont="1" applyFill="1" applyBorder="1" applyAlignment="1">
      <alignment wrapText="1"/>
    </xf>
    <xf numFmtId="0" fontId="21" fillId="15" borderId="7" xfId="0" applyFont="1" applyFill="1" applyBorder="1" applyAlignment="1">
      <alignment wrapText="1"/>
    </xf>
    <xf numFmtId="0" fontId="42" fillId="0" borderId="12" xfId="0" applyFont="1" applyFill="1" applyBorder="1"/>
    <xf numFmtId="0" fontId="37" fillId="0" borderId="0" xfId="0" applyFont="1" applyAlignment="1" applyProtection="1">
      <alignment horizontal="center" vertical="center"/>
    </xf>
    <xf numFmtId="0" fontId="37" fillId="0" borderId="23" xfId="0" applyFont="1" applyFill="1" applyBorder="1" applyAlignment="1" applyProtection="1"/>
    <xf numFmtId="0" fontId="37" fillId="0" borderId="0" xfId="0" applyFont="1" applyFill="1" applyBorder="1" applyAlignment="1" applyProtection="1"/>
    <xf numFmtId="0" fontId="37" fillId="26" borderId="0" xfId="0" applyFont="1" applyFill="1" applyBorder="1" applyAlignment="1" applyProtection="1">
      <alignment horizontal="center" vertical="center"/>
    </xf>
    <xf numFmtId="0" fontId="37" fillId="26" borderId="20" xfId="0" applyFont="1" applyFill="1" applyBorder="1" applyAlignment="1" applyProtection="1">
      <alignment horizontal="center" vertical="center"/>
    </xf>
    <xf numFmtId="0" fontId="37" fillId="26" borderId="11" xfId="0" applyFont="1" applyFill="1" applyBorder="1" applyAlignment="1" applyProtection="1">
      <alignment horizontal="center" vertical="center"/>
    </xf>
    <xf numFmtId="0" fontId="37" fillId="26" borderId="7" xfId="0" applyFont="1" applyFill="1" applyBorder="1" applyAlignment="1" applyProtection="1">
      <alignment horizontal="center" vertical="center"/>
    </xf>
  </cellXfs>
  <cellStyles count="19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Excel Built-in Normal" xfId="12"/>
    <cellStyle name="Footnote" xfId="13"/>
    <cellStyle name="Good" xfId="3" builtinId="26" customBuiltin="1"/>
    <cellStyle name="Heading" xfId="14"/>
    <cellStyle name="Heading 1" xfId="1" builtinId="16" customBuiltin="1"/>
    <cellStyle name="Heading 2" xfId="2" builtinId="17" customBuiltin="1"/>
    <cellStyle name="Hyperlink" xfId="15"/>
    <cellStyle name="Neutral" xfId="5" builtinId="28" customBuiltin="1"/>
    <cellStyle name="Normal" xfId="0" builtinId="0" customBuiltin="1"/>
    <cellStyle name="Note" xfId="6" builtinId="10" customBuiltin="1"/>
    <cellStyle name="Status" xfId="16"/>
    <cellStyle name="Text" xfId="17"/>
    <cellStyle name="Warning" xfId="18"/>
  </cellStyles>
  <dxfs count="7">
    <dxf>
      <fill>
        <gradientFill degree="90">
          <stop position="0">
            <color theme="0"/>
          </stop>
          <stop position="1">
            <color rgb="FFE78587"/>
          </stop>
        </gradientFill>
      </fill>
      <border>
        <right style="thin">
          <color auto="1"/>
        </right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E78587"/>
          </stop>
        </gradientFill>
      </fill>
      <border>
        <right style="thin">
          <color auto="1"/>
        </right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E78587"/>
          </stop>
        </gradientFill>
      </fill>
      <border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rgb="FFE78587"/>
        </patternFill>
      </fill>
    </dxf>
    <dxf>
      <fill>
        <patternFill>
          <bgColor rgb="FFE78587"/>
        </patternFill>
      </fill>
    </dxf>
    <dxf>
      <fill>
        <gradientFill degree="90">
          <stop position="0">
            <color theme="0"/>
          </stop>
          <stop position="1">
            <color rgb="FFE78587"/>
          </stop>
        </gradient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E78587"/>
          </stop>
        </gradientFill>
      </fill>
      <border>
        <left/>
        <right style="thin">
          <color auto="1"/>
        </right>
        <top/>
        <bottom style="thin">
          <color auto="1"/>
        </bottom>
      </border>
    </dxf>
  </dxfs>
  <tableStyles count="0" defaultTableStyle="TableStyleMedium2" defaultPivotStyle="PivotStyleLight16"/>
  <colors>
    <mruColors>
      <color rgb="FFE78587"/>
      <color rgb="FFFFFFCC"/>
      <color rgb="FFAFEEEE"/>
      <color rgb="FF00008B"/>
      <color rgb="FFFFAAAA"/>
      <color rgb="FFD6FFFE"/>
      <color rgb="FFF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5954</xdr:colOff>
      <xdr:row>1</xdr:row>
      <xdr:rowOff>136921</xdr:rowOff>
    </xdr:from>
    <xdr:to>
      <xdr:col>5</xdr:col>
      <xdr:colOff>2478</xdr:colOff>
      <xdr:row>17</xdr:row>
      <xdr:rowOff>170461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5" y="250030"/>
          <a:ext cx="3654000" cy="3081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240494</xdr:colOff>
      <xdr:row>28</xdr:row>
      <xdr:rowOff>103057</xdr:rowOff>
    </xdr:from>
    <xdr:to>
      <xdr:col>2</xdr:col>
      <xdr:colOff>384360</xdr:colOff>
      <xdr:row>34</xdr:row>
      <xdr:rowOff>76057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287" y="5345091"/>
          <a:ext cx="4715866" cy="11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showGridLines="0" tabSelected="1" zoomScale="120" zoomScaleNormal="120" workbookViewId="0">
      <selection activeCell="C8" sqref="C8"/>
    </sheetView>
  </sheetViews>
  <sheetFormatPr defaultRowHeight="15"/>
  <cols>
    <col min="1" max="1" width="1.5" style="28" customWidth="1"/>
    <col min="2" max="4" width="13.5" style="28" customWidth="1"/>
    <col min="5" max="5" width="34.5" style="28" customWidth="1"/>
    <col min="6" max="16384" width="9" style="28"/>
  </cols>
  <sheetData>
    <row r="1" spans="2:5" ht="9" customHeight="1"/>
    <row r="2" spans="2:5">
      <c r="B2" s="1" t="str">
        <f ca="1" xml:space="preserve"> "Reactive Iron Ion Content (RIIC) calculator " &amp;
MID(
    CELL("filename", B1),
    FIND("web_v", CELL("filename", B1)) + 4,
    FIND(".xlsx", CELL("filename", B1)) - FIND("web_v", CELL("filename", B1)) - 4
)</f>
        <v>Reactive Iron Ion Content (RIIC) calculator v1.09</v>
      </c>
    </row>
    <row r="3" spans="2:5" s="29" customFormat="1"/>
    <row r="4" spans="2:5" s="29" customFormat="1" ht="15" customHeight="1">
      <c r="B4" s="178" t="str">
        <f xml:space="preserve"> "Comparison with SBGx by SwissBiogas.com: " &amp; basis!B20 &amp; "% FeO + " &amp; basis!C20 &amp; "% Fe₂O₃" &amp; "; " &amp; TEXT(basis!E21, "#.00") &amp; "% RIIC"</f>
        <v>Comparison with SBGx by SwissBiogas.com: 41.82% FeO + 44.13% Fe₂O₃; 63.37% RIIC</v>
      </c>
      <c r="C4" s="178"/>
      <c r="D4" s="178"/>
      <c r="E4" s="179"/>
    </row>
    <row r="5" spans="2:5" s="29" customFormat="1">
      <c r="B5" s="180" t="str">
        <f xml:space="preserve"> IF(D15 &lt;= 0, "Please enter a value higher than 0 in at least one of the yellow cells below (Content [%]).", "")</f>
        <v>Please enter a value higher than 0 in at least one of the yellow cells below (Content [%]).</v>
      </c>
      <c r="C5" s="180"/>
      <c r="D5" s="180"/>
      <c r="E5" s="180"/>
    </row>
    <row r="7" spans="2:5" ht="15" customHeight="1">
      <c r="B7" s="26" t="s">
        <v>29</v>
      </c>
      <c r="C7" s="2" t="s">
        <v>24</v>
      </c>
      <c r="D7" s="27" t="s">
        <v>35</v>
      </c>
      <c r="E7" s="25" t="s">
        <v>28</v>
      </c>
    </row>
    <row r="8" spans="2:5" s="32" customFormat="1" ht="15" customHeight="1">
      <c r="B8" s="33" t="s">
        <v>7</v>
      </c>
      <c r="C8" s="98"/>
      <c r="D8" s="35">
        <f xml:space="preserve"> IF(AND(ISNUMBER(C8), C8 &gt; 0), C8 * basis!E6 / 100, 0)</f>
        <v>0</v>
      </c>
      <c r="E8" s="175" t="s">
        <v>112</v>
      </c>
    </row>
    <row r="9" spans="2:5" s="32" customFormat="1" ht="15" customHeight="1">
      <c r="B9" s="33" t="s">
        <v>36</v>
      </c>
      <c r="C9" s="39"/>
      <c r="D9" s="35">
        <f xml:space="preserve"> IF(AND(ISNUMBER(C9), C9 &gt; 0), C9 * basis!E7 / 100, 0)</f>
        <v>0</v>
      </c>
      <c r="E9" s="175" t="s">
        <v>113</v>
      </c>
    </row>
    <row r="10" spans="2:5" s="32" customFormat="1" ht="15" customHeight="1">
      <c r="B10" s="34" t="s">
        <v>37</v>
      </c>
      <c r="C10" s="30"/>
      <c r="D10" s="35">
        <f xml:space="preserve"> IF(AND(ISNUMBER(C10), C10 &gt; 0), C10 * basis!E8 / 100, 0)</f>
        <v>0</v>
      </c>
      <c r="E10" s="36" t="str">
        <f xml:space="preserve"> IF(D10 &gt; 0, "→ " &amp; TEXT(D10 / 3, "0.00") &amp; "% Fe²⁺ + " &amp; TEXT(D10 * 2 / 3, "0.00") &amp; "% Fe³⁺", "Fe²·⁶⁷⁺ (Iron(II,III))")</f>
        <v>Fe²·⁶⁷⁺ (Iron(II,III))</v>
      </c>
    </row>
    <row r="11" spans="2:5" s="32" customFormat="1" ht="15" customHeight="1">
      <c r="B11" s="34" t="s">
        <v>38</v>
      </c>
      <c r="C11" s="30"/>
      <c r="D11" s="35">
        <f xml:space="preserve"> IF(AND(ISNUMBER(C11), C11 &gt; 0), C11 * basis!E12 / 100, 0)</f>
        <v>0</v>
      </c>
      <c r="E11" s="128" t="s">
        <v>114</v>
      </c>
    </row>
    <row r="12" spans="2:5" s="32" customFormat="1" ht="15" customHeight="1">
      <c r="B12" s="34" t="s">
        <v>39</v>
      </c>
      <c r="C12" s="30"/>
      <c r="D12" s="35">
        <f xml:space="preserve"> IF(AND(ISNUMBER(C12), C12 &gt; 0), C12 * basis!E13 / 100, 0)</f>
        <v>0</v>
      </c>
      <c r="E12" s="128" t="s">
        <v>115</v>
      </c>
    </row>
    <row r="13" spans="2:5" s="32" customFormat="1" ht="15" customHeight="1">
      <c r="B13" s="34" t="s">
        <v>18</v>
      </c>
      <c r="C13" s="30"/>
      <c r="D13" s="35">
        <f xml:space="preserve"> IF(AND(ISNUMBER(C13), C13 &gt; 0), C13 * basis!E14 / 100, 0)</f>
        <v>0</v>
      </c>
      <c r="E13" s="128" t="s">
        <v>115</v>
      </c>
    </row>
    <row r="14" spans="2:5" s="32" customFormat="1" ht="15" customHeight="1">
      <c r="B14" s="34" t="s">
        <v>40</v>
      </c>
      <c r="C14" s="30"/>
      <c r="D14" s="35">
        <f xml:space="preserve"> IF(AND(ISNUMBER(C14), C14 &gt; 0), C14 * basis!E15 / 100, 0)</f>
        <v>0</v>
      </c>
      <c r="E14" s="128" t="s">
        <v>115</v>
      </c>
    </row>
    <row r="15" spans="2:5" ht="15" customHeight="1">
      <c r="B15" s="93" t="s">
        <v>22</v>
      </c>
      <c r="C15" s="94"/>
      <c r="D15" s="95">
        <f xml:space="preserve"> IF(ISERROR(SUM(D8:D14)), 0, SUM(D8:D14))</f>
        <v>0</v>
      </c>
      <c r="E15" s="94"/>
    </row>
    <row r="16" spans="2:5">
      <c r="B16" s="181" t="str">
        <f xml:space="preserve">
IF(D15 &gt; 0,
    IF(ABS(D15 - basis!E21) &lt; 0.6,
        "The RIIC of your example is about the same as the one of SBGx by SwissBiogas.com.",
        IF(D15 &lt; basis!E21,
            "The RIIC of SBGx by SwissBiogas.com is about " &amp; TEXT((basis!E21 - D15) / D15 * 100, "0.0") &amp; "% higher than the one of your example.",
            "The RIIC of your example is about " &amp; TEXT((D15 - basis!E21) / basis!E21 * 100, "0.0") &amp; "% higher than the one of SBGx by SwissBiogas.com."
        )
    ),
    ""
)</f>
        <v/>
      </c>
      <c r="C16" s="181"/>
      <c r="D16" s="181"/>
      <c r="E16" s="181"/>
    </row>
    <row r="17" spans="2:5">
      <c r="B17" s="181"/>
      <c r="C17" s="181"/>
      <c r="D17" s="181"/>
      <c r="E17" s="181"/>
    </row>
    <row r="18" spans="2:5">
      <c r="E18" s="166" t="s">
        <v>94</v>
      </c>
    </row>
    <row r="20" spans="2:5">
      <c r="B20" s="167" t="s">
        <v>133</v>
      </c>
    </row>
    <row r="21" spans="2:5">
      <c r="B21" s="167" t="s">
        <v>134</v>
      </c>
    </row>
  </sheetData>
  <sheetProtection sheet="1" objects="1" scenarios="1" selectLockedCells="1"/>
  <mergeCells count="3">
    <mergeCell ref="B4:E4"/>
    <mergeCell ref="B5:E5"/>
    <mergeCell ref="B16:E17"/>
  </mergeCells>
  <conditionalFormatting sqref="B5:E5">
    <cfRule type="expression" dxfId="6" priority="2">
      <formula xml:space="preserve"> $D$15 &lt;= 0</formula>
    </cfRule>
  </conditionalFormatting>
  <conditionalFormatting sqref="B16">
    <cfRule type="expression" dxfId="5" priority="4">
      <formula xml:space="preserve"> D15 &gt; 0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4"/>
  <sheetViews>
    <sheetView showGridLines="0" zoomScale="120" zoomScaleNormal="120" workbookViewId="0">
      <selection activeCell="C15" sqref="C15"/>
    </sheetView>
  </sheetViews>
  <sheetFormatPr defaultRowHeight="15"/>
  <cols>
    <col min="1" max="1" width="2.25" style="73" customWidth="1"/>
    <col min="2" max="2" width="60" style="73" customWidth="1"/>
    <col min="3" max="3" width="8.75" style="75" customWidth="1"/>
    <col min="4" max="5" width="8.75" style="73" customWidth="1"/>
    <col min="6" max="6" width="9" style="73" customWidth="1"/>
    <col min="7" max="16384" width="9" style="73"/>
  </cols>
  <sheetData>
    <row r="1" spans="2:6" s="40" customFormat="1" ht="7.5" customHeight="1">
      <c r="D1" s="89"/>
    </row>
    <row r="2" spans="2:6" s="41" customFormat="1">
      <c r="B2" s="31" t="s">
        <v>105</v>
      </c>
    </row>
    <row r="3" spans="2:6" s="41" customFormat="1"/>
    <row r="4" spans="2:6" s="41" customFormat="1" ht="15" customHeight="1">
      <c r="B4" s="82" t="s">
        <v>46</v>
      </c>
      <c r="C4" s="110">
        <v>3.5</v>
      </c>
    </row>
    <row r="5" spans="2:6" s="41" customFormat="1" ht="15" customHeight="1">
      <c r="B5" s="86" t="s">
        <v>95</v>
      </c>
      <c r="C5" s="78">
        <v>1000</v>
      </c>
    </row>
    <row r="6" spans="2:6" s="41" customFormat="1" ht="15" customHeight="1">
      <c r="B6" s="83" t="s">
        <v>90</v>
      </c>
      <c r="C6" s="78">
        <v>50</v>
      </c>
    </row>
    <row r="7" spans="2:6" s="41" customFormat="1" ht="15" customHeight="1">
      <c r="B7" s="83" t="s">
        <v>91</v>
      </c>
      <c r="C7" s="78">
        <v>7200</v>
      </c>
    </row>
    <row r="8" spans="2:6" s="41" customFormat="1" ht="15" customHeight="1">
      <c r="B8" s="109" t="s">
        <v>99</v>
      </c>
      <c r="C8" s="79"/>
    </row>
    <row r="9" spans="2:6" s="41" customFormat="1" ht="15" customHeight="1">
      <c r="B9" s="111" t="s">
        <v>100</v>
      </c>
    </row>
    <row r="10" spans="2:6" s="41" customFormat="1" ht="15" customHeight="1">
      <c r="B10" s="85" t="s">
        <v>92</v>
      </c>
      <c r="C10" s="77">
        <v>42.5</v>
      </c>
    </row>
    <row r="11" spans="2:6" s="41" customFormat="1" ht="15" customHeight="1">
      <c r="B11" s="85" t="s">
        <v>93</v>
      </c>
      <c r="C11" s="77">
        <v>7.87</v>
      </c>
    </row>
    <row r="12" spans="2:6" s="41" customFormat="1" ht="15" customHeight="1">
      <c r="B12" s="92" t="s">
        <v>101</v>
      </c>
      <c r="C12" s="131">
        <f xml:space="preserve"> C74</f>
        <v>73716.890130044267</v>
      </c>
    </row>
    <row r="13" spans="2:6" s="41" customFormat="1" ht="15" customHeight="1">
      <c r="B13" s="87" t="s">
        <v>96</v>
      </c>
    </row>
    <row r="14" spans="2:6" s="41" customFormat="1" ht="15" customHeight="1">
      <c r="B14" s="115" t="s">
        <v>104</v>
      </c>
      <c r="C14" s="112"/>
      <c r="D14" s="113" t="s">
        <v>35</v>
      </c>
      <c r="E14" s="114" t="s">
        <v>98</v>
      </c>
    </row>
    <row r="15" spans="2:6" s="41" customFormat="1" ht="15" customHeight="1">
      <c r="B15" s="105" t="s">
        <v>7</v>
      </c>
      <c r="C15" s="106"/>
      <c r="D15" s="104">
        <f xml:space="preserve"> IF(AND(ISNUMBER(C15), C15 &gt; 0), C15 * basis!E6 / 100, 0)</f>
        <v>0</v>
      </c>
      <c r="E15" s="104" t="s">
        <v>114</v>
      </c>
      <c r="F15" s="107"/>
    </row>
    <row r="16" spans="2:6" s="41" customFormat="1" ht="15" customHeight="1">
      <c r="B16" s="88" t="s">
        <v>36</v>
      </c>
      <c r="C16" s="39"/>
      <c r="D16" s="103">
        <f xml:space="preserve"> IF(AND(ISNUMBER(C16), C16 &gt; 0), C16 * basis!E7 / 100, 0)</f>
        <v>0</v>
      </c>
      <c r="E16" s="104" t="s">
        <v>115</v>
      </c>
    </row>
    <row r="17" spans="2:5" s="41" customFormat="1" ht="15" customHeight="1">
      <c r="B17" s="84" t="s">
        <v>37</v>
      </c>
      <c r="C17" s="30"/>
      <c r="D17" s="103">
        <f xml:space="preserve"> IF(AND(ISNUMBER(C17), C17 &gt; 0), C17 * basis!E8 / 100, 0)</f>
        <v>0</v>
      </c>
      <c r="E17" s="104" t="s">
        <v>116</v>
      </c>
    </row>
    <row r="18" spans="2:5" s="41" customFormat="1" ht="15" customHeight="1">
      <c r="B18" s="84" t="s">
        <v>38</v>
      </c>
      <c r="C18" s="30"/>
      <c r="D18" s="103">
        <f xml:space="preserve"> IF(AND(ISNUMBER(C18), C18 &gt; 0), C18 * basis!E12 / 100, 0)</f>
        <v>0</v>
      </c>
      <c r="E18" s="104" t="s">
        <v>114</v>
      </c>
    </row>
    <row r="19" spans="2:5" s="41" customFormat="1" ht="15" customHeight="1">
      <c r="B19" s="84" t="s">
        <v>39</v>
      </c>
      <c r="C19" s="30"/>
      <c r="D19" s="103">
        <f xml:space="preserve"> IF(AND(ISNUMBER(C19), C19 &gt; 0), C19 * basis!E13 / 100, 0)</f>
        <v>0</v>
      </c>
      <c r="E19" s="104" t="s">
        <v>115</v>
      </c>
    </row>
    <row r="20" spans="2:5" s="41" customFormat="1" ht="15" customHeight="1">
      <c r="B20" s="84" t="s">
        <v>18</v>
      </c>
      <c r="C20" s="30"/>
      <c r="D20" s="103">
        <f xml:space="preserve"> IF(AND(ISNUMBER(C20), C20 &gt; 0), C20 * basis!E14 / 100, 0)</f>
        <v>0</v>
      </c>
      <c r="E20" s="104" t="s">
        <v>115</v>
      </c>
    </row>
    <row r="21" spans="2:5" s="41" customFormat="1" ht="15" customHeight="1">
      <c r="B21" s="84" t="s">
        <v>40</v>
      </c>
      <c r="C21" s="30"/>
      <c r="D21" s="103">
        <f xml:space="preserve"> IF(AND(ISNUMBER(C21), C21 &gt; 0), C21 * basis!E15 / 100, 0)</f>
        <v>0</v>
      </c>
      <c r="E21" s="104" t="s">
        <v>115</v>
      </c>
    </row>
    <row r="22" spans="2:5" s="41" customFormat="1" ht="15" customHeight="1">
      <c r="B22" s="93" t="s">
        <v>103</v>
      </c>
      <c r="C22" s="132">
        <f xml:space="preserve"> IF(D22 &gt; 0, C12 / D22 * 100 / 1000, 0)</f>
        <v>0</v>
      </c>
      <c r="D22" s="108">
        <f xml:space="preserve"> SUM(D15:D21)</f>
        <v>0</v>
      </c>
      <c r="E22" s="31" t="str">
        <f xml:space="preserve"> IF(AND(C22 &gt; 0, C22 &lt; C23), "← Better, as it needs " &amp; TEXT((C23 - C22) / C23 * 100,"#0.0") &amp; "% less of the additive.", "")</f>
        <v/>
      </c>
    </row>
    <row r="23" spans="2:5" s="41" customFormat="1" ht="15" customHeight="1">
      <c r="B23" s="93" t="s">
        <v>102</v>
      </c>
      <c r="C23" s="132">
        <f xml:space="preserve"> C12 / basis!E21 * 100 / 1000</f>
        <v>116.32308681429656</v>
      </c>
      <c r="D23" s="108">
        <f xml:space="preserve"> basis!E21</f>
        <v>63.372536053594629</v>
      </c>
      <c r="E23" s="31" t="str">
        <f xml:space="preserve"> IF(AND(C22 &gt; 0, C22 &gt; C23), "← Better, as it needs " &amp; TEXT((C22 - C23) / C22 * 100,"#0.0") &amp; "% less of the additive.", "")</f>
        <v/>
      </c>
    </row>
    <row r="24" spans="2:5" s="41" customFormat="1">
      <c r="B24" s="87" t="str">
        <f xml:space="preserve"> "** Fe content: " &amp; basis!B20 &amp; "% FeO + " &amp; basis!C20 &amp; "% Fe₂O₃" &amp; "; " &amp; TEXT(basis!E21, "#.00") &amp; "% RIIC"</f>
        <v>** Fe content: 41.82% FeO + 44.13% Fe₂O₃; 63.37% RIIC</v>
      </c>
    </row>
    <row r="25" spans="2:5" s="41" customFormat="1">
      <c r="E25" s="168" t="s">
        <v>94</v>
      </c>
    </row>
    <row r="26" spans="2:5" s="99" customFormat="1">
      <c r="C26" s="100"/>
    </row>
    <row r="27" spans="2:5" s="99" customFormat="1">
      <c r="C27" s="100"/>
    </row>
    <row r="28" spans="2:5" s="99" customFormat="1">
      <c r="B28" s="102" t="s">
        <v>97</v>
      </c>
    </row>
    <row r="29" spans="2:5" s="99" customFormat="1"/>
    <row r="30" spans="2:5" s="99" customFormat="1"/>
    <row r="31" spans="2:5" s="99" customFormat="1"/>
    <row r="32" spans="2:5" s="99" customFormat="1"/>
    <row r="33" spans="2:3" s="99" customFormat="1">
      <c r="C33" s="101"/>
    </row>
    <row r="34" spans="2:3" s="99" customFormat="1">
      <c r="C34" s="101"/>
    </row>
    <row r="35" spans="2:3" s="99" customFormat="1">
      <c r="C35" s="101"/>
    </row>
    <row r="36" spans="2:3" s="99" customFormat="1">
      <c r="B36" s="99" t="s">
        <v>79</v>
      </c>
      <c r="C36" s="101"/>
    </row>
    <row r="37" spans="2:3" s="99" customFormat="1">
      <c r="B37" s="99" t="s">
        <v>80</v>
      </c>
      <c r="C37" s="101"/>
    </row>
    <row r="38" spans="2:3" s="99" customFormat="1">
      <c r="B38" s="99" t="s">
        <v>81</v>
      </c>
      <c r="C38" s="101"/>
    </row>
    <row r="39" spans="2:3" s="99" customFormat="1">
      <c r="C39" s="101"/>
    </row>
    <row r="40" spans="2:3" s="96" customFormat="1">
      <c r="B40" s="97"/>
    </row>
    <row r="41" spans="2:3" s="96" customFormat="1"/>
    <row r="42" spans="2:3" s="96" customFormat="1"/>
    <row r="43" spans="2:3" s="96" customFormat="1">
      <c r="B43" s="97"/>
    </row>
    <row r="44" spans="2:3" s="96" customFormat="1">
      <c r="B44" s="97"/>
    </row>
    <row r="45" spans="2:3" s="96" customFormat="1">
      <c r="B45" s="97"/>
    </row>
    <row r="46" spans="2:3" s="96" customFormat="1">
      <c r="B46" s="97"/>
    </row>
    <row r="47" spans="2:3" s="96" customFormat="1">
      <c r="B47" s="97"/>
    </row>
    <row r="48" spans="2:3" s="41" customFormat="1">
      <c r="B48" s="42"/>
    </row>
    <row r="49" spans="2:10" s="41" customFormat="1">
      <c r="B49" s="42"/>
    </row>
    <row r="50" spans="2:10" s="41" customFormat="1">
      <c r="B50" s="42"/>
    </row>
    <row r="51" spans="2:10" s="41" customFormat="1">
      <c r="B51" s="42"/>
    </row>
    <row r="52" spans="2:10" s="41" customFormat="1">
      <c r="B52" s="42"/>
    </row>
    <row r="53" spans="2:10" s="41" customFormat="1" hidden="1">
      <c r="C53" s="43" t="s">
        <v>41</v>
      </c>
      <c r="D53" s="44" t="s">
        <v>42</v>
      </c>
    </row>
    <row r="54" spans="2:10" s="41" customFormat="1" hidden="1">
      <c r="C54" s="42"/>
    </row>
    <row r="55" spans="2:10" s="41" customFormat="1" hidden="1">
      <c r="B55" s="45" t="s">
        <v>43</v>
      </c>
      <c r="C55" s="46" t="s">
        <v>44</v>
      </c>
      <c r="D55" s="47" t="s">
        <v>45</v>
      </c>
    </row>
    <row r="56" spans="2:10" s="41" customFormat="1" hidden="1">
      <c r="B56" s="48" t="s">
        <v>46</v>
      </c>
      <c r="C56" s="49" t="s">
        <v>47</v>
      </c>
    </row>
    <row r="57" spans="2:10" s="41" customFormat="1" ht="18" hidden="1">
      <c r="B57" s="48" t="s">
        <v>48</v>
      </c>
      <c r="C57" s="49" t="s">
        <v>49</v>
      </c>
    </row>
    <row r="58" spans="2:10" s="41" customFormat="1" ht="18" hidden="1">
      <c r="B58" s="48" t="s">
        <v>50</v>
      </c>
      <c r="C58" s="50"/>
    </row>
    <row r="59" spans="2:10" s="41" customFormat="1" ht="18" hidden="1">
      <c r="B59" s="48" t="s">
        <v>51</v>
      </c>
      <c r="C59" s="49"/>
    </row>
    <row r="60" spans="2:10" s="41" customFormat="1" hidden="1">
      <c r="B60" s="48" t="s">
        <v>52</v>
      </c>
      <c r="C60" s="49"/>
      <c r="J60" s="51"/>
    </row>
    <row r="61" spans="2:10" s="41" customFormat="1" hidden="1">
      <c r="B61" s="48" t="s">
        <v>53</v>
      </c>
      <c r="C61" s="49"/>
    </row>
    <row r="62" spans="2:10" s="41" customFormat="1" ht="18" hidden="1">
      <c r="B62" s="48" t="s">
        <v>54</v>
      </c>
      <c r="C62" s="52">
        <v>55.85</v>
      </c>
      <c r="D62" s="53"/>
    </row>
    <row r="63" spans="2:10" s="41" customFormat="1" ht="18" hidden="1">
      <c r="B63" s="48" t="s">
        <v>55</v>
      </c>
      <c r="C63" s="52">
        <v>32.06</v>
      </c>
      <c r="D63" s="53"/>
    </row>
    <row r="64" spans="2:10" s="41" customFormat="1" ht="18" hidden="1">
      <c r="B64" s="48" t="s">
        <v>56</v>
      </c>
      <c r="C64" s="54">
        <v>1.54</v>
      </c>
      <c r="D64" s="53"/>
    </row>
    <row r="65" spans="2:4" s="41" customFormat="1" ht="18" hidden="1">
      <c r="B65" s="48" t="s">
        <v>57</v>
      </c>
      <c r="C65" s="49" t="s">
        <v>58</v>
      </c>
    </row>
    <row r="66" spans="2:4" s="41" customFormat="1" ht="18" hidden="1">
      <c r="B66" s="48" t="s">
        <v>59</v>
      </c>
      <c r="C66" s="49" t="s">
        <v>58</v>
      </c>
    </row>
    <row r="67" spans="2:4" s="41" customFormat="1" ht="17.25" hidden="1">
      <c r="B67" s="48" t="s">
        <v>60</v>
      </c>
      <c r="C67" s="55">
        <f xml:space="preserve"> 10 ^ -C11</f>
        <v>1.3489628825916498E-8</v>
      </c>
    </row>
    <row r="68" spans="2:4" s="41" customFormat="1" hidden="1">
      <c r="B68" s="48" t="s">
        <v>61</v>
      </c>
      <c r="C68" s="55">
        <f xml:space="preserve"> 10 ^ -(1351.9 / (C10 + 273.15) + 0.0992 + 0.00792 * (C10 + 273.15))</f>
        <v>1.3120298491509131E-7</v>
      </c>
    </row>
    <row r="69" spans="2:4" s="41" customFormat="1" hidden="1">
      <c r="B69" s="48" t="s">
        <v>62</v>
      </c>
      <c r="C69" s="56">
        <f xml:space="preserve"> 10 ^ -11.96</f>
        <v>1.0964781961431817E-12</v>
      </c>
      <c r="D69" s="57"/>
    </row>
    <row r="70" spans="2:4" s="41" customFormat="1" ht="18" hidden="1">
      <c r="B70" s="48" t="s">
        <v>63</v>
      </c>
      <c r="C70" s="55">
        <f xml:space="preserve"> (1 + C68 / C67 + C68 * C69 / C67 ^ 2) ^ -1</f>
        <v>9.322268978650898E-2</v>
      </c>
      <c r="D70" s="57"/>
    </row>
    <row r="71" spans="2:4" s="41" customFormat="1" ht="18" hidden="1">
      <c r="B71" s="58" t="s">
        <v>64</v>
      </c>
      <c r="C71" s="59" t="s">
        <v>65</v>
      </c>
      <c r="D71" s="60" t="s">
        <v>66</v>
      </c>
    </row>
    <row r="72" spans="2:4" s="41" customFormat="1" ht="18" hidden="1">
      <c r="B72" s="61" t="s">
        <v>67</v>
      </c>
      <c r="C72" s="62" t="s">
        <v>68</v>
      </c>
      <c r="D72" s="63" t="s">
        <v>69</v>
      </c>
    </row>
    <row r="73" spans="2:4" s="41" customFormat="1" ht="17.25" hidden="1">
      <c r="B73" s="64" t="s">
        <v>70</v>
      </c>
      <c r="C73" s="55">
        <f xml:space="preserve"> EXP((LN(C5) - 6.42) / 0.78) / C70</f>
        <v>20.047238528632263</v>
      </c>
    </row>
    <row r="74" spans="2:4" s="41" customFormat="1" hidden="1">
      <c r="B74" s="48" t="s">
        <v>71</v>
      </c>
      <c r="C74" s="65">
        <f xml:space="preserve"> C4 * C62 / C63 * (IF(C8 &gt; 0, C8, C73) * C6 + C5 / 1000 * C64 * C7)</f>
        <v>73716.890130044267</v>
      </c>
    </row>
    <row r="75" spans="2:4" s="41" customFormat="1" ht="18" hidden="1">
      <c r="B75" s="66" t="s">
        <v>72</v>
      </c>
      <c r="C75" s="42"/>
    </row>
    <row r="76" spans="2:4" s="41" customFormat="1" hidden="1"/>
    <row r="77" spans="2:4" s="41" customFormat="1" hidden="1">
      <c r="B77" s="45" t="s">
        <v>73</v>
      </c>
      <c r="C77" s="46" t="s">
        <v>74</v>
      </c>
      <c r="D77" s="47" t="s">
        <v>45</v>
      </c>
    </row>
    <row r="78" spans="2:4" s="41" customFormat="1" hidden="1">
      <c r="B78" s="48" t="s">
        <v>75</v>
      </c>
      <c r="C78" s="67" t="str">
        <f xml:space="preserve"> "77.73%: Fe ion ratio [m/m] in FeO → " &amp; TEXT(D78 * 0.7773, "0.0") &amp; "%"</f>
        <v>77.73%: Fe ion ratio [m/m] in FeO → 10.9%</v>
      </c>
      <c r="D78" s="80">
        <v>14</v>
      </c>
    </row>
    <row r="79" spans="2:4" s="41" customFormat="1" ht="18" hidden="1">
      <c r="B79" s="48" t="s">
        <v>76</v>
      </c>
      <c r="C79" s="50" t="str">
        <f xml:space="preserve"> "69.94%: Fe ion ratio [m/m] in Fe2O3 → " &amp; TEXT(D79 * 0.6994, "0.0") &amp; "%"</f>
        <v>69.94%: Fe ion ratio [m/m] in Fe2O3 → 29.2%</v>
      </c>
      <c r="D79" s="80">
        <v>41.8</v>
      </c>
    </row>
    <row r="80" spans="2:4" s="41" customFormat="1" hidden="1">
      <c r="B80" s="48" t="s">
        <v>77</v>
      </c>
      <c r="C80" s="68">
        <f xml:space="preserve"> (D78 / 100 * 0.7773 + D79 / 100 * 0.6994) * 100</f>
        <v>40.11712</v>
      </c>
    </row>
    <row r="81" spans="2:8" s="41" customFormat="1" hidden="1">
      <c r="C81" s="42"/>
    </row>
    <row r="82" spans="2:8" s="41" customFormat="1" ht="15.75" hidden="1" thickBot="1">
      <c r="B82" s="69" t="s">
        <v>78</v>
      </c>
      <c r="C82" s="70">
        <f xml:space="preserve"> $C$74 / $C$80 * 100 / 1000</f>
        <v>183.75419304786652</v>
      </c>
    </row>
    <row r="83" spans="2:8" s="41" customFormat="1" ht="15.75" hidden="1" thickTop="1"/>
    <row r="84" spans="2:8" s="41" customFormat="1" hidden="1">
      <c r="B84" s="41" t="s">
        <v>79</v>
      </c>
    </row>
    <row r="85" spans="2:8" s="41" customFormat="1" hidden="1">
      <c r="B85" s="41" t="s">
        <v>80</v>
      </c>
      <c r="C85" s="71"/>
    </row>
    <row r="86" spans="2:8" s="41" customFormat="1" hidden="1">
      <c r="B86" s="41" t="s">
        <v>81</v>
      </c>
      <c r="C86" s="72"/>
    </row>
    <row r="87" spans="2:8" s="41" customFormat="1" hidden="1">
      <c r="C87" s="42"/>
    </row>
    <row r="88" spans="2:8" hidden="1">
      <c r="B88" s="42" t="s">
        <v>82</v>
      </c>
      <c r="C88" s="42"/>
      <c r="D88" s="41"/>
      <c r="E88" s="41"/>
      <c r="F88" s="41"/>
      <c r="G88" s="41"/>
      <c r="H88" s="41"/>
    </row>
    <row r="89" spans="2:8" hidden="1">
      <c r="B89" s="74" t="s">
        <v>83</v>
      </c>
      <c r="C89" s="81"/>
      <c r="D89" s="81"/>
      <c r="E89" s="41"/>
      <c r="F89" s="41"/>
      <c r="G89" s="41"/>
    </row>
    <row r="90" spans="2:8" hidden="1">
      <c r="B90" s="41" t="s">
        <v>84</v>
      </c>
      <c r="C90" s="42"/>
      <c r="D90" s="41"/>
      <c r="F90" s="41"/>
      <c r="G90" s="41"/>
    </row>
    <row r="91" spans="2:8" hidden="1">
      <c r="B91" s="74" t="s">
        <v>85</v>
      </c>
    </row>
    <row r="92" spans="2:8" hidden="1">
      <c r="B92" s="41" t="s">
        <v>86</v>
      </c>
    </row>
    <row r="93" spans="2:8" hidden="1">
      <c r="B93" s="76" t="s">
        <v>87</v>
      </c>
    </row>
    <row r="94" spans="2:8" hidden="1">
      <c r="B94" s="41" t="s">
        <v>88</v>
      </c>
    </row>
  </sheetData>
  <sheetProtection sheet="1" objects="1" scenarios="1" selectLockedCells="1"/>
  <conditionalFormatting sqref="B23">
    <cfRule type="expression" dxfId="4" priority="2">
      <formula xml:space="preserve"> $E$23 &lt;&gt; ""</formula>
    </cfRule>
  </conditionalFormatting>
  <conditionalFormatting sqref="B22">
    <cfRule type="expression" dxfId="3" priority="1">
      <formula xml:space="preserve"> $E$22 &lt;&gt; ""</formula>
    </cfRule>
  </conditionalFormatting>
  <hyperlinks>
    <hyperlink ref="B89" r:id="rId1"/>
    <hyperlink ref="B91" r:id="rId2"/>
    <hyperlink ref="B93" r:id="rId3"/>
  </hyperlinks>
  <pageMargins left="0.7" right="0.7" top="0.75" bottom="0.75" header="0.3" footer="0.3"/>
  <pageSetup paperSize="9" orientation="landscape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120" zoomScaleNormal="120" workbookViewId="0">
      <selection activeCell="E12" sqref="E12"/>
    </sheetView>
  </sheetViews>
  <sheetFormatPr defaultRowHeight="15"/>
  <cols>
    <col min="1" max="1" width="2.25" style="158" customWidth="1"/>
    <col min="2" max="2" width="2.375" style="134" customWidth="1"/>
    <col min="3" max="3" width="8.375" style="134" customWidth="1"/>
    <col min="4" max="4" width="21.25" style="134" customWidth="1"/>
    <col min="5" max="6" width="10.625" style="134" customWidth="1"/>
    <col min="7" max="7" width="1.25" style="134" customWidth="1"/>
    <col min="8" max="9" width="10.625" style="134" customWidth="1"/>
    <col min="10" max="10" width="6.125" style="134" customWidth="1"/>
    <col min="11" max="11" width="20.875" style="134" customWidth="1"/>
    <col min="12" max="16384" width="9" style="134"/>
  </cols>
  <sheetData>
    <row r="1" spans="1:11" ht="7.5" customHeight="1"/>
    <row r="2" spans="1:11">
      <c r="B2" s="122" t="s">
        <v>124</v>
      </c>
    </row>
    <row r="3" spans="1:11">
      <c r="B3" s="127" t="s">
        <v>109</v>
      </c>
    </row>
    <row r="4" spans="1:11">
      <c r="B4" s="127" t="s">
        <v>117</v>
      </c>
    </row>
    <row r="5" spans="1:11">
      <c r="B5" s="127" t="s">
        <v>125</v>
      </c>
    </row>
    <row r="6" spans="1:11">
      <c r="B6" s="127" t="s">
        <v>128</v>
      </c>
    </row>
    <row r="7" spans="1:11">
      <c r="B7" s="127" t="s">
        <v>118</v>
      </c>
    </row>
    <row r="9" spans="1:11">
      <c r="B9" s="122" t="s">
        <v>119</v>
      </c>
    </row>
    <row r="10" spans="1:11" s="135" customFormat="1" ht="15" customHeight="1">
      <c r="A10" s="158"/>
      <c r="C10" s="133" t="s">
        <v>126</v>
      </c>
      <c r="D10" s="160"/>
      <c r="H10" s="133" t="s">
        <v>127</v>
      </c>
    </row>
    <row r="11" spans="1:11" ht="15" customHeight="1">
      <c r="C11" s="162" t="s">
        <v>131</v>
      </c>
      <c r="D11" s="118"/>
      <c r="E11" s="123" t="s">
        <v>24</v>
      </c>
      <c r="F11" s="117" t="s">
        <v>35</v>
      </c>
      <c r="H11" s="124" t="s">
        <v>24</v>
      </c>
      <c r="I11" s="117" t="s">
        <v>35</v>
      </c>
      <c r="J11" s="172" t="s">
        <v>28</v>
      </c>
      <c r="K11" s="173"/>
    </row>
    <row r="12" spans="1:11" ht="15" customHeight="1">
      <c r="C12" s="161" t="s">
        <v>7</v>
      </c>
      <c r="D12" s="164" t="s">
        <v>6</v>
      </c>
      <c r="E12" s="136"/>
      <c r="F12" s="116">
        <f xml:space="preserve"> IF(AND(ISNUMBER(E12), E12 &gt; 0), E12 * basis!E6 / 100, 0)</f>
        <v>0</v>
      </c>
      <c r="H12" s="137">
        <f xml:space="preserve"> basis!B20</f>
        <v>41.82</v>
      </c>
      <c r="I12" s="116">
        <f xml:space="preserve"> IF(AND(ISNUMBER(H12), H12 &gt; 0), H12 * basis!E6 / 100, 0)</f>
        <v>32.506888497920507</v>
      </c>
      <c r="J12" s="174" t="str">
        <f xml:space="preserve"> IF(OR(F12 &gt; 0, H12 &gt; 0), "Fe²⁺", "")</f>
        <v>Fe²⁺</v>
      </c>
      <c r="K12" s="176" t="str">
        <f xml:space="preserve"> IF(OR(F12 &gt; 0, H12 &gt; 0), "Iron(II), ""ferrous""", "")</f>
        <v>Iron(II), "ferrous"</v>
      </c>
    </row>
    <row r="13" spans="1:11" ht="15" customHeight="1">
      <c r="C13" s="161" t="s">
        <v>36</v>
      </c>
      <c r="D13" s="164" t="s">
        <v>8</v>
      </c>
      <c r="E13" s="138"/>
      <c r="F13" s="116">
        <f xml:space="preserve"> IF(AND(ISNUMBER(E13), E13 &gt; 0), E13 * basis!E7 / 100, 0)</f>
        <v>0</v>
      </c>
      <c r="H13" s="139">
        <f xml:space="preserve"> basis!C20</f>
        <v>44.13</v>
      </c>
      <c r="I13" s="116">
        <f xml:space="preserve"> IF(AND(ISNUMBER(H13), H13 &gt; 0), H13 * basis!E7 / 100, 0)</f>
        <v>30.865647555674123</v>
      </c>
      <c r="J13" s="174" t="str">
        <f xml:space="preserve"> IF(OR(F13 &gt; 0, H13 &gt; 0), "Fe³⁺", "")</f>
        <v>Fe³⁺</v>
      </c>
      <c r="K13" s="176" t="str">
        <f xml:space="preserve"> IF(OR(F13 &gt; 0, H13 &gt; 0), "Iron(III), ""ferric""", "")</f>
        <v>Iron(III), "ferric"</v>
      </c>
    </row>
    <row r="14" spans="1:11" ht="15" customHeight="1">
      <c r="C14" s="157" t="s">
        <v>37</v>
      </c>
      <c r="D14" s="165" t="s">
        <v>9</v>
      </c>
      <c r="E14" s="177"/>
      <c r="F14" s="116">
        <f xml:space="preserve"> IF(AND(ISNUMBER(E14), E14 &gt; 0), E14 * basis!E8 / 100, 0)</f>
        <v>0</v>
      </c>
      <c r="H14" s="142"/>
      <c r="I14" s="116">
        <f xml:space="preserve"> IF(AND(ISNUMBER(H14), H14 &gt; 0), H14 * basis!E8 / 100, 0)</f>
        <v>0</v>
      </c>
      <c r="J14" s="174" t="str">
        <f xml:space="preserve"> IF(OR(F14 &gt; 0, H14 &gt; 0), "Fe²·⁶⁷⁺", "")</f>
        <v/>
      </c>
      <c r="K14" s="176" t="str">
        <f xml:space="preserve"> IF(OR(F14 &gt; 0, H14 &gt; 0), "Iron(II,III), ""ferrous ferric""", "")</f>
        <v/>
      </c>
    </row>
    <row r="15" spans="1:11" ht="15" customHeight="1">
      <c r="C15" s="157" t="s">
        <v>38</v>
      </c>
      <c r="D15" s="165" t="s">
        <v>15</v>
      </c>
      <c r="E15" s="141"/>
      <c r="F15" s="116">
        <f xml:space="preserve"> IF(AND(ISNUMBER(E15), E15 &gt; 0), E15 * basis!E12 / 100, 0)</f>
        <v>0</v>
      </c>
      <c r="H15" s="142"/>
      <c r="I15" s="116">
        <f xml:space="preserve"> IF(AND(ISNUMBER(H15), H15 &gt; 0), H15 * basis!E12 / 100, 0)</f>
        <v>0</v>
      </c>
      <c r="J15" s="174" t="str">
        <f xml:space="preserve"> IF(OR(F15 &gt; 0, H15 &gt; 0), "Fe²⁺", "")</f>
        <v/>
      </c>
      <c r="K15" s="176" t="str">
        <f xml:space="preserve"> IF(OR(F15 &gt; 0, H15 &gt; 0), "Iron(II), ""ferrous""", "")</f>
        <v/>
      </c>
    </row>
    <row r="16" spans="1:11" ht="15" customHeight="1">
      <c r="C16" s="157" t="s">
        <v>39</v>
      </c>
      <c r="D16" s="165" t="s">
        <v>16</v>
      </c>
      <c r="E16" s="141"/>
      <c r="F16" s="116">
        <f xml:space="preserve"> IF(AND(ISNUMBER(E16), E16 &gt; 0), E16 * basis!E13 / 100, 0)</f>
        <v>0</v>
      </c>
      <c r="H16" s="142"/>
      <c r="I16" s="116">
        <f xml:space="preserve"> IF(AND(ISNUMBER(H16), H16 &gt; 0), H16 * basis!E13 / 100, 0)</f>
        <v>0</v>
      </c>
      <c r="J16" s="174" t="str">
        <f xml:space="preserve"> IF(OR(F16 &gt; 0, H16 &gt; 0), "Fe³⁺", "")</f>
        <v/>
      </c>
      <c r="K16" s="176" t="str">
        <f xml:space="preserve"> IF(OR(F16 &gt; 0, H16 &gt; 0), "Iron(III), ""ferric""", "")</f>
        <v/>
      </c>
    </row>
    <row r="17" spans="1:11" ht="15" customHeight="1">
      <c r="C17" s="157" t="s">
        <v>18</v>
      </c>
      <c r="D17" s="165" t="s">
        <v>17</v>
      </c>
      <c r="E17" s="141">
        <v>73</v>
      </c>
      <c r="F17" s="116">
        <f xml:space="preserve"> IF(AND(ISNUMBER(E17), E17 &gt; 0), E17 * basis!E14 / 100, 0)</f>
        <v>45.881881435298837</v>
      </c>
      <c r="H17" s="142"/>
      <c r="I17" s="116">
        <f xml:space="preserve"> IF(AND(ISNUMBER(H17), H17 &gt; 0), H17 * basis!E14 / 100, 0)</f>
        <v>0</v>
      </c>
      <c r="J17" s="174" t="str">
        <f xml:space="preserve"> IF(OR(F17 &gt; 0, H17 &gt; 0), "Fe³⁺", "")</f>
        <v>Fe³⁺</v>
      </c>
      <c r="K17" s="176" t="str">
        <f xml:space="preserve"> IF(OR(F17 &gt; 0, H17 &gt; 0), "Iron(III), ""ferric""", "")</f>
        <v>Iron(III), "ferric"</v>
      </c>
    </row>
    <row r="18" spans="1:11" s="135" customFormat="1" ht="15" customHeight="1">
      <c r="A18" s="158"/>
      <c r="C18" s="157" t="s">
        <v>40</v>
      </c>
      <c r="D18" s="165" t="s">
        <v>26</v>
      </c>
      <c r="E18" s="141"/>
      <c r="F18" s="116">
        <f xml:space="preserve"> IF(AND(ISNUMBER(E18), E18 &gt; 0), E18 * basis!E15 / 100, 0)</f>
        <v>0</v>
      </c>
      <c r="G18" s="134"/>
      <c r="H18" s="142"/>
      <c r="I18" s="116">
        <f xml:space="preserve"> IF(AND(ISNUMBER(H18), H18 &gt; 0), H18 * basis!E15 / 100, 0)</f>
        <v>0</v>
      </c>
      <c r="J18" s="174" t="str">
        <f xml:space="preserve"> IF(OR(F18 &gt; 0, H18 &gt; 0), "Fe³⁺", "")</f>
        <v/>
      </c>
      <c r="K18" s="176" t="str">
        <f xml:space="preserve"> IF(OR(F18 &gt; 0, H18 &gt; 0), "Iron(III), ""ferric""", "")</f>
        <v/>
      </c>
    </row>
    <row r="19" spans="1:11" s="135" customFormat="1" ht="15" customHeight="1">
      <c r="A19" s="158"/>
      <c r="C19" s="119" t="s">
        <v>106</v>
      </c>
      <c r="D19" s="119"/>
      <c r="E19" s="141"/>
      <c r="F19" s="121">
        <f xml:space="preserve"> IF(ISNUMBER(E19), E19, SUM(F12:F18))</f>
        <v>45.881881435298837</v>
      </c>
      <c r="G19" s="133"/>
      <c r="H19" s="120"/>
      <c r="I19" s="121">
        <f>SUM(I12:I18)</f>
        <v>63.372536053594629</v>
      </c>
      <c r="J19" s="182" t="str">
        <f xml:space="preserve">
IF(F19 &lt;&gt; 0,
    IF(ABS(F19 - I19) / F19 &lt; 0.01,
        "→ RIIC about the same",
        "→ SBGx: RIIC " &amp; TEXT(ABS(F19 - I19) / F19 * 100, "0.0") &amp;
        IF(F19 &gt; I19,
            "% lower",
            "% higher"
        )
    ),
    ""
)</f>
        <v>→ SBGx: RIIC 38.1% higher</v>
      </c>
      <c r="K19" s="183"/>
    </row>
    <row r="20" spans="1:11" s="135" customFormat="1" ht="15" customHeight="1">
      <c r="A20" s="158"/>
      <c r="F20" s="159"/>
      <c r="I20" s="159"/>
    </row>
    <row r="21" spans="1:11" s="135" customFormat="1" ht="15" customHeight="1">
      <c r="A21" s="158"/>
      <c r="B21" s="133" t="s">
        <v>123</v>
      </c>
      <c r="F21" s="159"/>
      <c r="I21" s="159"/>
    </row>
    <row r="22" spans="1:11" s="135" customFormat="1" ht="15" customHeight="1">
      <c r="A22" s="158"/>
      <c r="C22" s="126" t="s">
        <v>120</v>
      </c>
      <c r="D22" s="126"/>
      <c r="E22" s="143"/>
      <c r="H22" s="126" t="s">
        <v>121</v>
      </c>
    </row>
    <row r="23" spans="1:11" s="135" customFormat="1" ht="15" customHeight="1">
      <c r="A23" s="158"/>
      <c r="C23" s="157" t="s">
        <v>108</v>
      </c>
      <c r="D23" s="140"/>
      <c r="E23" s="144">
        <v>200</v>
      </c>
      <c r="H23" s="145">
        <f xml:space="preserve"> E23 / I19 * F19</f>
        <v>144.80052177964342</v>
      </c>
      <c r="I23" s="182" t="str">
        <f xml:space="preserve"> IF(AND(F19 &gt; 0, ISNUMBER((E23 - H23) /E23 * 100), E23 &gt; H23), "→ SBGx: " &amp; TEXT((E23 - H23) / E23 * 100, "0.0") &amp; "% Additive dosage reduction", "")</f>
        <v>→ SBGx: 27.6% Additive dosage reduction</v>
      </c>
      <c r="J23" s="183"/>
      <c r="K23" s="183"/>
    </row>
    <row r="24" spans="1:11" s="135" customFormat="1" ht="15" customHeight="1">
      <c r="A24" s="158"/>
      <c r="C24" s="171" t="s">
        <v>135</v>
      </c>
      <c r="D24" s="140"/>
      <c r="E24" s="146" t="s">
        <v>107</v>
      </c>
      <c r="H24" s="147" t="str">
        <f xml:space="preserve"> E24</f>
        <v>CHF</v>
      </c>
    </row>
    <row r="25" spans="1:11" s="135" customFormat="1" ht="15" customHeight="1">
      <c r="A25" s="158"/>
      <c r="C25" s="157" t="str">
        <f xml:space="preserve"> "Price of additive per ton [" &amp; E24 &amp;"/mt]"</f>
        <v>Price of additive per ton [CHF/mt]</v>
      </c>
      <c r="D25" s="140"/>
      <c r="E25" s="148">
        <v>850</v>
      </c>
      <c r="H25" s="149">
        <v>1000</v>
      </c>
      <c r="I25" s="169" t="s">
        <v>132</v>
      </c>
      <c r="J25" s="170" t="s">
        <v>130</v>
      </c>
    </row>
    <row r="26" spans="1:11" s="135" customFormat="1" ht="15" customHeight="1">
      <c r="A26" s="158"/>
      <c r="C26" s="157" t="s">
        <v>111</v>
      </c>
      <c r="D26" s="140"/>
      <c r="E26" s="150">
        <v>2.64</v>
      </c>
      <c r="H26" s="151">
        <f xml:space="preserve"> IF(E26 &lt;&gt; 0, E26, "")</f>
        <v>2.64</v>
      </c>
      <c r="I26" s="129"/>
      <c r="J26" s="170" t="s">
        <v>129</v>
      </c>
    </row>
    <row r="27" spans="1:11" s="135" customFormat="1" ht="15" customHeight="1">
      <c r="A27" s="158"/>
      <c r="C27" s="157" t="s">
        <v>110</v>
      </c>
      <c r="D27" s="140"/>
      <c r="E27" s="152">
        <f xml:space="preserve"> IF(ISNUMBER(E23 / E26), E23 / E26, "")</f>
        <v>75.757575757575751</v>
      </c>
      <c r="H27" s="153">
        <f xml:space="preserve"> IF(ISNUMBER(E23 / E26 / E23 * H23), E23 / E26 / E23 * H23, "")</f>
        <v>54.848682492289164</v>
      </c>
      <c r="I27" s="133"/>
    </row>
    <row r="28" spans="1:11" s="135" customFormat="1" ht="15" customHeight="1">
      <c r="A28" s="158"/>
      <c r="C28" s="163" t="str">
        <f xml:space="preserve"> "Daily additive costs [" &amp; E24 &amp; "/d]"</f>
        <v>Daily additive costs [CHF/d]</v>
      </c>
      <c r="D28" s="154"/>
      <c r="E28" s="155">
        <f xml:space="preserve"> E23 * E25 / 1000</f>
        <v>170</v>
      </c>
      <c r="H28" s="153">
        <f xml:space="preserve"> H23 * H25 / 1000</f>
        <v>144.80052177964342</v>
      </c>
      <c r="I28" s="182" t="str">
        <f xml:space="preserve"> IF(AND(ISNUMBER(H29), H29 &gt; 0), "→ SBGx: " &amp; TEXT(H29 / E28 * 100, "0.0") &amp; "% Additive cost reduction", "")</f>
        <v>→ SBGx: 14.8% Additive cost reduction</v>
      </c>
      <c r="J28" s="183"/>
      <c r="K28" s="183"/>
    </row>
    <row r="29" spans="1:11" s="135" customFormat="1" ht="15" customHeight="1">
      <c r="A29" s="158"/>
      <c r="C29" s="119" t="str">
        <f xml:space="preserve"> IF(H29 = 0, "", IF(H29 &gt; 0, "Daily additive cost reduction [" &amp; E24 &amp; "/d]", "Daily additive cost reduction [" &amp; E24 &amp; "/d], negative"))</f>
        <v>Daily additive cost reduction [CHF/d]</v>
      </c>
      <c r="D29" s="119"/>
      <c r="E29" s="156"/>
      <c r="F29" s="157"/>
      <c r="H29" s="130">
        <f xml:space="preserve"> IF(AND(H28 &lt;&gt; 0, E28 &lt;&gt; 0), E28 - H28, 0)</f>
        <v>25.199478220356582</v>
      </c>
      <c r="I29" s="133"/>
    </row>
    <row r="30" spans="1:11" s="135" customFormat="1" ht="15" customHeight="1">
      <c r="A30" s="158"/>
    </row>
    <row r="31" spans="1:11" s="135" customFormat="1" ht="15" customHeight="1">
      <c r="A31" s="158"/>
      <c r="B31" s="133" t="s">
        <v>122</v>
      </c>
    </row>
    <row r="32" spans="1:11" ht="15" customHeight="1">
      <c r="C32" s="184" t="str">
        <f xml:space="preserve">
IF(H29 &gt; 0,
    "By using our SBGx by SwissBiogas.com you may save annual costs of about " &amp; E24 &amp; " " &amp; TEXT(H29 * 365, "#,##0") &amp; ".-- for additives.",
    IF(AND(H29 &lt;= 0, F19 &lt;&gt; 0, E28 &lt;&gt; 0),
        "It seems you won't save any costs for additives by using our SBGx by SwissBiogas.com.",
        "Please enter the needed values to complete the calculation."
    )
)</f>
        <v>By using our SBGx by SwissBiogas.com you may save annual costs of about CHF 9,198.-- for additives.</v>
      </c>
      <c r="D32" s="184"/>
      <c r="E32" s="184"/>
      <c r="F32" s="184"/>
      <c r="G32" s="184"/>
      <c r="H32" s="184"/>
      <c r="I32" s="184"/>
      <c r="J32" s="184"/>
      <c r="K32" s="185"/>
    </row>
    <row r="33" spans="3:11" ht="15" customHeight="1">
      <c r="C33" s="186"/>
      <c r="D33" s="186"/>
      <c r="E33" s="186"/>
      <c r="F33" s="186"/>
      <c r="G33" s="186"/>
      <c r="H33" s="186"/>
      <c r="I33" s="186"/>
      <c r="J33" s="186"/>
      <c r="K33" s="187"/>
    </row>
    <row r="34" spans="3:11">
      <c r="C34" s="135"/>
      <c r="D34" s="135"/>
    </row>
    <row r="35" spans="3:11">
      <c r="K35" s="166" t="s">
        <v>94</v>
      </c>
    </row>
  </sheetData>
  <sheetProtection sheet="1" objects="1" scenarios="1" selectLockedCells="1"/>
  <mergeCells count="4">
    <mergeCell ref="J19:K19"/>
    <mergeCell ref="I23:K23"/>
    <mergeCell ref="I28:K28"/>
    <mergeCell ref="C32:K33"/>
  </mergeCells>
  <conditionalFormatting sqref="J19:K19">
    <cfRule type="expression" dxfId="2" priority="5">
      <formula xml:space="preserve"> FIND("→", $J$19)</formula>
    </cfRule>
  </conditionalFormatting>
  <conditionalFormatting sqref="I23:K23">
    <cfRule type="expression" dxfId="1" priority="4">
      <formula xml:space="preserve"> FIND("→", $I$23)</formula>
    </cfRule>
  </conditionalFormatting>
  <conditionalFormatting sqref="I28:K28">
    <cfRule type="expression" dxfId="0" priority="3">
      <formula xml:space="preserve"> FIND("→", $I$28)</formula>
    </cfRule>
  </conditionalFormatting>
  <pageMargins left="0.39370078740157483" right="0.39370078740157483" top="0.47244094488188981" bottom="0.47244094488188981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45" zoomScaleNormal="145" workbookViewId="0">
      <selection activeCell="B20" sqref="B20"/>
    </sheetView>
  </sheetViews>
  <sheetFormatPr defaultRowHeight="15"/>
  <cols>
    <col min="1" max="1" width="17.5" style="3" customWidth="1"/>
    <col min="2" max="5" width="11.625" style="3" customWidth="1"/>
    <col min="6" max="1024" width="10.625" style="3" customWidth="1"/>
    <col min="1025" max="16384" width="9" style="3"/>
  </cols>
  <sheetData>
    <row r="1" spans="1:10">
      <c r="C1" s="4"/>
      <c r="D1" s="4"/>
      <c r="E1" s="5"/>
    </row>
    <row r="2" spans="1:10">
      <c r="C2" s="4"/>
      <c r="D2" s="4"/>
      <c r="E2" s="5"/>
    </row>
    <row r="3" spans="1:10" ht="30">
      <c r="A3" s="6" t="s">
        <v>31</v>
      </c>
      <c r="B3" s="7" t="s">
        <v>32</v>
      </c>
      <c r="C3" s="8" t="s">
        <v>30</v>
      </c>
      <c r="D3" s="8" t="s">
        <v>0</v>
      </c>
      <c r="E3" s="8" t="s">
        <v>1</v>
      </c>
    </row>
    <row r="4" spans="1:10">
      <c r="A4" s="9" t="s">
        <v>2</v>
      </c>
      <c r="B4" s="10" t="s">
        <v>3</v>
      </c>
      <c r="C4" s="10">
        <v>15.9994</v>
      </c>
      <c r="D4" s="10"/>
      <c r="E4" s="10"/>
    </row>
    <row r="5" spans="1:10">
      <c r="A5" s="9" t="s">
        <v>4</v>
      </c>
      <c r="B5" s="10" t="s">
        <v>5</v>
      </c>
      <c r="C5" s="125">
        <v>55.844999999999999</v>
      </c>
      <c r="D5" s="10"/>
      <c r="E5" s="10"/>
    </row>
    <row r="6" spans="1:10">
      <c r="A6" s="9" t="s">
        <v>6</v>
      </c>
      <c r="B6" s="10" t="s">
        <v>7</v>
      </c>
      <c r="C6" s="10"/>
      <c r="D6" s="10">
        <f xml:space="preserve"> C5 + C4</f>
        <v>71.844399999999993</v>
      </c>
      <c r="E6" s="37">
        <f xml:space="preserve"> C5 / D6 * 100</f>
        <v>77.730484213104987</v>
      </c>
    </row>
    <row r="7" spans="1:10" ht="18">
      <c r="A7" s="9" t="s">
        <v>8</v>
      </c>
      <c r="B7" s="10" t="s">
        <v>27</v>
      </c>
      <c r="C7" s="10"/>
      <c r="D7" s="10">
        <f xml:space="preserve"> 2 * C5 + 3 * C4</f>
        <v>159.68819999999999</v>
      </c>
      <c r="E7" s="37">
        <f xml:space="preserve"> 2 * C5 / D7 * 100</f>
        <v>69.942550545375298</v>
      </c>
    </row>
    <row r="8" spans="1:10" ht="18">
      <c r="A8" s="9" t="s">
        <v>9</v>
      </c>
      <c r="B8" s="10" t="s">
        <v>19</v>
      </c>
      <c r="C8" s="10"/>
      <c r="D8" s="10">
        <f xml:space="preserve"> 3 * C5 + 4 * C4</f>
        <v>231.5326</v>
      </c>
      <c r="E8" s="37">
        <f xml:space="preserve"> 3 * C5 / D8 * 100</f>
        <v>72.3591407862219</v>
      </c>
    </row>
    <row r="9" spans="1:10">
      <c r="A9" s="11" t="s">
        <v>10</v>
      </c>
      <c r="B9" s="12"/>
      <c r="C9" s="12"/>
      <c r="D9" s="12"/>
      <c r="E9" s="13"/>
    </row>
    <row r="10" spans="1:10" s="15" customFormat="1">
      <c r="A10" s="9" t="s">
        <v>11</v>
      </c>
      <c r="B10" s="10" t="s">
        <v>12</v>
      </c>
      <c r="C10" s="10">
        <v>1.0079400000000001</v>
      </c>
      <c r="D10" s="14"/>
      <c r="E10" s="10"/>
      <c r="F10" s="3"/>
      <c r="G10" s="3"/>
    </row>
    <row r="11" spans="1:10" s="15" customFormat="1">
      <c r="A11" s="9" t="s">
        <v>13</v>
      </c>
      <c r="B11" s="16" t="s">
        <v>14</v>
      </c>
      <c r="C11" s="16">
        <v>35.453000000000003</v>
      </c>
      <c r="D11" s="10"/>
      <c r="E11" s="16"/>
      <c r="F11" s="3"/>
      <c r="G11" s="3"/>
      <c r="H11" s="3"/>
      <c r="I11" s="3"/>
    </row>
    <row r="12" spans="1:10" ht="18">
      <c r="A12" s="9" t="s">
        <v>15</v>
      </c>
      <c r="B12" s="10" t="s">
        <v>20</v>
      </c>
      <c r="C12" s="10"/>
      <c r="D12" s="10">
        <f xml:space="preserve"> C5 + 2 * C11</f>
        <v>126.751</v>
      </c>
      <c r="E12" s="37">
        <f xml:space="preserve"> C5 / D12 * 100</f>
        <v>44.058823993499061</v>
      </c>
    </row>
    <row r="13" spans="1:10" ht="18">
      <c r="A13" s="9" t="s">
        <v>16</v>
      </c>
      <c r="B13" s="10" t="s">
        <v>21</v>
      </c>
      <c r="C13" s="10"/>
      <c r="D13" s="10">
        <f xml:space="preserve"> C5 + 3 * C11</f>
        <v>162.20400000000001</v>
      </c>
      <c r="E13" s="37">
        <f xml:space="preserve"> C5 / D13 * 100</f>
        <v>34.428867352223122</v>
      </c>
    </row>
    <row r="14" spans="1:10">
      <c r="A14" s="9" t="s">
        <v>17</v>
      </c>
      <c r="B14" s="10" t="s">
        <v>18</v>
      </c>
      <c r="C14" s="10"/>
      <c r="D14" s="10">
        <f xml:space="preserve"> C5 + 2 * C4 + C10</f>
        <v>88.851740000000007</v>
      </c>
      <c r="E14" s="37">
        <f xml:space="preserve"> C5 / D14 * 100</f>
        <v>62.8518923771217</v>
      </c>
      <c r="J14" s="17"/>
    </row>
    <row r="15" spans="1:10" ht="18">
      <c r="A15" s="24" t="s">
        <v>26</v>
      </c>
      <c r="B15" s="10" t="s">
        <v>25</v>
      </c>
      <c r="C15" s="10"/>
      <c r="D15" s="10">
        <f xml:space="preserve"> C5 + (C4 + C10) * 3</f>
        <v>106.86702</v>
      </c>
      <c r="E15" s="37">
        <f xml:space="preserve"> C5 / D15 * 100</f>
        <v>52.256533400107905</v>
      </c>
      <c r="J15" s="17"/>
    </row>
    <row r="16" spans="1:10">
      <c r="J16" s="17"/>
    </row>
    <row r="19" spans="1:5" ht="18">
      <c r="A19" s="18"/>
      <c r="B19" s="19" t="s">
        <v>33</v>
      </c>
      <c r="C19" s="19" t="s">
        <v>34</v>
      </c>
      <c r="D19" s="20"/>
      <c r="E19" s="21" t="s">
        <v>22</v>
      </c>
    </row>
    <row r="20" spans="1:5">
      <c r="A20" s="22" t="s">
        <v>23</v>
      </c>
      <c r="B20" s="38">
        <v>41.82</v>
      </c>
      <c r="C20" s="38">
        <v>44.13</v>
      </c>
      <c r="D20" s="23"/>
      <c r="E20" s="23"/>
    </row>
    <row r="21" spans="1:5">
      <c r="A21" s="90" t="s">
        <v>89</v>
      </c>
      <c r="B21" s="23">
        <f xml:space="preserve"> B20 * E6 / 100</f>
        <v>32.506888497920507</v>
      </c>
      <c r="C21" s="23">
        <f xml:space="preserve"> C20 * E7 / 100</f>
        <v>30.865647555674123</v>
      </c>
      <c r="D21" s="23"/>
      <c r="E21" s="91">
        <f xml:space="preserve"> (B20 * E6 + C20 * E7) / 100</f>
        <v>63.372536053594629</v>
      </c>
    </row>
  </sheetData>
  <sheetProtection selectLockedCells="1"/>
  <pageMargins left="0" right="0" top="0.78661417322834648" bottom="0.62992125984251968" header="0.59015748031496063" footer="0.59015748031496063"/>
  <pageSetup paperSize="9" fitToWidth="0" fitToHeight="0" pageOrder="overThenDown" orientation="landscape" useFirstPageNumber="1" horizontalDpi="0" verticalDpi="0" r:id="rId1"/>
  <headerFooter>
    <oddFooter>&amp;R&amp;"Calibri2,Regular"&amp;9&amp;F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RIIC calculator</vt:lpstr>
      <vt:lpstr>Dosage calculator</vt:lpstr>
      <vt:lpstr>Cost comparison</vt:lpstr>
      <vt:lpstr>basis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revision>83</cp:revision>
  <cp:lastPrinted>2021-11-27T10:11:00Z</cp:lastPrinted>
  <dcterms:created xsi:type="dcterms:W3CDTF">2021-05-14T16:45:11Z</dcterms:created>
  <dcterms:modified xsi:type="dcterms:W3CDTF">2021-11-28T05:57:24Z</dcterms:modified>
</cp:coreProperties>
</file>