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a\OneDrive\Documents\Onboarding Attachments\Zeefi Onboarding\SNPL Package\"/>
    </mc:Choice>
  </mc:AlternateContent>
  <xr:revisionPtr revIDLastSave="0" documentId="13_ncr:1_{59732077-2576-41F3-96DB-F8AF08046096}" xr6:coauthVersionLast="47" xr6:coauthVersionMax="47" xr10:uidLastSave="{00000000-0000-0000-0000-000000000000}"/>
  <bookViews>
    <workbookView xWindow="-110" yWindow="-110" windowWidth="19420" windowHeight="10300" xr2:uid="{E30E3C2F-17DE-4D0B-844A-E7E04368DC61}"/>
  </bookViews>
  <sheets>
    <sheet name="Student Repayment Calculator" sheetId="1" r:id="rId1"/>
    <sheet name="Upfront payment calculator" sheetId="2" state="hidden" r:id="rId2"/>
    <sheet name="With GST (hidden)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2" l="1"/>
  <c r="C13" i="2"/>
  <c r="C14" i="2"/>
  <c r="C15" i="2"/>
  <c r="C16" i="2"/>
  <c r="C12" i="2"/>
  <c r="C13" i="3"/>
  <c r="C14" i="3"/>
  <c r="C15" i="3"/>
  <c r="C16" i="3"/>
  <c r="C12" i="3"/>
  <c r="D16" i="3"/>
  <c r="D15" i="3"/>
  <c r="D14" i="3"/>
  <c r="D13" i="3"/>
  <c r="E12" i="3"/>
  <c r="D12" i="3"/>
  <c r="K7" i="3"/>
  <c r="L7" i="3" s="1"/>
  <c r="K6" i="3"/>
  <c r="L6" i="3" s="1"/>
  <c r="K5" i="3"/>
  <c r="L5" i="3" s="1"/>
  <c r="K4" i="3"/>
  <c r="L4" i="3" s="1"/>
  <c r="K3" i="3"/>
  <c r="L3" i="3" s="1"/>
  <c r="K7" i="2"/>
  <c r="K4" i="2"/>
  <c r="K5" i="2"/>
  <c r="K6" i="2"/>
  <c r="K3" i="2"/>
  <c r="D13" i="2"/>
  <c r="D14" i="2"/>
  <c r="D15" i="2"/>
  <c r="D16" i="2"/>
  <c r="D12" i="2"/>
  <c r="J15" i="1"/>
  <c r="K15" i="1"/>
  <c r="J14" i="1"/>
  <c r="K14" i="1"/>
  <c r="J13" i="1"/>
  <c r="K13" i="1"/>
  <c r="J12" i="1"/>
  <c r="K12" i="1"/>
  <c r="J11" i="1"/>
  <c r="K11" i="1"/>
  <c r="I14" i="1"/>
  <c r="H15" i="1"/>
  <c r="H14" i="1"/>
  <c r="H13" i="1"/>
  <c r="H12" i="1"/>
  <c r="I15" i="1"/>
  <c r="I13" i="1"/>
  <c r="I12" i="1"/>
  <c r="I11" i="1"/>
  <c r="H11" i="1"/>
  <c r="G11" i="1"/>
  <c r="G15" i="1"/>
  <c r="F15" i="1"/>
  <c r="F14" i="1"/>
  <c r="G14" i="1"/>
  <c r="F13" i="1"/>
  <c r="G13" i="1"/>
  <c r="F12" i="1"/>
  <c r="G12" i="1"/>
  <c r="F11" i="1"/>
  <c r="E15" i="1"/>
  <c r="E11" i="1"/>
  <c r="E12" i="1"/>
  <c r="E13" i="1"/>
  <c r="E14" i="1"/>
  <c r="K14" i="2" l="1"/>
  <c r="K12" i="2"/>
  <c r="I15" i="2"/>
  <c r="G13" i="2"/>
  <c r="K15" i="2"/>
  <c r="I13" i="2"/>
  <c r="E16" i="2"/>
  <c r="K13" i="2"/>
  <c r="G16" i="2"/>
  <c r="G14" i="2"/>
  <c r="I16" i="2"/>
  <c r="I14" i="2"/>
  <c r="K16" i="2"/>
  <c r="G12" i="2"/>
  <c r="I12" i="2"/>
  <c r="F12" i="2"/>
  <c r="J16" i="2"/>
  <c r="F15" i="2"/>
  <c r="H14" i="2"/>
  <c r="F13" i="2"/>
  <c r="F16" i="2"/>
  <c r="E13" i="2"/>
  <c r="H13" i="2"/>
  <c r="E14" i="2"/>
  <c r="J14" i="2"/>
  <c r="J13" i="2"/>
  <c r="F14" i="2"/>
  <c r="H16" i="2"/>
  <c r="J15" i="2"/>
  <c r="H15" i="2"/>
  <c r="E15" i="2"/>
  <c r="H12" i="2"/>
  <c r="J12" i="2"/>
  <c r="E12" i="2"/>
  <c r="E13" i="3"/>
  <c r="E16" i="3"/>
  <c r="E15" i="3"/>
  <c r="E14" i="3"/>
  <c r="K12" i="3"/>
  <c r="J12" i="3"/>
  <c r="I12" i="3"/>
  <c r="H12" i="3"/>
  <c r="G12" i="3"/>
  <c r="F12" i="3"/>
  <c r="K13" i="3"/>
  <c r="J13" i="3"/>
  <c r="I13" i="3"/>
  <c r="H13" i="3"/>
  <c r="G13" i="3"/>
  <c r="F13" i="3"/>
  <c r="K14" i="3"/>
  <c r="J14" i="3"/>
  <c r="I14" i="3"/>
  <c r="H14" i="3"/>
  <c r="G14" i="3"/>
  <c r="F14" i="3"/>
  <c r="K15" i="3"/>
  <c r="J15" i="3"/>
  <c r="I15" i="3"/>
  <c r="H15" i="3"/>
  <c r="G15" i="3"/>
  <c r="F15" i="3"/>
  <c r="K16" i="3"/>
  <c r="I16" i="3"/>
  <c r="G16" i="3"/>
  <c r="J16" i="3" l="1"/>
  <c r="F16" i="3"/>
  <c r="H16" i="3"/>
</calcChain>
</file>

<file path=xl/sharedStrings.xml><?xml version="1.0" encoding="utf-8"?>
<sst xmlns="http://schemas.openxmlformats.org/spreadsheetml/2006/main" count="98" uniqueCount="33">
  <si>
    <t>Student Repayment Calculator for Study Now Pay Later (SNPL)</t>
  </si>
  <si>
    <t>(Please ONLY update the blue fields)</t>
  </si>
  <si>
    <t>Course Fee</t>
  </si>
  <si>
    <t>Term
(in months)</t>
  </si>
  <si>
    <t>Establishment fee
(Paid by student, added to their first direct debit)</t>
  </si>
  <si>
    <t>Monthly Fee
(Paid by student, added to their ongoing direct debit)</t>
  </si>
  <si>
    <t>Student's total plan amount</t>
  </si>
  <si>
    <t>Student MONTHLY repayments*</t>
  </si>
  <si>
    <t>Student FORTNIGHTLY repayments*</t>
  </si>
  <si>
    <t>Student WEEKLY repayments*</t>
  </si>
  <si>
    <t>First Direct Debit</t>
  </si>
  <si>
    <t>Ongoing Direct Debit</t>
  </si>
  <si>
    <t>(between 
$500 &amp; $20,000)</t>
  </si>
  <si>
    <t>Please note:</t>
  </si>
  <si>
    <t>*Student's total payment will include the monthly fee.</t>
  </si>
  <si>
    <t>If monthly fee is $7, fortnightly fee is $3.50, weekly fee is $1.75</t>
  </si>
  <si>
    <t>Fortnights in 6 months</t>
  </si>
  <si>
    <t>Weeks in 6 months</t>
  </si>
  <si>
    <t>Fortnights in a year</t>
  </si>
  <si>
    <t>Weeks in a year</t>
  </si>
  <si>
    <t>Establishment fee</t>
  </si>
  <si>
    <t>Term</t>
  </si>
  <si>
    <t>Service Fee</t>
  </si>
  <si>
    <t>Course fee</t>
  </si>
  <si>
    <t>Student Plan fee (monthly)</t>
  </si>
  <si>
    <t>6m</t>
  </si>
  <si>
    <t>12m</t>
  </si>
  <si>
    <t>Upfront payment required</t>
  </si>
  <si>
    <t>18m</t>
  </si>
  <si>
    <t>24m</t>
  </si>
  <si>
    <t>36m</t>
  </si>
  <si>
    <t>If monthly fee is $7, fortnightly fee is $3, weekly fee is $1.75</t>
  </si>
  <si>
    <t>Course fee inc 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</si>
</sst>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;[Red]\-&quot;$&quot;#,##0"/>
    <numFmt numFmtId="8" formatCode="&quot;$&quot;#,##0.00;[Red]\-&quot;$&quot;#,##0.00"/>
    <numFmt numFmtId="164" formatCode="&quot;$&quot;#,##0.00"/>
    <numFmt numFmtId="165" formatCode="0.0%"/>
    <numFmt numFmtId="166" formatCode="[$$-C09]#,##0.00"/>
    <numFmt numFmtId="167" formatCode="_-[$$-409]* #,##0.00_ ;_-[$$-409]* \-#,##0.00\ ;_-[$$-409]* &quot;-&quot;??_ ;_-@_ "/>
    <numFmt numFmtId="168" formatCode="&quot;$&quot;#,##0.0"/>
    <numFmt numFmtId="169" formatCode="&quot;$&quot;#,##0.000"/>
    <numFmt numFmtId="170" formatCode="[$$-C09]#,##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6" fontId="2" fillId="2" borderId="0" xfId="0" applyNumberFormat="1" applyFont="1" applyFill="1"/>
    <xf numFmtId="0" fontId="0" fillId="3" borderId="1" xfId="0" applyFill="1" applyBorder="1"/>
    <xf numFmtId="6" fontId="0" fillId="3" borderId="1" xfId="0" applyNumberFormat="1" applyFill="1" applyBorder="1"/>
    <xf numFmtId="164" fontId="0" fillId="3" borderId="1" xfId="0" applyNumberFormat="1" applyFill="1" applyBorder="1"/>
    <xf numFmtId="8" fontId="0" fillId="3" borderId="1" xfId="0" applyNumberFormat="1" applyFill="1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167" fontId="0" fillId="0" borderId="0" xfId="0" applyNumberFormat="1"/>
    <xf numFmtId="0" fontId="0" fillId="3" borderId="3" xfId="0" applyFill="1" applyBorder="1"/>
    <xf numFmtId="0" fontId="1" fillId="0" borderId="4" xfId="0" applyFont="1" applyBorder="1" applyAlignment="1">
      <alignment horizontal="center" vertical="center"/>
    </xf>
    <xf numFmtId="6" fontId="2" fillId="2" borderId="8" xfId="0" applyNumberFormat="1" applyFont="1" applyFill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6" fontId="2" fillId="2" borderId="13" xfId="0" applyNumberFormat="1" applyFont="1" applyFill="1" applyBorder="1"/>
    <xf numFmtId="165" fontId="2" fillId="2" borderId="0" xfId="0" applyNumberFormat="1" applyFont="1" applyFill="1"/>
    <xf numFmtId="0" fontId="1" fillId="0" borderId="6" xfId="0" applyFont="1" applyBorder="1"/>
    <xf numFmtId="0" fontId="1" fillId="0" borderId="8" xfId="0" applyFont="1" applyBorder="1"/>
    <xf numFmtId="0" fontId="1" fillId="0" borderId="7" xfId="0" applyFont="1" applyBorder="1"/>
    <xf numFmtId="166" fontId="0" fillId="0" borderId="10" xfId="0" applyNumberFormat="1" applyBorder="1"/>
    <xf numFmtId="165" fontId="2" fillId="2" borderId="12" xfId="0" applyNumberFormat="1" applyFont="1" applyFill="1" applyBorder="1"/>
    <xf numFmtId="166" fontId="0" fillId="0" borderId="13" xfId="0" applyNumberFormat="1" applyBorder="1"/>
    <xf numFmtId="0" fontId="0" fillId="0" borderId="14" xfId="0" applyBorder="1"/>
    <xf numFmtId="0" fontId="0" fillId="0" borderId="15" xfId="0" applyBorder="1"/>
    <xf numFmtId="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0" fillId="0" borderId="0" xfId="0" applyNumberFormat="1"/>
    <xf numFmtId="168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9" fontId="0" fillId="0" borderId="0" xfId="0" applyNumberFormat="1"/>
    <xf numFmtId="170" fontId="0" fillId="0" borderId="0" xfId="0" applyNumberFormat="1"/>
    <xf numFmtId="0" fontId="1" fillId="0" borderId="18" xfId="0" applyFont="1" applyBorder="1"/>
    <xf numFmtId="0" fontId="1" fillId="0" borderId="19" xfId="0" applyFont="1" applyBorder="1"/>
    <xf numFmtId="0" fontId="1" fillId="4" borderId="20" xfId="0" applyFont="1" applyFill="1" applyBorder="1"/>
    <xf numFmtId="0" fontId="0" fillId="0" borderId="21" xfId="0" applyBorder="1"/>
    <xf numFmtId="166" fontId="0" fillId="4" borderId="22" xfId="0" applyNumberFormat="1" applyFill="1" applyBorder="1"/>
    <xf numFmtId="0" fontId="0" fillId="0" borderId="23" xfId="0" applyBorder="1"/>
    <xf numFmtId="166" fontId="0" fillId="0" borderId="24" xfId="0" applyNumberFormat="1" applyBorder="1"/>
    <xf numFmtId="166" fontId="0" fillId="4" borderId="25" xfId="0" applyNumberFormat="1" applyFill="1" applyBorder="1"/>
    <xf numFmtId="10" fontId="2" fillId="2" borderId="0" xfId="0" applyNumberFormat="1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9D7D46-6429-4A48-BC6C-0453C1B4B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3050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3</xdr:row>
      <xdr:rowOff>85725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928E65A-08EC-4665-A9CA-D1120B05F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3050" cy="65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95250</xdr:colOff>
      <xdr:row>3</xdr:row>
      <xdr:rowOff>70485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1E0DD27-0B04-4791-9C5E-BBA6BA2DB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30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B6618-FEED-4207-BD71-F8CBDA3C0594}">
  <dimension ref="A5:K25"/>
  <sheetViews>
    <sheetView showGridLines="0" tabSelected="1" zoomScale="80" zoomScaleNormal="80" workbookViewId="0">
      <selection activeCell="E21" sqref="E21"/>
    </sheetView>
  </sheetViews>
  <sheetFormatPr defaultColWidth="8.81640625" defaultRowHeight="14.5" x14ac:dyDescent="0.35"/>
  <cols>
    <col min="1" max="1" width="21.7265625" customWidth="1"/>
    <col min="2" max="2" width="12.26953125" customWidth="1"/>
    <col min="3" max="3" width="23.1796875" customWidth="1"/>
    <col min="4" max="4" width="20.453125" customWidth="1"/>
    <col min="5" max="5" width="16.81640625" customWidth="1"/>
    <col min="6" max="6" width="17.54296875" customWidth="1"/>
    <col min="7" max="7" width="21.54296875" customWidth="1"/>
    <col min="8" max="8" width="17.26953125" customWidth="1"/>
    <col min="9" max="9" width="21.1796875" customWidth="1"/>
    <col min="10" max="10" width="16.7265625" customWidth="1"/>
    <col min="11" max="11" width="20.453125" customWidth="1"/>
  </cols>
  <sheetData>
    <row r="5" spans="1:11" x14ac:dyDescent="0.35">
      <c r="A5" s="4" t="s">
        <v>0</v>
      </c>
      <c r="B5" s="4"/>
      <c r="C5" s="4"/>
    </row>
    <row r="6" spans="1:11" x14ac:dyDescent="0.35">
      <c r="A6" s="4" t="s">
        <v>1</v>
      </c>
    </row>
    <row r="7" spans="1:11" hidden="1" x14ac:dyDescent="0.35">
      <c r="A7" s="4"/>
      <c r="B7" s="4"/>
      <c r="C7" s="4"/>
    </row>
    <row r="8" spans="1:11" x14ac:dyDescent="0.35">
      <c r="A8" s="4"/>
    </row>
    <row r="9" spans="1:11" ht="60" customHeight="1" x14ac:dyDescent="0.35">
      <c r="A9" s="54" t="s">
        <v>2</v>
      </c>
      <c r="B9" s="51" t="s">
        <v>3</v>
      </c>
      <c r="C9" s="51" t="s">
        <v>4</v>
      </c>
      <c r="D9" s="51" t="s">
        <v>5</v>
      </c>
      <c r="E9" s="51" t="s">
        <v>6</v>
      </c>
      <c r="F9" s="48" t="s">
        <v>7</v>
      </c>
      <c r="G9" s="49"/>
      <c r="H9" s="48" t="s">
        <v>8</v>
      </c>
      <c r="I9" s="49"/>
      <c r="J9" s="50" t="s">
        <v>9</v>
      </c>
      <c r="K9" s="50"/>
    </row>
    <row r="10" spans="1:11" x14ac:dyDescent="0.35">
      <c r="A10" s="54"/>
      <c r="B10" s="52"/>
      <c r="C10" s="52"/>
      <c r="D10" s="52"/>
      <c r="E10" s="52"/>
      <c r="F10" s="34" t="s">
        <v>10</v>
      </c>
      <c r="G10" s="34" t="s">
        <v>11</v>
      </c>
      <c r="H10" s="34" t="s">
        <v>10</v>
      </c>
      <c r="I10" s="34" t="s">
        <v>11</v>
      </c>
      <c r="J10" s="34" t="s">
        <v>10</v>
      </c>
      <c r="K10" s="34" t="s">
        <v>11</v>
      </c>
    </row>
    <row r="11" spans="1:11" x14ac:dyDescent="0.35">
      <c r="A11" s="5"/>
      <c r="B11" s="6">
        <v>6</v>
      </c>
      <c r="C11" s="7">
        <v>80</v>
      </c>
      <c r="D11" s="7">
        <v>7</v>
      </c>
      <c r="E11" s="7">
        <f>A11+C11</f>
        <v>80</v>
      </c>
      <c r="F11" s="8">
        <f>((A11)/B11)+D11+C11</f>
        <v>87</v>
      </c>
      <c r="G11" s="8">
        <f>((A11)/B11)+D11</f>
        <v>7</v>
      </c>
      <c r="H11" s="8">
        <f>((A11)/(B22))+(D11/2)+C11</f>
        <v>83.5</v>
      </c>
      <c r="I11" s="8">
        <f>((A11)/(B22))+(D11/2)</f>
        <v>3.5</v>
      </c>
      <c r="J11" s="8">
        <f>(A11/(B23)+(D11/4))+C11</f>
        <v>81.75</v>
      </c>
      <c r="K11" s="8">
        <f>(A11/(B23)+(D11/4))</f>
        <v>1.75</v>
      </c>
    </row>
    <row r="12" spans="1:11" x14ac:dyDescent="0.35">
      <c r="B12" s="6">
        <v>12</v>
      </c>
      <c r="C12" s="7">
        <v>80</v>
      </c>
      <c r="D12" s="7">
        <v>7</v>
      </c>
      <c r="E12" s="7">
        <f>A11+C12</f>
        <v>80</v>
      </c>
      <c r="F12" s="8">
        <f>((A11)/B12)+D12+C12</f>
        <v>87</v>
      </c>
      <c r="G12" s="8">
        <f>((A11)/B12)+D12</f>
        <v>7</v>
      </c>
      <c r="H12" s="8">
        <f>((A11)/(B24))+(D12/2)+C12</f>
        <v>83.5</v>
      </c>
      <c r="I12" s="8">
        <f>((A11)/(B24))+(D12/2)</f>
        <v>3.5</v>
      </c>
      <c r="J12" s="8">
        <f>(A11/(B25)+(D12/4))+C12</f>
        <v>81.75</v>
      </c>
      <c r="K12" s="8">
        <f>(A11/(B25)+(D12/4))</f>
        <v>1.75</v>
      </c>
    </row>
    <row r="13" spans="1:11" ht="15" customHeight="1" x14ac:dyDescent="0.35">
      <c r="A13" s="53" t="s">
        <v>12</v>
      </c>
      <c r="B13" s="6">
        <v>18</v>
      </c>
      <c r="C13" s="7">
        <v>80</v>
      </c>
      <c r="D13" s="7">
        <v>7</v>
      </c>
      <c r="E13" s="7">
        <f>A11+C13</f>
        <v>80</v>
      </c>
      <c r="F13" s="8">
        <f>((A11)/B13)+D13+C13</f>
        <v>87</v>
      </c>
      <c r="G13" s="8">
        <f>((A11)/B13)+D13</f>
        <v>7</v>
      </c>
      <c r="H13" s="8">
        <f>((A11)/(B24*1.5)+(D13/2))+C13</f>
        <v>83.5</v>
      </c>
      <c r="I13" s="8">
        <f>((A11)/(B24*1.5)+(D13/2))</f>
        <v>3.5</v>
      </c>
      <c r="J13" s="8">
        <f>(A11/(B25*1.5)+(D13/4))+C13</f>
        <v>81.75</v>
      </c>
      <c r="K13" s="8">
        <f>(A11/(B25*1.5)+(D13/4))</f>
        <v>1.75</v>
      </c>
    </row>
    <row r="14" spans="1:11" x14ac:dyDescent="0.35">
      <c r="A14" s="53"/>
      <c r="B14" s="6">
        <v>24</v>
      </c>
      <c r="C14" s="7">
        <v>80</v>
      </c>
      <c r="D14" s="7">
        <v>7</v>
      </c>
      <c r="E14" s="7">
        <f>A11+C14</f>
        <v>80</v>
      </c>
      <c r="F14" s="9">
        <f>((A11)/B14)+D14+C14</f>
        <v>87</v>
      </c>
      <c r="G14" s="8">
        <f>((A11)/B14)+D14</f>
        <v>7</v>
      </c>
      <c r="H14" s="8">
        <f>((A11)/(B24*2))+(D14/2)+C14</f>
        <v>83.5</v>
      </c>
      <c r="I14" s="9">
        <f>((A11)/(B24*2))+(D14/2)</f>
        <v>3.5</v>
      </c>
      <c r="J14" s="8">
        <f>(A11/(B25*2)+(D14/4))+C14</f>
        <v>81.75</v>
      </c>
      <c r="K14" s="8">
        <f>(A11/(B25*2)+(D14/4))</f>
        <v>1.75</v>
      </c>
    </row>
    <row r="15" spans="1:11" x14ac:dyDescent="0.35">
      <c r="A15" s="36"/>
      <c r="B15" s="6">
        <v>36</v>
      </c>
      <c r="C15" s="7">
        <v>80</v>
      </c>
      <c r="D15" s="7">
        <v>7</v>
      </c>
      <c r="E15" s="7">
        <f>A11+C15</f>
        <v>80</v>
      </c>
      <c r="F15" s="9">
        <f>((A11)/B15)+D15+C15</f>
        <v>87</v>
      </c>
      <c r="G15" s="8">
        <f>((A11)/B15)+D15</f>
        <v>7</v>
      </c>
      <c r="H15" s="8">
        <f>((A11)/(B24*3)+(D15/2))+C15</f>
        <v>83.5</v>
      </c>
      <c r="I15" s="9">
        <f>((A11)/(B24*3)+(D15/2))</f>
        <v>3.5</v>
      </c>
      <c r="J15" s="8">
        <f>(A11/(B25*3)+(D15/4))+C15</f>
        <v>81.75</v>
      </c>
      <c r="K15" s="8">
        <f>(A11/(B25*3)+(D15/4))</f>
        <v>1.75</v>
      </c>
    </row>
    <row r="16" spans="1:11" x14ac:dyDescent="0.35">
      <c r="A16" s="36"/>
      <c r="B16" s="1"/>
      <c r="C16" s="1"/>
      <c r="D16" s="1"/>
      <c r="E16" s="1"/>
      <c r="F16" s="3"/>
      <c r="G16" s="3"/>
      <c r="H16" s="2"/>
      <c r="I16" s="2"/>
      <c r="J16" s="2"/>
      <c r="K16" s="2"/>
    </row>
    <row r="17" spans="1:9" x14ac:dyDescent="0.35">
      <c r="B17" s="1"/>
      <c r="C17" s="1"/>
      <c r="D17" s="1"/>
      <c r="E17" s="1"/>
      <c r="F17" s="1"/>
      <c r="G17" s="1"/>
    </row>
    <row r="18" spans="1:9" x14ac:dyDescent="0.35">
      <c r="A18" s="4" t="s">
        <v>13</v>
      </c>
    </row>
    <row r="19" spans="1:9" x14ac:dyDescent="0.35">
      <c r="A19" t="s">
        <v>14</v>
      </c>
      <c r="I19" s="4"/>
    </row>
    <row r="20" spans="1:9" x14ac:dyDescent="0.35">
      <c r="A20" t="s">
        <v>15</v>
      </c>
    </row>
    <row r="21" spans="1:9" x14ac:dyDescent="0.35">
      <c r="A21" t="s">
        <v>13</v>
      </c>
    </row>
    <row r="22" spans="1:9" x14ac:dyDescent="0.35">
      <c r="A22" s="10" t="s">
        <v>16</v>
      </c>
      <c r="B22" s="10">
        <v>13</v>
      </c>
    </row>
    <row r="23" spans="1:9" x14ac:dyDescent="0.35">
      <c r="A23" s="10" t="s">
        <v>17</v>
      </c>
      <c r="B23" s="10">
        <v>26</v>
      </c>
    </row>
    <row r="24" spans="1:9" x14ac:dyDescent="0.35">
      <c r="A24" s="10" t="s">
        <v>18</v>
      </c>
      <c r="B24" s="10">
        <v>26</v>
      </c>
    </row>
    <row r="25" spans="1:9" x14ac:dyDescent="0.35">
      <c r="A25" s="10" t="s">
        <v>19</v>
      </c>
      <c r="B25" s="10">
        <v>52</v>
      </c>
    </row>
  </sheetData>
  <mergeCells count="9">
    <mergeCell ref="H9:I9"/>
    <mergeCell ref="J9:K9"/>
    <mergeCell ref="E9:E10"/>
    <mergeCell ref="F9:G9"/>
    <mergeCell ref="A13:A14"/>
    <mergeCell ref="A9:A10"/>
    <mergeCell ref="B9:B10"/>
    <mergeCell ref="C9:C10"/>
    <mergeCell ref="D9:D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194F8-EA2F-40C9-B5E2-C21924231026}">
  <dimension ref="A2:N26"/>
  <sheetViews>
    <sheetView zoomScale="80" zoomScaleNormal="80" workbookViewId="0">
      <selection activeCell="G7" sqref="G7"/>
    </sheetView>
  </sheetViews>
  <sheetFormatPr defaultColWidth="8.81640625" defaultRowHeight="14.5" x14ac:dyDescent="0.35"/>
  <cols>
    <col min="1" max="1" width="21.7265625" customWidth="1"/>
    <col min="2" max="2" width="12.26953125" customWidth="1"/>
    <col min="3" max="3" width="18" customWidth="1"/>
    <col min="4" max="4" width="15.81640625" customWidth="1"/>
    <col min="5" max="5" width="11.1796875" customWidth="1"/>
    <col min="6" max="6" width="12.7265625" customWidth="1"/>
    <col min="7" max="7" width="12.1796875" customWidth="1"/>
    <col min="8" max="8" width="12.453125" customWidth="1"/>
    <col min="9" max="9" width="11.7265625" customWidth="1"/>
    <col min="10" max="10" width="12.26953125" customWidth="1"/>
    <col min="11" max="11" width="11.453125" customWidth="1"/>
    <col min="12" max="12" width="25.7265625" customWidth="1"/>
    <col min="13" max="14" width="9.81640625" bestFit="1" customWidth="1"/>
  </cols>
  <sheetData>
    <row r="2" spans="1:14" x14ac:dyDescent="0.35">
      <c r="E2" s="11" t="s">
        <v>20</v>
      </c>
      <c r="F2" s="12"/>
      <c r="G2" s="16">
        <v>80</v>
      </c>
      <c r="I2" s="22" t="s">
        <v>21</v>
      </c>
      <c r="J2" s="24" t="s">
        <v>22</v>
      </c>
      <c r="K2" s="23" t="s">
        <v>23</v>
      </c>
    </row>
    <row r="3" spans="1:14" x14ac:dyDescent="0.35">
      <c r="E3" s="18" t="s">
        <v>24</v>
      </c>
      <c r="F3" s="19"/>
      <c r="G3" s="20">
        <v>7</v>
      </c>
      <c r="I3" s="17" t="s">
        <v>25</v>
      </c>
      <c r="J3" s="21">
        <v>7.0000000000000007E-2</v>
      </c>
      <c r="K3" s="25">
        <f>$G$5/(1-J3)</f>
        <v>16129.032258064517</v>
      </c>
    </row>
    <row r="4" spans="1:14" x14ac:dyDescent="0.35">
      <c r="I4" s="17" t="s">
        <v>26</v>
      </c>
      <c r="J4" s="21">
        <v>0.115</v>
      </c>
      <c r="K4" s="25">
        <f>$G$5/(1-J4)</f>
        <v>16949.152542372882</v>
      </c>
    </row>
    <row r="5" spans="1:14" x14ac:dyDescent="0.35">
      <c r="A5" s="4" t="s">
        <v>0</v>
      </c>
      <c r="E5" s="28" t="s">
        <v>27</v>
      </c>
      <c r="F5" s="29"/>
      <c r="G5" s="30">
        <v>15000</v>
      </c>
      <c r="I5" s="17" t="s">
        <v>28</v>
      </c>
      <c r="J5" s="21">
        <v>0.14499999999999999</v>
      </c>
      <c r="K5" s="25">
        <f>$G$5/(1-J5)</f>
        <v>17543.859649122809</v>
      </c>
      <c r="M5" s="33"/>
    </row>
    <row r="6" spans="1:14" x14ac:dyDescent="0.35">
      <c r="A6" s="4" t="s">
        <v>1</v>
      </c>
      <c r="G6" s="13"/>
      <c r="I6" s="17" t="s">
        <v>29</v>
      </c>
      <c r="J6" s="47">
        <v>0.1825</v>
      </c>
      <c r="K6" s="25">
        <f>$G$5/(1-J6)</f>
        <v>18348.623853211007</v>
      </c>
    </row>
    <row r="7" spans="1:14" x14ac:dyDescent="0.35">
      <c r="I7" s="18" t="s">
        <v>30</v>
      </c>
      <c r="J7" s="26">
        <v>0.23499999999999999</v>
      </c>
      <c r="K7" s="27">
        <f>$G$5/(1-J7)</f>
        <v>19607.843137254902</v>
      </c>
      <c r="M7" s="32"/>
      <c r="N7" s="32"/>
    </row>
    <row r="9" spans="1:14" x14ac:dyDescent="0.35">
      <c r="A9" s="4"/>
      <c r="B9" s="4"/>
      <c r="M9" s="32"/>
    </row>
    <row r="10" spans="1:14" ht="45" customHeight="1" x14ac:dyDescent="0.35">
      <c r="A10" s="4"/>
      <c r="F10" s="48" t="s">
        <v>7</v>
      </c>
      <c r="G10" s="49"/>
      <c r="H10" s="48" t="s">
        <v>8</v>
      </c>
      <c r="I10" s="49"/>
      <c r="J10" s="48" t="s">
        <v>9</v>
      </c>
      <c r="K10" s="49"/>
    </row>
    <row r="11" spans="1:14" ht="72.5" x14ac:dyDescent="0.35">
      <c r="A11" s="15" t="s">
        <v>2</v>
      </c>
      <c r="B11" s="35" t="s">
        <v>3</v>
      </c>
      <c r="C11" s="35" t="s">
        <v>4</v>
      </c>
      <c r="D11" s="35" t="s">
        <v>5</v>
      </c>
      <c r="E11" s="35" t="s">
        <v>6</v>
      </c>
      <c r="F11" s="34" t="s">
        <v>10</v>
      </c>
      <c r="G11" s="34" t="s">
        <v>11</v>
      </c>
      <c r="H11" s="34" t="s">
        <v>10</v>
      </c>
      <c r="I11" s="34" t="s">
        <v>11</v>
      </c>
      <c r="J11" s="34" t="s">
        <v>10</v>
      </c>
      <c r="K11" s="34" t="s">
        <v>11</v>
      </c>
    </row>
    <row r="12" spans="1:14" x14ac:dyDescent="0.35">
      <c r="A12" s="31">
        <v>19607</v>
      </c>
      <c r="B12" s="14">
        <v>6</v>
      </c>
      <c r="C12" s="7">
        <f>$G$2</f>
        <v>80</v>
      </c>
      <c r="D12" s="7">
        <f>$G$3</f>
        <v>7</v>
      </c>
      <c r="E12" s="7">
        <f>A12+C12</f>
        <v>19687</v>
      </c>
      <c r="F12" s="8">
        <f>((A12)/B12)+D12+C12</f>
        <v>3354.8333333333335</v>
      </c>
      <c r="G12" s="8">
        <f>((A12)/B12)+D12</f>
        <v>3274.8333333333335</v>
      </c>
      <c r="H12" s="8">
        <f>((A12)/(B23))+(D12/2)+C12</f>
        <v>1591.7307692307693</v>
      </c>
      <c r="I12" s="8">
        <f>((A12)/(B23))+(D12/2)</f>
        <v>1511.7307692307693</v>
      </c>
      <c r="J12" s="8">
        <f>(A12/(B24)+(D12/4))+C12</f>
        <v>835.86538461538464</v>
      </c>
      <c r="K12" s="8">
        <f>(A12/(B24)+(D12/4))</f>
        <v>755.86538461538464</v>
      </c>
    </row>
    <row r="13" spans="1:14" x14ac:dyDescent="0.35">
      <c r="B13" s="6">
        <v>12</v>
      </c>
      <c r="C13" s="7">
        <f t="shared" ref="C13:C16" si="0">$G$2</f>
        <v>80</v>
      </c>
      <c r="D13" s="7">
        <f>$G$3</f>
        <v>7</v>
      </c>
      <c r="E13" s="7">
        <f>A12+C13</f>
        <v>19687</v>
      </c>
      <c r="F13" s="8">
        <f>((A12)/B13)+D13+C13</f>
        <v>1720.9166666666667</v>
      </c>
      <c r="G13" s="8">
        <f>((A12)/B13)+D13</f>
        <v>1640.9166666666667</v>
      </c>
      <c r="H13" s="8">
        <f>((A12)/(B25))+(D13/2)+C13</f>
        <v>837.61538461538464</v>
      </c>
      <c r="I13" s="8">
        <f>((A12)/(B25))+(D13/2)</f>
        <v>757.61538461538464</v>
      </c>
      <c r="J13" s="8">
        <f>(A12/(B26)+(D13/4))+C13</f>
        <v>458.80769230769232</v>
      </c>
      <c r="K13" s="8">
        <f>(A12/(B26)+(D13/4))</f>
        <v>378.80769230769232</v>
      </c>
    </row>
    <row r="14" spans="1:14" ht="15" customHeight="1" x14ac:dyDescent="0.35">
      <c r="A14" s="53" t="s">
        <v>12</v>
      </c>
      <c r="B14" s="6">
        <v>18</v>
      </c>
      <c r="C14" s="7">
        <f t="shared" si="0"/>
        <v>80</v>
      </c>
      <c r="D14" s="7">
        <f>$G$3</f>
        <v>7</v>
      </c>
      <c r="E14" s="7">
        <f>A12+C14</f>
        <v>19687</v>
      </c>
      <c r="F14" s="8">
        <f>((A12)/B14)+D14+C14</f>
        <v>1176.2777777777778</v>
      </c>
      <c r="G14" s="8">
        <f>((A12)/B14)+D14</f>
        <v>1096.2777777777778</v>
      </c>
      <c r="H14" s="8">
        <f>((A12)/(B25*1.5)+(D14/2))+C14</f>
        <v>586.24358974358972</v>
      </c>
      <c r="I14" s="8">
        <f>((A12)/(B25*1.5)+(D14/2))</f>
        <v>506.24358974358972</v>
      </c>
      <c r="J14" s="8">
        <f>(A12/(B26*1.5)+(D14/4))+C14</f>
        <v>333.12179487179486</v>
      </c>
      <c r="K14" s="8">
        <f>(A12/(B26*1.5)+(D14/4))</f>
        <v>253.12179487179486</v>
      </c>
    </row>
    <row r="15" spans="1:14" x14ac:dyDescent="0.35">
      <c r="A15" s="53"/>
      <c r="B15" s="6">
        <v>24</v>
      </c>
      <c r="C15" s="7">
        <f t="shared" si="0"/>
        <v>80</v>
      </c>
      <c r="D15" s="7">
        <f>$G$3</f>
        <v>7</v>
      </c>
      <c r="E15" s="7">
        <f>A12+C15</f>
        <v>19687</v>
      </c>
      <c r="F15" s="9">
        <f>((A12)/B15)+D15+C15</f>
        <v>903.95833333333337</v>
      </c>
      <c r="G15" s="8">
        <f>((A12)/B15)+D15</f>
        <v>823.95833333333337</v>
      </c>
      <c r="H15" s="8">
        <f>((A12)/(B25*2))+(D15/2)+C15</f>
        <v>460.55769230769232</v>
      </c>
      <c r="I15" s="9">
        <f>((A12)/(B25*2))+(D15/2)</f>
        <v>380.55769230769232</v>
      </c>
      <c r="J15" s="8">
        <f>(A12/(B26*2)+(D15/4))+C15</f>
        <v>270.27884615384619</v>
      </c>
      <c r="K15" s="8">
        <f>(A12/(B26*2)+(D15/4))</f>
        <v>190.27884615384616</v>
      </c>
    </row>
    <row r="16" spans="1:14" x14ac:dyDescent="0.35">
      <c r="A16" s="36"/>
      <c r="B16" s="6">
        <v>36</v>
      </c>
      <c r="C16" s="7">
        <f t="shared" si="0"/>
        <v>80</v>
      </c>
      <c r="D16" s="7">
        <f>$G$3</f>
        <v>7</v>
      </c>
      <c r="E16" s="7">
        <f>A12+C16</f>
        <v>19687</v>
      </c>
      <c r="F16" s="9">
        <f>((A12)/B16)+D16+C16</f>
        <v>631.63888888888891</v>
      </c>
      <c r="G16" s="8">
        <f>((A12)/B16)+D16</f>
        <v>551.63888888888891</v>
      </c>
      <c r="H16" s="8">
        <f>((A12)/(B25*3)+(D16/2))+C16</f>
        <v>334.87179487179486</v>
      </c>
      <c r="I16" s="9">
        <f>((A12)/(B25*3)+(D16/2))</f>
        <v>254.87179487179486</v>
      </c>
      <c r="J16" s="8">
        <f>(A12/(B26*3)+(D16/4))+C16</f>
        <v>207.43589743589743</v>
      </c>
      <c r="K16" s="8">
        <f>(A12/(B26*3)+(D16/4))</f>
        <v>127.43589743589743</v>
      </c>
    </row>
    <row r="17" spans="1:11" x14ac:dyDescent="0.35">
      <c r="A17" s="36"/>
      <c r="B17" s="1"/>
      <c r="C17" s="1"/>
      <c r="D17" s="1"/>
      <c r="E17" s="1"/>
      <c r="F17" s="3"/>
      <c r="G17" s="3"/>
      <c r="H17" s="2"/>
      <c r="I17" s="2"/>
      <c r="J17" s="2"/>
      <c r="K17" s="2"/>
    </row>
    <row r="18" spans="1:11" x14ac:dyDescent="0.35">
      <c r="B18" s="1"/>
      <c r="C18" s="1"/>
      <c r="D18" s="1"/>
      <c r="E18" s="1"/>
      <c r="F18" s="1"/>
      <c r="G18" s="1"/>
    </row>
    <row r="19" spans="1:11" x14ac:dyDescent="0.35">
      <c r="A19" s="4" t="s">
        <v>13</v>
      </c>
    </row>
    <row r="20" spans="1:11" x14ac:dyDescent="0.35">
      <c r="A20" t="s">
        <v>14</v>
      </c>
      <c r="I20" s="4"/>
    </row>
    <row r="21" spans="1:11" x14ac:dyDescent="0.35">
      <c r="A21" t="s">
        <v>31</v>
      </c>
    </row>
    <row r="22" spans="1:11" x14ac:dyDescent="0.35">
      <c r="A22" t="s">
        <v>13</v>
      </c>
    </row>
    <row r="23" spans="1:11" x14ac:dyDescent="0.35">
      <c r="A23" s="10" t="s">
        <v>16</v>
      </c>
      <c r="B23" s="10">
        <v>13</v>
      </c>
    </row>
    <row r="24" spans="1:11" x14ac:dyDescent="0.35">
      <c r="A24" s="10" t="s">
        <v>17</v>
      </c>
      <c r="B24" s="10">
        <v>26</v>
      </c>
    </row>
    <row r="25" spans="1:11" x14ac:dyDescent="0.35">
      <c r="A25" s="10" t="s">
        <v>18</v>
      </c>
      <c r="B25" s="10">
        <v>26</v>
      </c>
    </row>
    <row r="26" spans="1:11" x14ac:dyDescent="0.35">
      <c r="A26" s="10" t="s">
        <v>19</v>
      </c>
      <c r="B26" s="10">
        <v>52</v>
      </c>
    </row>
  </sheetData>
  <mergeCells count="4">
    <mergeCell ref="J10:K10"/>
    <mergeCell ref="H10:I10"/>
    <mergeCell ref="A14:A15"/>
    <mergeCell ref="F10:G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F2B67-EF0C-4C35-B844-A87824AB1ED5}">
  <dimension ref="A1:O26"/>
  <sheetViews>
    <sheetView workbookViewId="0">
      <selection activeCell="L4" sqref="L4"/>
    </sheetView>
  </sheetViews>
  <sheetFormatPr defaultColWidth="8.81640625" defaultRowHeight="14.5" x14ac:dyDescent="0.35"/>
  <cols>
    <col min="1" max="1" width="21.7265625" customWidth="1"/>
    <col min="2" max="2" width="12.26953125" customWidth="1"/>
    <col min="3" max="3" width="18" customWidth="1"/>
    <col min="4" max="4" width="15.81640625" customWidth="1"/>
    <col min="5" max="5" width="11.1796875" customWidth="1"/>
    <col min="6" max="6" width="12.7265625" customWidth="1"/>
    <col min="7" max="7" width="12.1796875" customWidth="1"/>
    <col min="8" max="8" width="12.453125" customWidth="1"/>
    <col min="9" max="9" width="11.7265625" customWidth="1"/>
    <col min="10" max="10" width="12.26953125" customWidth="1"/>
    <col min="11" max="11" width="15.1796875" customWidth="1"/>
    <col min="12" max="12" width="16.7265625" customWidth="1"/>
    <col min="13" max="13" width="11.7265625" customWidth="1"/>
    <col min="14" max="14" width="11.26953125" customWidth="1"/>
    <col min="15" max="15" width="12" customWidth="1"/>
  </cols>
  <sheetData>
    <row r="1" spans="1:15" ht="15" thickBot="1" x14ac:dyDescent="0.4"/>
    <row r="2" spans="1:15" x14ac:dyDescent="0.35">
      <c r="E2" s="11" t="s">
        <v>20</v>
      </c>
      <c r="F2" s="12"/>
      <c r="G2" s="16">
        <v>50</v>
      </c>
      <c r="I2" s="39" t="s">
        <v>21</v>
      </c>
      <c r="J2" s="40" t="s">
        <v>22</v>
      </c>
      <c r="K2" s="40" t="s">
        <v>23</v>
      </c>
      <c r="L2" s="41" t="s">
        <v>32</v>
      </c>
      <c r="N2" s="32"/>
    </row>
    <row r="3" spans="1:15" ht="15" thickBot="1" x14ac:dyDescent="0.4">
      <c r="E3" s="18" t="s">
        <v>24</v>
      </c>
      <c r="F3" s="19"/>
      <c r="G3" s="20">
        <v>7</v>
      </c>
      <c r="I3" s="42" t="s">
        <v>25</v>
      </c>
      <c r="J3" s="21">
        <v>7.0000000000000007E-2</v>
      </c>
      <c r="K3" s="32">
        <f>$G$5/(1-J3)</f>
        <v>5376.344086021506</v>
      </c>
      <c r="L3" s="43">
        <f>($G$5/(1-J3))+(0.1*(K3-$G$5))</f>
        <v>5413.9784946236568</v>
      </c>
      <c r="M3" s="38"/>
      <c r="N3" s="37"/>
      <c r="O3" s="37"/>
    </row>
    <row r="4" spans="1:15" ht="15" thickBot="1" x14ac:dyDescent="0.4">
      <c r="I4" s="42" t="s">
        <v>26</v>
      </c>
      <c r="J4" s="21">
        <v>0.115</v>
      </c>
      <c r="K4" s="32">
        <f>$G$5/(1-J4)</f>
        <v>5649.7175141242933</v>
      </c>
      <c r="L4" s="43">
        <f t="shared" ref="L4:L7" si="0">($G$5/(1-J4))+(0.1*(K4-$G$5))</f>
        <v>5714.6892655367228</v>
      </c>
      <c r="M4" s="38"/>
      <c r="N4" s="38"/>
    </row>
    <row r="5" spans="1:15" ht="15" thickBot="1" x14ac:dyDescent="0.4">
      <c r="A5" s="4" t="s">
        <v>0</v>
      </c>
      <c r="E5" s="28" t="s">
        <v>27</v>
      </c>
      <c r="F5" s="29"/>
      <c r="G5" s="30">
        <v>5000</v>
      </c>
      <c r="I5" s="42" t="s">
        <v>28</v>
      </c>
      <c r="J5" s="21">
        <v>0.14499999999999999</v>
      </c>
      <c r="K5" s="32">
        <f>$G$5/(1-J5)</f>
        <v>5847.9532163742688</v>
      </c>
      <c r="L5" s="43">
        <f t="shared" si="0"/>
        <v>5932.7485380116959</v>
      </c>
      <c r="M5" s="33"/>
      <c r="N5" s="38"/>
    </row>
    <row r="6" spans="1:15" x14ac:dyDescent="0.35">
      <c r="A6" s="4" t="s">
        <v>1</v>
      </c>
      <c r="G6" s="13"/>
      <c r="I6" s="42" t="s">
        <v>29</v>
      </c>
      <c r="J6" s="47">
        <v>0.1825</v>
      </c>
      <c r="K6" s="32">
        <f>$G$5/(1-J6)</f>
        <v>6116.2079510703361</v>
      </c>
      <c r="L6" s="43">
        <f t="shared" si="0"/>
        <v>6227.8287461773698</v>
      </c>
    </row>
    <row r="7" spans="1:15" ht="15" thickBot="1" x14ac:dyDescent="0.4">
      <c r="I7" s="44" t="s">
        <v>30</v>
      </c>
      <c r="J7" s="26">
        <v>0.23499999999999999</v>
      </c>
      <c r="K7" s="45">
        <f>$G$5/(1-J7)</f>
        <v>6535.9477124183004</v>
      </c>
      <c r="L7" s="46">
        <f t="shared" si="0"/>
        <v>6689.5424836601305</v>
      </c>
      <c r="M7" s="32"/>
      <c r="N7" s="32"/>
    </row>
    <row r="9" spans="1:15" x14ac:dyDescent="0.35">
      <c r="A9" s="4"/>
      <c r="B9" s="4"/>
      <c r="M9" s="32"/>
    </row>
    <row r="10" spans="1:15" ht="45" customHeight="1" x14ac:dyDescent="0.35">
      <c r="A10" s="4"/>
      <c r="F10" s="48" t="s">
        <v>7</v>
      </c>
      <c r="G10" s="49"/>
      <c r="H10" s="48" t="s">
        <v>8</v>
      </c>
      <c r="I10" s="49"/>
      <c r="J10" s="48" t="s">
        <v>9</v>
      </c>
      <c r="K10" s="49"/>
    </row>
    <row r="11" spans="1:15" ht="72.5" x14ac:dyDescent="0.35">
      <c r="A11" s="15" t="s">
        <v>2</v>
      </c>
      <c r="B11" s="35" t="s">
        <v>3</v>
      </c>
      <c r="C11" s="35" t="s">
        <v>4</v>
      </c>
      <c r="D11" s="35" t="s">
        <v>5</v>
      </c>
      <c r="E11" s="35" t="s">
        <v>6</v>
      </c>
      <c r="F11" s="34" t="s">
        <v>10</v>
      </c>
      <c r="G11" s="34" t="s">
        <v>11</v>
      </c>
      <c r="H11" s="34" t="s">
        <v>10</v>
      </c>
      <c r="I11" s="34" t="s">
        <v>11</v>
      </c>
      <c r="J11" s="34" t="s">
        <v>10</v>
      </c>
      <c r="K11" s="34" t="s">
        <v>11</v>
      </c>
    </row>
    <row r="12" spans="1:15" x14ac:dyDescent="0.35">
      <c r="A12" s="31">
        <v>8482.9364161849717</v>
      </c>
      <c r="B12" s="14">
        <v>6</v>
      </c>
      <c r="C12" s="7">
        <f>$G$2</f>
        <v>50</v>
      </c>
      <c r="D12" s="7">
        <f>$G$3</f>
        <v>7</v>
      </c>
      <c r="E12" s="7">
        <f>A12+C12</f>
        <v>8532.9364161849717</v>
      </c>
      <c r="F12" s="8">
        <f>((A12)/B12)+D12+C12</f>
        <v>1470.8227360308285</v>
      </c>
      <c r="G12" s="8">
        <f>((A12)/B12)+D12</f>
        <v>1420.8227360308285</v>
      </c>
      <c r="H12" s="8">
        <f>((A12)/(B23))+(D12/2)+C12</f>
        <v>706.03357047576708</v>
      </c>
      <c r="I12" s="8">
        <f>((A12)/(B23))+(D12/2)</f>
        <v>656.03357047576708</v>
      </c>
      <c r="J12" s="8">
        <f>(A12/(B24)+(D12/4))+C12</f>
        <v>378.01678523788354</v>
      </c>
      <c r="K12" s="8">
        <f>(A12/(B24)+(D12/4))</f>
        <v>328.01678523788354</v>
      </c>
    </row>
    <row r="13" spans="1:15" x14ac:dyDescent="0.35">
      <c r="B13" s="6">
        <v>12</v>
      </c>
      <c r="C13" s="7">
        <f t="shared" ref="C13:C16" si="1">$G$2</f>
        <v>50</v>
      </c>
      <c r="D13" s="7">
        <f>$G$3</f>
        <v>7</v>
      </c>
      <c r="E13" s="7">
        <f>A12+C13</f>
        <v>8532.9364161849717</v>
      </c>
      <c r="F13" s="8">
        <f>((A12)/B13)+D13+C13</f>
        <v>763.91136801541427</v>
      </c>
      <c r="G13" s="8">
        <f>((A12)/B13)+D13</f>
        <v>713.91136801541427</v>
      </c>
      <c r="H13" s="8">
        <f>((A12)/(B25))+(D13/2)+C13</f>
        <v>379.76678523788354</v>
      </c>
      <c r="I13" s="8">
        <f>((A12)/(B25))+(D13/2)</f>
        <v>329.76678523788354</v>
      </c>
      <c r="J13" s="8">
        <f>(A12/(B26)+(D13/4))+C13</f>
        <v>214.88339261894177</v>
      </c>
      <c r="K13" s="8">
        <f>(A12/(B26)+(D13/4))</f>
        <v>164.88339261894177</v>
      </c>
    </row>
    <row r="14" spans="1:15" ht="15" customHeight="1" x14ac:dyDescent="0.35">
      <c r="A14" s="53" t="s">
        <v>12</v>
      </c>
      <c r="B14" s="6">
        <v>18</v>
      </c>
      <c r="C14" s="7">
        <f t="shared" si="1"/>
        <v>50</v>
      </c>
      <c r="D14" s="7">
        <f>$G$3</f>
        <v>7</v>
      </c>
      <c r="E14" s="7">
        <f>A12+C14</f>
        <v>8532.9364161849717</v>
      </c>
      <c r="F14" s="8">
        <f>((A12)/B14)+D14+C14</f>
        <v>528.27424534360955</v>
      </c>
      <c r="G14" s="8">
        <f>((A12)/B14)+D14</f>
        <v>478.27424534360955</v>
      </c>
      <c r="H14" s="8">
        <f>((A12)/(B25*1.5)+(D14/2))+C14</f>
        <v>271.01119015858899</v>
      </c>
      <c r="I14" s="8">
        <f>((A12)/(B25*1.5)+(D14/2))</f>
        <v>221.01119015858902</v>
      </c>
      <c r="J14" s="8">
        <f>(A12/(B26*1.5)+(D14/4))+C14</f>
        <v>160.50559507929449</v>
      </c>
      <c r="K14" s="8">
        <f>(A12/(B26*1.5)+(D14/4))</f>
        <v>110.50559507929451</v>
      </c>
    </row>
    <row r="15" spans="1:15" x14ac:dyDescent="0.35">
      <c r="A15" s="53"/>
      <c r="B15" s="6">
        <v>24</v>
      </c>
      <c r="C15" s="7">
        <f t="shared" si="1"/>
        <v>50</v>
      </c>
      <c r="D15" s="7">
        <f>$G$3</f>
        <v>7</v>
      </c>
      <c r="E15" s="7">
        <f>A12+C15</f>
        <v>8532.9364161849717</v>
      </c>
      <c r="F15" s="9">
        <f>((A12)/B15)+D15+C15</f>
        <v>410.45568400770713</v>
      </c>
      <c r="G15" s="8">
        <f>((A12)/B15)+D15</f>
        <v>360.45568400770713</v>
      </c>
      <c r="H15" s="8">
        <f>((A12)/(B25*2))+(D15/2)+C15</f>
        <v>216.63339261894177</v>
      </c>
      <c r="I15" s="9">
        <f>((A12)/(B25*2))+(D15/2)</f>
        <v>166.63339261894177</v>
      </c>
      <c r="J15" s="8">
        <f>(A12/(B26*2)+(D15/4))+C15</f>
        <v>133.3166963094709</v>
      </c>
      <c r="K15" s="8">
        <f>(A12/(B26*2)+(D15/4))</f>
        <v>83.316696309470885</v>
      </c>
    </row>
    <row r="16" spans="1:15" x14ac:dyDescent="0.35">
      <c r="A16" s="36"/>
      <c r="B16" s="6">
        <v>36</v>
      </c>
      <c r="C16" s="7">
        <f t="shared" si="1"/>
        <v>50</v>
      </c>
      <c r="D16" s="7">
        <f>$G$3</f>
        <v>7</v>
      </c>
      <c r="E16" s="7">
        <f>A12+C16</f>
        <v>8532.9364161849717</v>
      </c>
      <c r="F16" s="9">
        <f>((A12)/B16)+D16+C16</f>
        <v>292.63712267180478</v>
      </c>
      <c r="G16" s="8">
        <f>((A12)/B16)+D16</f>
        <v>242.63712267180478</v>
      </c>
      <c r="H16" s="8">
        <f>((A12)/(B25*3)+(D16/2))+C16</f>
        <v>162.25559507929449</v>
      </c>
      <c r="I16" s="9">
        <f>((A12)/(B25*3)+(D16/2))</f>
        <v>112.25559507929451</v>
      </c>
      <c r="J16" s="8">
        <f>(A12/(B26*3)+(D16/4))+C16</f>
        <v>106.12779753964725</v>
      </c>
      <c r="K16" s="8">
        <f>(A12/(B26*3)+(D16/4))</f>
        <v>56.127797539647254</v>
      </c>
    </row>
    <row r="17" spans="1:11" x14ac:dyDescent="0.35">
      <c r="A17" s="36"/>
      <c r="B17" s="1"/>
      <c r="C17" s="1"/>
      <c r="D17" s="1"/>
      <c r="E17" s="1"/>
      <c r="F17" s="3"/>
      <c r="G17" s="3"/>
      <c r="H17" s="2"/>
      <c r="I17" s="2"/>
      <c r="J17" s="2"/>
      <c r="K17" s="2"/>
    </row>
    <row r="18" spans="1:11" x14ac:dyDescent="0.35">
      <c r="B18" s="1"/>
      <c r="C18" s="1"/>
      <c r="D18" s="1"/>
      <c r="E18" s="1"/>
      <c r="F18" s="1"/>
      <c r="G18" s="1"/>
    </row>
    <row r="19" spans="1:11" x14ac:dyDescent="0.35">
      <c r="A19" s="4" t="s">
        <v>13</v>
      </c>
    </row>
    <row r="20" spans="1:11" x14ac:dyDescent="0.35">
      <c r="A20" t="s">
        <v>14</v>
      </c>
      <c r="I20" s="4"/>
    </row>
    <row r="21" spans="1:11" x14ac:dyDescent="0.35">
      <c r="A21" t="s">
        <v>31</v>
      </c>
    </row>
    <row r="22" spans="1:11" x14ac:dyDescent="0.35">
      <c r="A22" t="s">
        <v>13</v>
      </c>
    </row>
    <row r="23" spans="1:11" x14ac:dyDescent="0.35">
      <c r="A23" s="10" t="s">
        <v>16</v>
      </c>
      <c r="B23" s="10">
        <v>13</v>
      </c>
    </row>
    <row r="24" spans="1:11" x14ac:dyDescent="0.35">
      <c r="A24" s="10" t="s">
        <v>17</v>
      </c>
      <c r="B24" s="10">
        <v>26</v>
      </c>
    </row>
    <row r="25" spans="1:11" x14ac:dyDescent="0.35">
      <c r="A25" s="10" t="s">
        <v>18</v>
      </c>
      <c r="B25" s="10">
        <v>26</v>
      </c>
    </row>
    <row r="26" spans="1:11" x14ac:dyDescent="0.35">
      <c r="A26" s="10" t="s">
        <v>19</v>
      </c>
      <c r="B26" s="10">
        <v>52</v>
      </c>
    </row>
  </sheetData>
  <mergeCells count="4">
    <mergeCell ref="F10:G10"/>
    <mergeCell ref="H10:I10"/>
    <mergeCell ref="J10:K10"/>
    <mergeCell ref="A14:A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23B21500335343ACEE63E632D76FEA" ma:contentTypeVersion="22" ma:contentTypeDescription="Create a new document." ma:contentTypeScope="" ma:versionID="28b44e6d63d0dc703a6762bf036e0265">
  <xsd:schema xmlns:xsd="http://www.w3.org/2001/XMLSchema" xmlns:xs="http://www.w3.org/2001/XMLSchema" xmlns:p="http://schemas.microsoft.com/office/2006/metadata/properties" xmlns:ns2="f0e15e69-3552-40cd-83f9-3ec4d5023832" xmlns:ns3="585d8181-a69d-4e2d-8cd5-c8eb7c952424" targetNamespace="http://schemas.microsoft.com/office/2006/metadata/properties" ma:root="true" ma:fieldsID="bcfbac57da2b85cfeb2a44e5d2d35bf2" ns2:_="" ns3:_="">
    <xsd:import namespace="f0e15e69-3552-40cd-83f9-3ec4d5023832"/>
    <xsd:import namespace="585d8181-a69d-4e2d-8cd5-c8eb7c9524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Filed_x003f_" minOccurs="0"/>
                <xsd:element ref="ns2:Selection" minOccurs="0"/>
                <xsd:element ref="ns2:Notes" minOccurs="0"/>
                <xsd:element ref="ns2:Registered_x003f_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e15e69-3552-40cd-83f9-3ec4d50238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Filed_x003f_" ma:index="20" nillable="true" ma:displayName="Year" ma:format="Dropdown" ma:internalName="Filed_x003f_">
      <xsd:simpleType>
        <xsd:restriction base="dms:Choice"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None indicated"/>
        </xsd:restriction>
      </xsd:simpleType>
    </xsd:element>
    <xsd:element name="Selection" ma:index="21" nillable="true" ma:displayName="Selection" ma:format="Dropdown" ma:internalName="Selection">
      <xsd:simpleType>
        <xsd:restriction base="dms:Choice">
          <xsd:enumeration value="Education Provider"/>
          <xsd:enumeration value="Student"/>
          <xsd:enumeration value="Others"/>
        </xsd:restriction>
      </xsd:simpleType>
    </xsd:element>
    <xsd:element name="Notes" ma:index="22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Registered_x003f_" ma:index="23" nillable="true" ma:displayName="Registered?" ma:default="0" ma:format="Dropdown" ma:internalName="Registered_x003f_">
      <xsd:simpleType>
        <xsd:restriction base="dms:Boolea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35b6719b-414f-43f1-9bf5-99021c49b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d8181-a69d-4e2d-8cd5-c8eb7c9524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86dd5e6-90a6-488a-aeaf-93011dcfd1af}" ma:internalName="TaxCatchAll" ma:showField="CatchAllData" ma:web="585d8181-a69d-4e2d-8cd5-c8eb7c9524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d_x003f_ xmlns="f0e15e69-3552-40cd-83f9-3ec4d5023832" xsi:nil="true"/>
    <Notes xmlns="f0e15e69-3552-40cd-83f9-3ec4d5023832" xsi:nil="true"/>
    <Registered_x003f_ xmlns="f0e15e69-3552-40cd-83f9-3ec4d5023832">false</Registered_x003f_>
    <Selection xmlns="f0e15e69-3552-40cd-83f9-3ec4d5023832" xsi:nil="true"/>
    <SharedWithUsers xmlns="585d8181-a69d-4e2d-8cd5-c8eb7c952424">
      <UserInfo>
        <DisplayName>Coby Grant</DisplayName>
        <AccountId>58</AccountId>
        <AccountType/>
      </UserInfo>
      <UserInfo>
        <DisplayName>Alana Houlihan</DisplayName>
        <AccountId>79</AccountId>
        <AccountType/>
      </UserInfo>
    </SharedWithUsers>
    <lcf76f155ced4ddcb4097134ff3c332f xmlns="f0e15e69-3552-40cd-83f9-3ec4d5023832">
      <Terms xmlns="http://schemas.microsoft.com/office/infopath/2007/PartnerControls"/>
    </lcf76f155ced4ddcb4097134ff3c332f>
    <TaxCatchAll xmlns="585d8181-a69d-4e2d-8cd5-c8eb7c952424" xsi:nil="true"/>
  </documentManagement>
</p:properties>
</file>

<file path=customXml/itemProps1.xml><?xml version="1.0" encoding="utf-8"?>
<ds:datastoreItem xmlns:ds="http://schemas.openxmlformats.org/officeDocument/2006/customXml" ds:itemID="{5511C627-7442-4233-9630-17DC84AF35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83EBCA-863A-436B-A527-CC08B7692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e15e69-3552-40cd-83f9-3ec4d5023832"/>
    <ds:schemaRef ds:uri="585d8181-a69d-4e2d-8cd5-c8eb7c9524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F3E372-5CBE-4261-A48B-3526F2BF96D5}">
  <ds:schemaRefs>
    <ds:schemaRef ds:uri="http://schemas.microsoft.com/office/2006/metadata/properties"/>
    <ds:schemaRef ds:uri="http://schemas.microsoft.com/office/infopath/2007/PartnerControls"/>
    <ds:schemaRef ds:uri="f0e15e69-3552-40cd-83f9-3ec4d5023832"/>
    <ds:schemaRef ds:uri="585d8181-a69d-4e2d-8cd5-c8eb7c9524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 Repayment Calculator</vt:lpstr>
      <vt:lpstr>Upfront payment calculator</vt:lpstr>
      <vt:lpstr>With GST (hidden)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Richie</dc:creator>
  <cp:keywords/>
  <dc:description/>
  <cp:lastModifiedBy>Alana Fergusson</cp:lastModifiedBy>
  <cp:revision/>
  <dcterms:created xsi:type="dcterms:W3CDTF">2021-07-21T23:09:59Z</dcterms:created>
  <dcterms:modified xsi:type="dcterms:W3CDTF">2022-11-01T00:37:25Z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0x010100F623B21500335343ACEE63E632D76FEA</vt:lpwstr>
  </property>
  <property fmtid="{D5CDD505-2E9C-101B-9397-08002B2CF9AE}" pid="3" name="MediaServiceImageTags">
    <vt:lpwstr/>
  </property>
</Properties>
</file>