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flori\Dropbox (CAP)\03 JUAN CARLOS FELIPE\UGTO\Taller\"/>
    </mc:Choice>
  </mc:AlternateContent>
  <xr:revisionPtr revIDLastSave="0" documentId="13_ncr:1_{FB3BCEDC-7D17-466F-8D69-85B54040CBFC}" xr6:coauthVersionLast="37" xr6:coauthVersionMax="37" xr10:uidLastSave="{00000000-0000-0000-0000-000000000000}"/>
  <bookViews>
    <workbookView xWindow="0" yWindow="3000" windowWidth="20490" windowHeight="7530" activeTab="3" xr2:uid="{D5CB24E2-6684-4587-8514-D6D87E392F2C}"/>
  </bookViews>
  <sheets>
    <sheet name="Datos Generales" sheetId="1" r:id="rId1"/>
    <sheet name="Punto de equilibrio" sheetId="2" r:id="rId2"/>
    <sheet name="Inversion" sheetId="3" r:id="rId3"/>
    <sheet name="TIR" sheetId="4" r:id="rId4"/>
  </sheets>
  <calcPr calcId="1790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U11" i="4" l="1"/>
  <c r="V11" i="4" s="1"/>
  <c r="S11" i="4"/>
  <c r="T11" i="4"/>
  <c r="C14" i="4"/>
  <c r="C26" i="4"/>
  <c r="D11" i="4" s="1"/>
  <c r="E11" i="4" s="1"/>
  <c r="F11" i="4" s="1"/>
  <c r="G11" i="4" s="1"/>
  <c r="H11" i="4" s="1"/>
  <c r="I11" i="4" s="1"/>
  <c r="J11" i="4" s="1"/>
  <c r="K11" i="4" s="1"/>
  <c r="L11" i="4" s="1"/>
  <c r="M11" i="4" s="1"/>
  <c r="N11" i="4" s="1"/>
  <c r="O11" i="4" s="1"/>
  <c r="W11" i="4" l="1"/>
  <c r="P11" i="4"/>
  <c r="E14" i="1"/>
  <c r="N41" i="2"/>
  <c r="G25" i="3"/>
  <c r="G23" i="3"/>
  <c r="G22" i="3"/>
  <c r="G18" i="3"/>
  <c r="G21" i="3"/>
  <c r="G20" i="3"/>
  <c r="G17" i="3"/>
  <c r="G15" i="3"/>
  <c r="G14" i="3"/>
  <c r="G13" i="3"/>
  <c r="G12" i="3"/>
  <c r="G11" i="3"/>
  <c r="G10" i="3"/>
  <c r="G9" i="3"/>
  <c r="G8" i="3"/>
  <c r="G7" i="3"/>
  <c r="G6" i="3"/>
  <c r="Q11" i="4" l="1"/>
  <c r="R11" i="4" s="1"/>
  <c r="C5" i="2"/>
  <c r="C25" i="4" s="1"/>
  <c r="N43" i="2" l="1"/>
  <c r="E26" i="2"/>
  <c r="C4" i="2"/>
  <c r="L35" i="1"/>
  <c r="L34" i="1"/>
  <c r="L33" i="1"/>
  <c r="L32" i="1"/>
  <c r="L31" i="1"/>
  <c r="L30" i="1"/>
  <c r="L29" i="1"/>
  <c r="L28" i="1"/>
  <c r="L27" i="1"/>
  <c r="L26" i="1"/>
  <c r="L25" i="1"/>
  <c r="L24" i="1"/>
  <c r="L23" i="1"/>
  <c r="L22" i="1"/>
  <c r="L21" i="1"/>
  <c r="L20" i="1"/>
  <c r="L19" i="1"/>
  <c r="L18" i="1"/>
  <c r="L17" i="1"/>
  <c r="L16" i="1"/>
  <c r="L15" i="1"/>
  <c r="L14" i="1"/>
  <c r="L13" i="1"/>
  <c r="L37" i="1" l="1"/>
  <c r="I29" i="2"/>
  <c r="M29" i="2" s="1"/>
  <c r="C7" i="2" l="1"/>
  <c r="C27" i="4" s="1"/>
  <c r="E19" i="1"/>
  <c r="F31" i="1" s="1"/>
  <c r="C6" i="2" s="1"/>
  <c r="D26" i="2" s="1"/>
  <c r="D7" i="2" l="1"/>
  <c r="I35" i="2"/>
  <c r="M35" i="2" s="1"/>
  <c r="C8" i="2"/>
  <c r="D8" i="2" s="1"/>
  <c r="F26" i="2"/>
  <c r="F27" i="2" s="1"/>
  <c r="F28" i="2" s="1"/>
  <c r="F29" i="2" s="1"/>
  <c r="F30" i="2" s="1"/>
  <c r="F31" i="2" s="1"/>
  <c r="F32" i="2" s="1"/>
  <c r="F33" i="2" s="1"/>
  <c r="F34" i="2" s="1"/>
  <c r="F35" i="2" s="1"/>
  <c r="F36" i="2" s="1"/>
  <c r="F37" i="2" s="1"/>
  <c r="F38" i="2" s="1"/>
  <c r="F39" i="2" s="1"/>
  <c r="F40" i="2" s="1"/>
  <c r="F41" i="2" s="1"/>
  <c r="F42" i="2" s="1"/>
  <c r="F43" i="2" s="1"/>
  <c r="F44" i="2" s="1"/>
  <c r="F45" i="2" s="1"/>
  <c r="J31" i="2"/>
  <c r="N31" i="2" s="1"/>
  <c r="C12" i="2"/>
  <c r="C23" i="4" s="1"/>
  <c r="M28" i="2" l="1"/>
  <c r="C24" i="4" s="1"/>
  <c r="D8" i="4" s="1"/>
  <c r="C27" i="2"/>
  <c r="C28" i="2" s="1"/>
  <c r="C16" i="2"/>
  <c r="I28" i="2"/>
  <c r="M34" i="2" l="1"/>
  <c r="N33" i="2" s="1"/>
  <c r="O37" i="2" s="1"/>
  <c r="O27" i="2"/>
  <c r="D12" i="4"/>
  <c r="E12" i="4" s="1"/>
  <c r="F12" i="4" s="1"/>
  <c r="G12" i="4" s="1"/>
  <c r="H12" i="4" s="1"/>
  <c r="I12" i="4" s="1"/>
  <c r="J12" i="4" s="1"/>
  <c r="K12" i="4" s="1"/>
  <c r="L12" i="4" s="1"/>
  <c r="M12" i="4" s="1"/>
  <c r="N12" i="4" s="1"/>
  <c r="O12" i="4" s="1"/>
  <c r="P12" i="4" s="1"/>
  <c r="Q12" i="4" s="1"/>
  <c r="R12" i="4" s="1"/>
  <c r="S12" i="4" s="1"/>
  <c r="T12" i="4" s="1"/>
  <c r="U12" i="4" s="1"/>
  <c r="V12" i="4" s="1"/>
  <c r="W12" i="4" s="1"/>
  <c r="E8" i="4"/>
  <c r="E28" i="2"/>
  <c r="D28" i="2"/>
  <c r="C29" i="2"/>
  <c r="C30" i="2" s="1"/>
  <c r="C31" i="2" s="1"/>
  <c r="D27" i="2"/>
  <c r="E27" i="2"/>
  <c r="I34" i="2"/>
  <c r="J33" i="2" s="1"/>
  <c r="K37" i="2" s="1"/>
  <c r="K27" i="2"/>
  <c r="D14" i="4" l="1"/>
  <c r="O39" i="2"/>
  <c r="K39" i="2"/>
  <c r="E29" i="2"/>
  <c r="F8" i="4"/>
  <c r="E14" i="4"/>
  <c r="E30" i="2"/>
  <c r="D30" i="2"/>
  <c r="D29" i="2"/>
  <c r="C32" i="2"/>
  <c r="D31" i="2"/>
  <c r="E31" i="2"/>
  <c r="F14" i="4" l="1"/>
  <c r="G8" i="4"/>
  <c r="C33" i="2"/>
  <c r="E32" i="2"/>
  <c r="D32" i="2"/>
  <c r="H8" i="4" l="1"/>
  <c r="G14" i="4"/>
  <c r="C34" i="2"/>
  <c r="D33" i="2"/>
  <c r="E33" i="2"/>
  <c r="H14" i="4" l="1"/>
  <c r="I8" i="4"/>
  <c r="C35" i="2"/>
  <c r="D34" i="2"/>
  <c r="E34" i="2"/>
  <c r="J8" i="4" l="1"/>
  <c r="I14" i="4"/>
  <c r="C36" i="2"/>
  <c r="D35" i="2"/>
  <c r="E35" i="2"/>
  <c r="K8" i="4" l="1"/>
  <c r="J14" i="4"/>
  <c r="C37" i="2"/>
  <c r="E36" i="2"/>
  <c r="D36" i="2"/>
  <c r="L8" i="4" l="1"/>
  <c r="K14" i="4"/>
  <c r="C38" i="2"/>
  <c r="D37" i="2"/>
  <c r="E37" i="2"/>
  <c r="M8" i="4" l="1"/>
  <c r="L14" i="4"/>
  <c r="C39" i="2"/>
  <c r="D38" i="2"/>
  <c r="E38" i="2"/>
  <c r="N8" i="4" l="1"/>
  <c r="M14" i="4"/>
  <c r="C40" i="2"/>
  <c r="D39" i="2"/>
  <c r="E39" i="2"/>
  <c r="O8" i="4" l="1"/>
  <c r="N14" i="4"/>
  <c r="C41" i="2"/>
  <c r="E40" i="2"/>
  <c r="D40" i="2"/>
  <c r="P8" i="4" l="1"/>
  <c r="O14" i="4"/>
  <c r="C42" i="2"/>
  <c r="D41" i="2"/>
  <c r="E41" i="2"/>
  <c r="P14" i="4" l="1"/>
  <c r="Q8" i="4"/>
  <c r="C43" i="2"/>
  <c r="D42" i="2"/>
  <c r="E42" i="2"/>
  <c r="Q14" i="4" l="1"/>
  <c r="R8" i="4"/>
  <c r="C44" i="2"/>
  <c r="D43" i="2"/>
  <c r="E43" i="2"/>
  <c r="R14" i="4" l="1"/>
  <c r="S8" i="4"/>
  <c r="C45" i="2"/>
  <c r="E44" i="2"/>
  <c r="D44" i="2"/>
  <c r="S14" i="4" l="1"/>
  <c r="T8" i="4"/>
  <c r="D45" i="2"/>
  <c r="E45" i="2"/>
  <c r="T14" i="4" l="1"/>
  <c r="U8" i="4"/>
  <c r="V8" i="4" l="1"/>
  <c r="U14" i="4"/>
  <c r="W8" i="4" l="1"/>
  <c r="W14" i="4" s="1"/>
  <c r="V14" i="4"/>
  <c r="W17" i="4" s="1"/>
  <c r="W18" i="4" l="1"/>
</calcChain>
</file>

<file path=xl/sharedStrings.xml><?xml version="1.0" encoding="utf-8"?>
<sst xmlns="http://schemas.openxmlformats.org/spreadsheetml/2006/main" count="196" uniqueCount="151">
  <si>
    <t>Tabla de ayuda para punto de equilibrio</t>
  </si>
  <si>
    <t>Costos Fijos</t>
  </si>
  <si>
    <t xml:space="preserve"> - Renta del inmueble</t>
  </si>
  <si>
    <t xml:space="preserve"> - Energia Electrica</t>
  </si>
  <si>
    <t>Producto:</t>
  </si>
  <si>
    <t>Calzado</t>
  </si>
  <si>
    <t>Precio de venta por par</t>
  </si>
  <si>
    <t xml:space="preserve"> - Agua potable</t>
  </si>
  <si>
    <t xml:space="preserve"> - Sueldos administrativos</t>
  </si>
  <si>
    <t xml:space="preserve"> - Depreciacion de maquinaria</t>
  </si>
  <si>
    <t xml:space="preserve"> - Permisos y licencias</t>
  </si>
  <si>
    <t>Costos Fijos (mensuales)</t>
  </si>
  <si>
    <t xml:space="preserve"> - Seguro del inmueble</t>
  </si>
  <si>
    <t xml:space="preserve"> - Publicidad</t>
  </si>
  <si>
    <t xml:space="preserve"> - Costo social</t>
  </si>
  <si>
    <t xml:space="preserve"> - Capacitaciones</t>
  </si>
  <si>
    <t xml:space="preserve"> - Telefono e internet</t>
  </si>
  <si>
    <t xml:space="preserve"> - Mantenimiento de maquinaria</t>
  </si>
  <si>
    <t xml:space="preserve"> - Otros</t>
  </si>
  <si>
    <t>Total Costos Fijos</t>
  </si>
  <si>
    <t>Gastos Variables (Identificados por unidad)</t>
  </si>
  <si>
    <t>Oropal</t>
  </si>
  <si>
    <t>Plantila</t>
  </si>
  <si>
    <t>Papel embarque (china)</t>
  </si>
  <si>
    <t>Agujeta</t>
  </si>
  <si>
    <t>Caja</t>
  </si>
  <si>
    <t>Caja de embarque (48z)</t>
  </si>
  <si>
    <t>Cintillo ( bandera)</t>
  </si>
  <si>
    <t>Sintetico</t>
  </si>
  <si>
    <t>Velur</t>
  </si>
  <si>
    <t>Papel coral (relleno)</t>
  </si>
  <si>
    <t>Transfer</t>
  </si>
  <si>
    <t>Pegamento Montado (Comercial)</t>
  </si>
  <si>
    <t>Pegamento Esuelado(comercial)</t>
  </si>
  <si>
    <t>Alojenador (comercial)</t>
  </si>
  <si>
    <t>Quita rayas (comercial)</t>
  </si>
  <si>
    <t>Lavador (Comercial)</t>
  </si>
  <si>
    <t>Pegamento (Axia)</t>
  </si>
  <si>
    <t>Hilo Numero 8</t>
  </si>
  <si>
    <t>Hilo Numero 30</t>
  </si>
  <si>
    <t>Tachuelas</t>
  </si>
  <si>
    <t>Parches ( Flor )</t>
  </si>
  <si>
    <t>Material</t>
  </si>
  <si>
    <t>Unidad</t>
  </si>
  <si>
    <t>Prs</t>
  </si>
  <si>
    <t>Pza</t>
  </si>
  <si>
    <t>Cm</t>
  </si>
  <si>
    <t>dm</t>
  </si>
  <si>
    <t>Galon</t>
  </si>
  <si>
    <t>Galon (20l)</t>
  </si>
  <si>
    <t>Lt</t>
  </si>
  <si>
    <t>10 ml</t>
  </si>
  <si>
    <t>Piña</t>
  </si>
  <si>
    <t>prs</t>
  </si>
  <si>
    <t>Precio unit</t>
  </si>
  <si>
    <t>Consumo</t>
  </si>
  <si>
    <t>Suela</t>
  </si>
  <si>
    <t>Costo</t>
  </si>
  <si>
    <t>Total costo variable por unidad</t>
  </si>
  <si>
    <t>Precio de Venta</t>
  </si>
  <si>
    <t>Costos fijos mensuales</t>
  </si>
  <si>
    <t>Costos variables por unidad</t>
  </si>
  <si>
    <t>Datos para Punto de Equilibrio</t>
  </si>
  <si>
    <t>Punto de Equilibrio</t>
  </si>
  <si>
    <t>Unidades</t>
  </si>
  <si>
    <t>(Precio unitario - Costo variable unitario)</t>
  </si>
  <si>
    <t>Punto de equilibrio     =</t>
  </si>
  <si>
    <t>Ingreso de equilibrio</t>
  </si>
  <si>
    <t>Pesos</t>
  </si>
  <si>
    <t>Costo total</t>
  </si>
  <si>
    <t>Ingresos</t>
  </si>
  <si>
    <t>Costo fijo</t>
  </si>
  <si>
    <t>Us Vend</t>
  </si>
  <si>
    <t>meses</t>
  </si>
  <si>
    <t>Estado de Resultados en PE</t>
  </si>
  <si>
    <t xml:space="preserve"> - Unidades</t>
  </si>
  <si>
    <t xml:space="preserve"> - P de venta</t>
  </si>
  <si>
    <t>Costos fijos</t>
  </si>
  <si>
    <t>Costos variables</t>
  </si>
  <si>
    <t xml:space="preserve"> - CVU</t>
  </si>
  <si>
    <t>Costos Totales</t>
  </si>
  <si>
    <t>Utilidad</t>
  </si>
  <si>
    <t>Estado de Resultados en Proyeccion</t>
  </si>
  <si>
    <t>Inversion en proyecto</t>
  </si>
  <si>
    <t>Retorno de inversion</t>
  </si>
  <si>
    <t>Utilidades deseadas</t>
  </si>
  <si>
    <t>Proyeccion de utilidades</t>
  </si>
  <si>
    <t>(Precio venta - Costo variable unitario)</t>
  </si>
  <si>
    <t>Costos Fijos + Utilidad deseada</t>
  </si>
  <si>
    <t>Margen de contribucion</t>
  </si>
  <si>
    <t>Inversion Inicial</t>
  </si>
  <si>
    <t>Maquinaria</t>
  </si>
  <si>
    <t>Maquina de cortar</t>
  </si>
  <si>
    <t>Cantidad</t>
  </si>
  <si>
    <t>Precio</t>
  </si>
  <si>
    <t>Inversion</t>
  </si>
  <si>
    <t>Maquina de pespunte</t>
  </si>
  <si>
    <t>Bancos de trabajo</t>
  </si>
  <si>
    <t>Banda de trabajo</t>
  </si>
  <si>
    <t>Maquina de coser</t>
  </si>
  <si>
    <t>Maquina de flameo</t>
  </si>
  <si>
    <t>Maquina de ojillar</t>
  </si>
  <si>
    <t>Corrida de moldes</t>
  </si>
  <si>
    <t>Compresor</t>
  </si>
  <si>
    <t>pza</t>
  </si>
  <si>
    <t>Otras</t>
  </si>
  <si>
    <t>Capital de trabajo</t>
  </si>
  <si>
    <t>Inventarios de MP</t>
  </si>
  <si>
    <t>Otros</t>
  </si>
  <si>
    <t>Tramites legales</t>
  </si>
  <si>
    <t>Marcas</t>
  </si>
  <si>
    <t>Camioneta</t>
  </si>
  <si>
    <t>Diseños</t>
  </si>
  <si>
    <t>Total Inversion inicial</t>
  </si>
  <si>
    <t>Mano de obra identificada</t>
  </si>
  <si>
    <t xml:space="preserve"> - Ingresos por aportacion</t>
  </si>
  <si>
    <t xml:space="preserve"> - Ingresos por ventas</t>
  </si>
  <si>
    <t>Egresos</t>
  </si>
  <si>
    <t xml:space="preserve"> - Costos fijos</t>
  </si>
  <si>
    <t xml:space="preserve"> - Costos variables</t>
  </si>
  <si>
    <t>Determinacion de la TIR</t>
  </si>
  <si>
    <t>Datos</t>
  </si>
  <si>
    <t>Unidades en PE</t>
  </si>
  <si>
    <t>Unidades proyectadas</t>
  </si>
  <si>
    <t>Precio de venta</t>
  </si>
  <si>
    <t>Costo variable unitario</t>
  </si>
  <si>
    <t>Flujo</t>
  </si>
  <si>
    <t>TIR</t>
  </si>
  <si>
    <t>Tasa de descuento</t>
  </si>
  <si>
    <t>VAN</t>
  </si>
  <si>
    <t>Periodo 0</t>
  </si>
  <si>
    <t>Periodo 1</t>
  </si>
  <si>
    <t>Periodo 2</t>
  </si>
  <si>
    <t>Periodo 3</t>
  </si>
  <si>
    <t>Periodo 4</t>
  </si>
  <si>
    <t>Periodo 5</t>
  </si>
  <si>
    <t>Periodo 6</t>
  </si>
  <si>
    <t>Periodo 7</t>
  </si>
  <si>
    <t>Periodo 8</t>
  </si>
  <si>
    <t>Periodo 9</t>
  </si>
  <si>
    <t>Periodo 10</t>
  </si>
  <si>
    <t>Periodo 11</t>
  </si>
  <si>
    <t>Periodo 12</t>
  </si>
  <si>
    <t>Periodo 13</t>
  </si>
  <si>
    <t>Periodo 14</t>
  </si>
  <si>
    <t>Periodo 15</t>
  </si>
  <si>
    <t>Periodo 16</t>
  </si>
  <si>
    <t>Periodo 17</t>
  </si>
  <si>
    <t>Periodo 18</t>
  </si>
  <si>
    <t>Periodo 19</t>
  </si>
  <si>
    <t>Periodo 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</si>
</sst>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86">
    <xf numFmtId="0" fontId="0" fillId="0" borderId="0" xfId="0"/>
    <xf numFmtId="0" fontId="2" fillId="0" borderId="0" xfId="0" applyFont="1"/>
    <xf numFmtId="43" fontId="0" fillId="0" borderId="0" xfId="1" applyFont="1"/>
    <xf numFmtId="43" fontId="0" fillId="0" borderId="2" xfId="1" applyFont="1" applyBorder="1"/>
    <xf numFmtId="0" fontId="0" fillId="0" borderId="1" xfId="0" applyBorder="1" applyAlignment="1">
      <alignment horizontal="center"/>
    </xf>
    <xf numFmtId="0" fontId="0" fillId="0" borderId="1" xfId="0" applyBorder="1" applyAlignment="1"/>
    <xf numFmtId="43" fontId="0" fillId="0" borderId="1" xfId="1" applyFont="1" applyBorder="1"/>
    <xf numFmtId="43" fontId="0" fillId="0" borderId="0" xfId="0" applyNumberFormat="1"/>
    <xf numFmtId="43" fontId="2" fillId="0" borderId="0" xfId="0" applyNumberFormat="1" applyFont="1"/>
    <xf numFmtId="43" fontId="2" fillId="0" borderId="3" xfId="0" applyNumberFormat="1" applyFont="1" applyBorder="1"/>
    <xf numFmtId="0" fontId="3" fillId="0" borderId="0" xfId="0" applyFont="1"/>
    <xf numFmtId="43" fontId="2" fillId="0" borderId="0" xfId="0" applyNumberFormat="1" applyFont="1" applyBorder="1"/>
    <xf numFmtId="0" fontId="2" fillId="0" borderId="4" xfId="0" applyFont="1" applyBorder="1"/>
    <xf numFmtId="0" fontId="2" fillId="0" borderId="4" xfId="0" applyFont="1" applyFill="1" applyBorder="1" applyAlignment="1">
      <alignment horizontal="center"/>
    </xf>
    <xf numFmtId="44" fontId="0" fillId="0" borderId="2" xfId="2" applyFont="1" applyBorder="1" applyAlignment="1"/>
    <xf numFmtId="44" fontId="2" fillId="0" borderId="0" xfId="0" applyNumberFormat="1" applyFont="1"/>
    <xf numFmtId="0" fontId="2" fillId="0" borderId="4" xfId="0" applyFont="1" applyBorder="1" applyAlignment="1">
      <alignment horizontal="center"/>
    </xf>
    <xf numFmtId="0" fontId="0" fillId="2" borderId="5" xfId="0" applyFill="1" applyBorder="1"/>
    <xf numFmtId="0" fontId="0" fillId="2" borderId="6" xfId="0" applyFill="1" applyBorder="1"/>
    <xf numFmtId="0" fontId="0" fillId="2" borderId="7" xfId="0" applyFill="1" applyBorder="1"/>
    <xf numFmtId="0" fontId="2" fillId="2" borderId="8" xfId="0" applyFont="1" applyFill="1" applyBorder="1" applyAlignment="1">
      <alignment horizontal="right"/>
    </xf>
    <xf numFmtId="164" fontId="2" fillId="2" borderId="0" xfId="1" applyNumberFormat="1" applyFont="1" applyFill="1" applyBorder="1"/>
    <xf numFmtId="0" fontId="0" fillId="2" borderId="9" xfId="0" applyFill="1" applyBorder="1"/>
    <xf numFmtId="0" fontId="0" fillId="2" borderId="10" xfId="0" applyFill="1" applyBorder="1"/>
    <xf numFmtId="0" fontId="0" fillId="2" borderId="4" xfId="0" applyFill="1" applyBorder="1"/>
    <xf numFmtId="0" fontId="0" fillId="2" borderId="11" xfId="0" applyFill="1" applyBorder="1"/>
    <xf numFmtId="0" fontId="0" fillId="3" borderId="5" xfId="0" applyFill="1" applyBorder="1"/>
    <xf numFmtId="0" fontId="0" fillId="3" borderId="6" xfId="0" applyFill="1" applyBorder="1"/>
    <xf numFmtId="0" fontId="0" fillId="3" borderId="7" xfId="0" applyFill="1" applyBorder="1"/>
    <xf numFmtId="0" fontId="0" fillId="3" borderId="8" xfId="0" applyFill="1" applyBorder="1" applyAlignment="1">
      <alignment horizontal="center"/>
    </xf>
    <xf numFmtId="0" fontId="0" fillId="3" borderId="8" xfId="0" applyFill="1" applyBorder="1"/>
    <xf numFmtId="0" fontId="0" fillId="3" borderId="0" xfId="0" applyFill="1" applyBorder="1"/>
    <xf numFmtId="0" fontId="0" fillId="3" borderId="9" xfId="0" applyFill="1" applyBorder="1"/>
    <xf numFmtId="0" fontId="0" fillId="3" borderId="10" xfId="0" applyFill="1" applyBorder="1"/>
    <xf numFmtId="0" fontId="0" fillId="3" borderId="4" xfId="0" applyFill="1" applyBorder="1"/>
    <xf numFmtId="0" fontId="0" fillId="3" borderId="11" xfId="0" applyFill="1" applyBorder="1"/>
    <xf numFmtId="44" fontId="2" fillId="2" borderId="0" xfId="2" applyFont="1" applyFill="1" applyBorder="1"/>
    <xf numFmtId="0" fontId="0" fillId="0" borderId="0" xfId="0" applyFill="1" applyBorder="1"/>
    <xf numFmtId="43" fontId="0" fillId="0" borderId="0" xfId="1" applyFont="1" applyBorder="1" applyAlignment="1">
      <alignment horizontal="center"/>
    </xf>
    <xf numFmtId="43" fontId="0" fillId="0" borderId="0" xfId="0" applyNumberFormat="1" applyFont="1" applyBorder="1" applyAlignment="1">
      <alignment horizontal="center"/>
    </xf>
    <xf numFmtId="0" fontId="0" fillId="4" borderId="8" xfId="0" applyFill="1" applyBorder="1"/>
    <xf numFmtId="0" fontId="0" fillId="4" borderId="0" xfId="0" applyFill="1" applyBorder="1"/>
    <xf numFmtId="0" fontId="0" fillId="4" borderId="9" xfId="0" applyFill="1" applyBorder="1"/>
    <xf numFmtId="0" fontId="2" fillId="4" borderId="8" xfId="0" applyFont="1" applyFill="1" applyBorder="1"/>
    <xf numFmtId="43" fontId="2" fillId="4" borderId="9" xfId="0" applyNumberFormat="1" applyFont="1" applyFill="1" applyBorder="1"/>
    <xf numFmtId="43" fontId="0" fillId="4" borderId="0" xfId="1" applyFont="1" applyFill="1" applyBorder="1"/>
    <xf numFmtId="44" fontId="0" fillId="4" borderId="1" xfId="0" applyNumberFormat="1" applyFill="1" applyBorder="1"/>
    <xf numFmtId="43" fontId="2" fillId="4" borderId="0" xfId="0" applyNumberFormat="1" applyFont="1" applyFill="1" applyBorder="1"/>
    <xf numFmtId="0" fontId="2" fillId="4" borderId="0" xfId="0" applyFont="1" applyFill="1" applyBorder="1"/>
    <xf numFmtId="43" fontId="0" fillId="4" borderId="0" xfId="0" applyNumberFormat="1" applyFill="1" applyBorder="1"/>
    <xf numFmtId="0" fontId="0" fillId="4" borderId="8" xfId="0" applyFont="1" applyFill="1" applyBorder="1"/>
    <xf numFmtId="0" fontId="2" fillId="4" borderId="10" xfId="0" applyFont="1" applyFill="1" applyBorder="1"/>
    <xf numFmtId="0" fontId="0" fillId="4" borderId="4" xfId="0" applyFill="1" applyBorder="1"/>
    <xf numFmtId="43" fontId="2" fillId="4" borderId="11" xfId="0" applyNumberFormat="1" applyFont="1" applyFill="1" applyBorder="1"/>
    <xf numFmtId="0" fontId="0" fillId="4" borderId="5" xfId="0" applyFill="1" applyBorder="1"/>
    <xf numFmtId="0" fontId="0" fillId="4" borderId="6" xfId="0" applyFill="1" applyBorder="1"/>
    <xf numFmtId="0" fontId="0" fillId="4" borderId="7" xfId="0" applyFill="1" applyBorder="1"/>
    <xf numFmtId="43" fontId="4" fillId="0" borderId="0" xfId="1" applyFont="1"/>
    <xf numFmtId="43" fontId="2" fillId="0" borderId="0" xfId="1" applyFont="1"/>
    <xf numFmtId="44" fontId="0" fillId="4" borderId="0" xfId="0" applyNumberFormat="1" applyFill="1" applyBorder="1"/>
    <xf numFmtId="10" fontId="5" fillId="0" borderId="0" xfId="3" applyNumberFormat="1" applyFont="1"/>
    <xf numFmtId="0" fontId="2" fillId="3" borderId="4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/>
    <xf numFmtId="0" fontId="2" fillId="0" borderId="1" xfId="0" applyFont="1" applyBorder="1" applyAlignment="1">
      <alignment horizontal="center"/>
    </xf>
    <xf numFmtId="43" fontId="2" fillId="0" borderId="1" xfId="1" applyFont="1" applyBorder="1" applyAlignment="1">
      <alignment horizontal="center"/>
    </xf>
    <xf numFmtId="0" fontId="2" fillId="0" borderId="0" xfId="0" applyFont="1" applyAlignment="1">
      <alignment horizontal="left"/>
    </xf>
    <xf numFmtId="44" fontId="0" fillId="0" borderId="0" xfId="0" applyNumberFormat="1"/>
    <xf numFmtId="164" fontId="0" fillId="0" borderId="0" xfId="0" applyNumberFormat="1"/>
    <xf numFmtId="164" fontId="0" fillId="0" borderId="0" xfId="1" applyNumberFormat="1" applyFont="1"/>
    <xf numFmtId="0" fontId="2" fillId="0" borderId="0" xfId="0" applyFont="1" applyAlignment="1">
      <alignment horizontal="center"/>
    </xf>
    <xf numFmtId="9" fontId="0" fillId="0" borderId="0" xfId="0" applyNumberFormat="1"/>
    <xf numFmtId="10" fontId="0" fillId="0" borderId="0" xfId="0" applyNumberFormat="1"/>
    <xf numFmtId="8" fontId="0" fillId="0" borderId="0" xfId="0" applyNumberFormat="1"/>
    <xf numFmtId="8" fontId="2" fillId="0" borderId="0" xfId="1" applyNumberFormat="1" applyFont="1"/>
    <xf numFmtId="10" fontId="2" fillId="0" borderId="0" xfId="0" applyNumberFormat="1" applyFont="1"/>
    <xf numFmtId="0" fontId="6" fillId="5" borderId="1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3" borderId="11" xfId="0" applyFill="1" applyBorder="1" applyAlignment="1">
      <alignment horizontal="center"/>
    </xf>
    <xf numFmtId="0" fontId="2" fillId="3" borderId="12" xfId="0" applyFont="1" applyFill="1" applyBorder="1" applyAlignment="1">
      <alignment horizontal="center"/>
    </xf>
    <xf numFmtId="0" fontId="2" fillId="3" borderId="13" xfId="0" applyFont="1" applyFill="1" applyBorder="1" applyAlignment="1">
      <alignment horizontal="center"/>
    </xf>
    <xf numFmtId="0" fontId="2" fillId="3" borderId="14" xfId="0" applyFont="1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2" fillId="5" borderId="1" xfId="0" applyFont="1" applyFill="1" applyBorder="1" applyAlignment="1">
      <alignment horizontal="center"/>
    </xf>
  </cellXfs>
  <cellStyles count="4">
    <cellStyle name="Millares" xfId="1" builtinId="3"/>
    <cellStyle name="Moneda" xfId="2" builtinId="4"/>
    <cellStyle name="Normal" xfId="0" builtinId="0"/>
    <cellStyle name="Porcentaje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/>
              <a:t>Punto de equilibrio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'Punto de equilibrio'!$D$25</c:f>
              <c:strCache>
                <c:ptCount val="1"/>
                <c:pt idx="0">
                  <c:v>Costo total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'Punto de equilibrio'!$C$26:$C$45</c:f>
              <c:numCache>
                <c:formatCode>General</c:formatCode>
                <c:ptCount val="20"/>
                <c:pt idx="0">
                  <c:v>0</c:v>
                </c:pt>
                <c:pt idx="1">
                  <c:v>355</c:v>
                </c:pt>
                <c:pt idx="2">
                  <c:v>710</c:v>
                </c:pt>
                <c:pt idx="3">
                  <c:v>1065</c:v>
                </c:pt>
                <c:pt idx="4">
                  <c:v>1420</c:v>
                </c:pt>
                <c:pt idx="5">
                  <c:v>1775</c:v>
                </c:pt>
                <c:pt idx="6">
                  <c:v>2130</c:v>
                </c:pt>
                <c:pt idx="7">
                  <c:v>2485</c:v>
                </c:pt>
                <c:pt idx="8">
                  <c:v>2840</c:v>
                </c:pt>
                <c:pt idx="9">
                  <c:v>3195</c:v>
                </c:pt>
                <c:pt idx="10">
                  <c:v>3550</c:v>
                </c:pt>
                <c:pt idx="11">
                  <c:v>3905</c:v>
                </c:pt>
                <c:pt idx="12">
                  <c:v>4260</c:v>
                </c:pt>
                <c:pt idx="13">
                  <c:v>4615</c:v>
                </c:pt>
                <c:pt idx="14">
                  <c:v>4970</c:v>
                </c:pt>
                <c:pt idx="15">
                  <c:v>5325</c:v>
                </c:pt>
                <c:pt idx="16">
                  <c:v>5680</c:v>
                </c:pt>
                <c:pt idx="17">
                  <c:v>6035</c:v>
                </c:pt>
                <c:pt idx="18">
                  <c:v>6390</c:v>
                </c:pt>
                <c:pt idx="19">
                  <c:v>6745</c:v>
                </c:pt>
              </c:numCache>
            </c:numRef>
          </c:xVal>
          <c:yVal>
            <c:numRef>
              <c:f>'Punto de equilibrio'!$D$26:$D$45</c:f>
              <c:numCache>
                <c:formatCode>_(* #,##0.00_);_(* \(#,##0.00\);_(* "-"??_);_(@_)</c:formatCode>
                <c:ptCount val="20"/>
                <c:pt idx="0">
                  <c:v>354380</c:v>
                </c:pt>
                <c:pt idx="1">
                  <c:v>389993.77777415299</c:v>
                </c:pt>
                <c:pt idx="2">
                  <c:v>425607.55554830597</c:v>
                </c:pt>
                <c:pt idx="3">
                  <c:v>461221.3333224589</c:v>
                </c:pt>
                <c:pt idx="4">
                  <c:v>496835.11109661189</c:v>
                </c:pt>
                <c:pt idx="5">
                  <c:v>532448.88887076487</c:v>
                </c:pt>
                <c:pt idx="6">
                  <c:v>568062.6666449178</c:v>
                </c:pt>
                <c:pt idx="7">
                  <c:v>603676.44441907085</c:v>
                </c:pt>
                <c:pt idx="8">
                  <c:v>639290.22219322377</c:v>
                </c:pt>
                <c:pt idx="9">
                  <c:v>674903.9999673767</c:v>
                </c:pt>
                <c:pt idx="10">
                  <c:v>710517.77774152975</c:v>
                </c:pt>
                <c:pt idx="11">
                  <c:v>746131.55551568267</c:v>
                </c:pt>
                <c:pt idx="12">
                  <c:v>781745.3332898356</c:v>
                </c:pt>
                <c:pt idx="13">
                  <c:v>817359.11106398865</c:v>
                </c:pt>
                <c:pt idx="14">
                  <c:v>852972.88883814169</c:v>
                </c:pt>
                <c:pt idx="15">
                  <c:v>888586.66661229462</c:v>
                </c:pt>
                <c:pt idx="16">
                  <c:v>924200.44438644755</c:v>
                </c:pt>
                <c:pt idx="17">
                  <c:v>959814.22216060048</c:v>
                </c:pt>
                <c:pt idx="18">
                  <c:v>995427.99993475352</c:v>
                </c:pt>
                <c:pt idx="19">
                  <c:v>1031041.7777089064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11F-47D6-8022-5262140D297C}"/>
            </c:ext>
          </c:extLst>
        </c:ser>
        <c:ser>
          <c:idx val="1"/>
          <c:order val="1"/>
          <c:tx>
            <c:strRef>
              <c:f>'Punto de equilibrio'!$E$25</c:f>
              <c:strCache>
                <c:ptCount val="1"/>
                <c:pt idx="0">
                  <c:v>Ingresos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'Punto de equilibrio'!$C$26:$C$45</c:f>
              <c:numCache>
                <c:formatCode>General</c:formatCode>
                <c:ptCount val="20"/>
                <c:pt idx="0">
                  <c:v>0</c:v>
                </c:pt>
                <c:pt idx="1">
                  <c:v>355</c:v>
                </c:pt>
                <c:pt idx="2">
                  <c:v>710</c:v>
                </c:pt>
                <c:pt idx="3">
                  <c:v>1065</c:v>
                </c:pt>
                <c:pt idx="4">
                  <c:v>1420</c:v>
                </c:pt>
                <c:pt idx="5">
                  <c:v>1775</c:v>
                </c:pt>
                <c:pt idx="6">
                  <c:v>2130</c:v>
                </c:pt>
                <c:pt idx="7">
                  <c:v>2485</c:v>
                </c:pt>
                <c:pt idx="8">
                  <c:v>2840</c:v>
                </c:pt>
                <c:pt idx="9">
                  <c:v>3195</c:v>
                </c:pt>
                <c:pt idx="10">
                  <c:v>3550</c:v>
                </c:pt>
                <c:pt idx="11">
                  <c:v>3905</c:v>
                </c:pt>
                <c:pt idx="12">
                  <c:v>4260</c:v>
                </c:pt>
                <c:pt idx="13">
                  <c:v>4615</c:v>
                </c:pt>
                <c:pt idx="14">
                  <c:v>4970</c:v>
                </c:pt>
                <c:pt idx="15">
                  <c:v>5325</c:v>
                </c:pt>
                <c:pt idx="16">
                  <c:v>5680</c:v>
                </c:pt>
                <c:pt idx="17">
                  <c:v>6035</c:v>
                </c:pt>
                <c:pt idx="18">
                  <c:v>6390</c:v>
                </c:pt>
                <c:pt idx="19">
                  <c:v>6745</c:v>
                </c:pt>
              </c:numCache>
            </c:numRef>
          </c:xVal>
          <c:yVal>
            <c:numRef>
              <c:f>'Punto de equilibrio'!$E$26:$E$45</c:f>
              <c:numCache>
                <c:formatCode>_(* #,##0.00_);_(* \(#,##0.00\);_(* "-"??_);_(@_)</c:formatCode>
                <c:ptCount val="20"/>
                <c:pt idx="0">
                  <c:v>0</c:v>
                </c:pt>
                <c:pt idx="1">
                  <c:v>71000</c:v>
                </c:pt>
                <c:pt idx="2">
                  <c:v>142000</c:v>
                </c:pt>
                <c:pt idx="3">
                  <c:v>213000</c:v>
                </c:pt>
                <c:pt idx="4">
                  <c:v>284000</c:v>
                </c:pt>
                <c:pt idx="5">
                  <c:v>355000</c:v>
                </c:pt>
                <c:pt idx="6">
                  <c:v>426000</c:v>
                </c:pt>
                <c:pt idx="7">
                  <c:v>497000</c:v>
                </c:pt>
                <c:pt idx="8">
                  <c:v>568000</c:v>
                </c:pt>
                <c:pt idx="9">
                  <c:v>639000</c:v>
                </c:pt>
                <c:pt idx="10">
                  <c:v>710000</c:v>
                </c:pt>
                <c:pt idx="11">
                  <c:v>781000</c:v>
                </c:pt>
                <c:pt idx="12">
                  <c:v>852000</c:v>
                </c:pt>
                <c:pt idx="13">
                  <c:v>923000</c:v>
                </c:pt>
                <c:pt idx="14">
                  <c:v>994000</c:v>
                </c:pt>
                <c:pt idx="15">
                  <c:v>1065000</c:v>
                </c:pt>
                <c:pt idx="16">
                  <c:v>1136000</c:v>
                </c:pt>
                <c:pt idx="17">
                  <c:v>1207000</c:v>
                </c:pt>
                <c:pt idx="18">
                  <c:v>1278000</c:v>
                </c:pt>
                <c:pt idx="19">
                  <c:v>1349000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11F-47D6-8022-5262140D297C}"/>
            </c:ext>
          </c:extLst>
        </c:ser>
        <c:ser>
          <c:idx val="2"/>
          <c:order val="2"/>
          <c:tx>
            <c:strRef>
              <c:f>'Punto de equilibrio'!$F$25</c:f>
              <c:strCache>
                <c:ptCount val="1"/>
                <c:pt idx="0">
                  <c:v>Costo fijo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'Punto de equilibrio'!$C$26:$C$45</c:f>
              <c:numCache>
                <c:formatCode>General</c:formatCode>
                <c:ptCount val="20"/>
                <c:pt idx="0">
                  <c:v>0</c:v>
                </c:pt>
                <c:pt idx="1">
                  <c:v>355</c:v>
                </c:pt>
                <c:pt idx="2">
                  <c:v>710</c:v>
                </c:pt>
                <c:pt idx="3">
                  <c:v>1065</c:v>
                </c:pt>
                <c:pt idx="4">
                  <c:v>1420</c:v>
                </c:pt>
                <c:pt idx="5">
                  <c:v>1775</c:v>
                </c:pt>
                <c:pt idx="6">
                  <c:v>2130</c:v>
                </c:pt>
                <c:pt idx="7">
                  <c:v>2485</c:v>
                </c:pt>
                <c:pt idx="8">
                  <c:v>2840</c:v>
                </c:pt>
                <c:pt idx="9">
                  <c:v>3195</c:v>
                </c:pt>
                <c:pt idx="10">
                  <c:v>3550</c:v>
                </c:pt>
                <c:pt idx="11">
                  <c:v>3905</c:v>
                </c:pt>
                <c:pt idx="12">
                  <c:v>4260</c:v>
                </c:pt>
                <c:pt idx="13">
                  <c:v>4615</c:v>
                </c:pt>
                <c:pt idx="14">
                  <c:v>4970</c:v>
                </c:pt>
                <c:pt idx="15">
                  <c:v>5325</c:v>
                </c:pt>
                <c:pt idx="16">
                  <c:v>5680</c:v>
                </c:pt>
                <c:pt idx="17">
                  <c:v>6035</c:v>
                </c:pt>
                <c:pt idx="18">
                  <c:v>6390</c:v>
                </c:pt>
                <c:pt idx="19">
                  <c:v>6745</c:v>
                </c:pt>
              </c:numCache>
            </c:numRef>
          </c:xVal>
          <c:yVal>
            <c:numRef>
              <c:f>'Punto de equilibrio'!$F$26:$F$45</c:f>
              <c:numCache>
                <c:formatCode>_(* #,##0.00_);_(* \(#,##0.00\);_(* "-"??_);_(@_)</c:formatCode>
                <c:ptCount val="20"/>
                <c:pt idx="0">
                  <c:v>354380</c:v>
                </c:pt>
                <c:pt idx="1">
                  <c:v>354380</c:v>
                </c:pt>
                <c:pt idx="2">
                  <c:v>354380</c:v>
                </c:pt>
                <c:pt idx="3">
                  <c:v>354380</c:v>
                </c:pt>
                <c:pt idx="4">
                  <c:v>354380</c:v>
                </c:pt>
                <c:pt idx="5">
                  <c:v>354380</c:v>
                </c:pt>
                <c:pt idx="6">
                  <c:v>354380</c:v>
                </c:pt>
                <c:pt idx="7">
                  <c:v>354380</c:v>
                </c:pt>
                <c:pt idx="8">
                  <c:v>354380</c:v>
                </c:pt>
                <c:pt idx="9">
                  <c:v>354380</c:v>
                </c:pt>
                <c:pt idx="10">
                  <c:v>354380</c:v>
                </c:pt>
                <c:pt idx="11">
                  <c:v>354380</c:v>
                </c:pt>
                <c:pt idx="12">
                  <c:v>354380</c:v>
                </c:pt>
                <c:pt idx="13">
                  <c:v>354380</c:v>
                </c:pt>
                <c:pt idx="14">
                  <c:v>354380</c:v>
                </c:pt>
                <c:pt idx="15">
                  <c:v>354380</c:v>
                </c:pt>
                <c:pt idx="16">
                  <c:v>354380</c:v>
                </c:pt>
                <c:pt idx="17">
                  <c:v>354380</c:v>
                </c:pt>
                <c:pt idx="18">
                  <c:v>354380</c:v>
                </c:pt>
                <c:pt idx="19">
                  <c:v>354380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11F-47D6-8022-5262140D2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132848"/>
        <c:axId val="605135144"/>
      </c:scatterChart>
      <c:valAx>
        <c:axId val="60513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05135144"/>
        <c:crosses val="autoZero"/>
        <c:crossBetween val="midCat"/>
      </c:valAx>
      <c:valAx>
        <c:axId val="605135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051328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685799</xdr:colOff>
      <xdr:row>2</xdr:row>
      <xdr:rowOff>0</xdr:rowOff>
    </xdr:from>
    <xdr:to>
      <xdr:col>11</xdr:col>
      <xdr:colOff>670000</xdr:colOff>
      <xdr:row>8</xdr:row>
      <xdr:rowOff>141955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3321133-B6ED-412A-920D-A5A2E34E1D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4619" t="19208" r="30811" b="13401"/>
        <a:stretch/>
      </xdr:blipFill>
      <xdr:spPr>
        <a:xfrm>
          <a:off x="8267699" y="381000"/>
          <a:ext cx="2194001" cy="12849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457198</xdr:colOff>
      <xdr:row>0</xdr:row>
      <xdr:rowOff>28575</xdr:rowOff>
    </xdr:from>
    <xdr:to>
      <xdr:col>18</xdr:col>
      <xdr:colOff>714375</xdr:colOff>
      <xdr:row>23</xdr:row>
      <xdr:rowOff>47625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D392428-979A-489C-8D64-D67F44B2FAF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62B9BA-D3B3-4F4A-8623-58A47C08C759}">
  <dimension ref="B2:L38"/>
  <sheetViews>
    <sheetView showGridLines="0" topLeftCell="A16" workbookViewId="0">
      <selection activeCell="E6" sqref="E6"/>
    </sheetView>
  </sheetViews>
  <sheetFormatPr baseColWidth="10" defaultRowHeight="15" x14ac:dyDescent="0.25"/>
  <cols>
    <col min="8" max="8" width="33.7109375" customWidth="1"/>
    <col min="9" max="10" width="10.5703125" bestFit="1" customWidth="1"/>
    <col min="11" max="11" width="12" bestFit="1" customWidth="1"/>
  </cols>
  <sheetData>
    <row r="2" spans="2:12" ht="18.75" x14ac:dyDescent="0.3">
      <c r="B2" s="76" t="s">
        <v>0</v>
      </c>
      <c r="C2" s="76"/>
      <c r="D2" s="76"/>
      <c r="E2" s="76"/>
      <c r="F2" s="76"/>
      <c r="G2" s="76"/>
      <c r="H2" s="76"/>
    </row>
    <row r="3" spans="2:12" x14ac:dyDescent="0.25">
      <c r="B3" s="1"/>
    </row>
    <row r="4" spans="2:12" x14ac:dyDescent="0.25">
      <c r="B4" s="1" t="s">
        <v>4</v>
      </c>
      <c r="D4" s="5" t="s">
        <v>5</v>
      </c>
      <c r="E4" s="5"/>
    </row>
    <row r="5" spans="2:12" x14ac:dyDescent="0.25">
      <c r="B5" s="1" t="s">
        <v>6</v>
      </c>
      <c r="D5" s="14"/>
      <c r="E5" s="14">
        <v>200</v>
      </c>
    </row>
    <row r="10" spans="2:12" x14ac:dyDescent="0.25">
      <c r="B10" s="10" t="s">
        <v>11</v>
      </c>
      <c r="H10" s="10" t="s">
        <v>20</v>
      </c>
    </row>
    <row r="11" spans="2:12" x14ac:dyDescent="0.25">
      <c r="B11" t="s">
        <v>2</v>
      </c>
      <c r="E11" s="6">
        <v>30000</v>
      </c>
      <c r="H11" s="10"/>
    </row>
    <row r="12" spans="2:12" ht="15.75" thickBot="1" x14ac:dyDescent="0.3">
      <c r="B12" t="s">
        <v>3</v>
      </c>
      <c r="E12" s="3">
        <v>150000</v>
      </c>
      <c r="H12" s="12" t="s">
        <v>42</v>
      </c>
      <c r="I12" s="12" t="s">
        <v>43</v>
      </c>
      <c r="J12" s="12" t="s">
        <v>54</v>
      </c>
      <c r="K12" s="13" t="s">
        <v>55</v>
      </c>
      <c r="L12" s="13" t="s">
        <v>57</v>
      </c>
    </row>
    <row r="13" spans="2:12" x14ac:dyDescent="0.25">
      <c r="B13" t="s">
        <v>7</v>
      </c>
      <c r="E13" s="3">
        <v>3000</v>
      </c>
      <c r="H13" t="s">
        <v>24</v>
      </c>
      <c r="I13" t="s">
        <v>44</v>
      </c>
      <c r="J13" s="2">
        <v>0.83333333333333337</v>
      </c>
      <c r="K13" s="2">
        <v>1</v>
      </c>
      <c r="L13" s="2">
        <f>+J13*K13</f>
        <v>0.83333333333333337</v>
      </c>
    </row>
    <row r="14" spans="2:12" x14ac:dyDescent="0.25">
      <c r="B14" t="s">
        <v>8</v>
      </c>
      <c r="E14" s="3">
        <f>22000*4</f>
        <v>88000</v>
      </c>
      <c r="H14" t="s">
        <v>25</v>
      </c>
      <c r="I14" t="s">
        <v>45</v>
      </c>
      <c r="J14" s="2">
        <v>3.65</v>
      </c>
      <c r="K14" s="2">
        <v>1</v>
      </c>
      <c r="L14" s="2">
        <f t="shared" ref="L14:L35" si="0">+J14*K14</f>
        <v>3.65</v>
      </c>
    </row>
    <row r="15" spans="2:12" x14ac:dyDescent="0.25">
      <c r="B15" t="s">
        <v>9</v>
      </c>
      <c r="E15" s="3">
        <v>43000</v>
      </c>
      <c r="H15" t="s">
        <v>26</v>
      </c>
      <c r="I15" t="s">
        <v>45</v>
      </c>
      <c r="J15" s="2">
        <v>0.66666666666666663</v>
      </c>
      <c r="K15" s="2">
        <v>0.2</v>
      </c>
      <c r="L15" s="2">
        <f t="shared" si="0"/>
        <v>0.13333333333333333</v>
      </c>
    </row>
    <row r="16" spans="2:12" x14ac:dyDescent="0.25">
      <c r="B16" t="s">
        <v>10</v>
      </c>
      <c r="E16" s="3">
        <v>2000</v>
      </c>
      <c r="H16" t="s">
        <v>27</v>
      </c>
      <c r="I16" t="s">
        <v>46</v>
      </c>
      <c r="J16" s="2">
        <v>0.1</v>
      </c>
      <c r="K16" s="2">
        <v>0.77</v>
      </c>
      <c r="L16" s="2">
        <f t="shared" si="0"/>
        <v>7.7000000000000013E-2</v>
      </c>
    </row>
    <row r="17" spans="2:12" x14ac:dyDescent="0.25">
      <c r="B17" t="s">
        <v>12</v>
      </c>
      <c r="E17" s="3">
        <v>2500</v>
      </c>
      <c r="H17" t="s">
        <v>28</v>
      </c>
      <c r="I17" t="s">
        <v>47</v>
      </c>
      <c r="J17" s="2">
        <v>0.42857142857142855</v>
      </c>
      <c r="K17" s="2">
        <v>13.094571</v>
      </c>
      <c r="L17" s="2">
        <f t="shared" si="0"/>
        <v>5.6119589999999997</v>
      </c>
    </row>
    <row r="18" spans="2:12" x14ac:dyDescent="0.25">
      <c r="B18" t="s">
        <v>13</v>
      </c>
      <c r="E18" s="3">
        <v>5000</v>
      </c>
      <c r="H18" t="s">
        <v>21</v>
      </c>
      <c r="I18" t="s">
        <v>47</v>
      </c>
      <c r="J18" s="2">
        <v>0.14285714285714285</v>
      </c>
      <c r="K18" s="2">
        <v>10.90416667</v>
      </c>
      <c r="L18" s="2">
        <f t="shared" si="0"/>
        <v>1.5577380957142857</v>
      </c>
    </row>
    <row r="19" spans="2:12" x14ac:dyDescent="0.25">
      <c r="B19" t="s">
        <v>14</v>
      </c>
      <c r="E19" s="3">
        <f>+E14*0.26</f>
        <v>22880</v>
      </c>
      <c r="H19" t="s">
        <v>22</v>
      </c>
      <c r="I19" t="s">
        <v>47</v>
      </c>
      <c r="J19" s="2">
        <v>0.75</v>
      </c>
      <c r="K19" s="2">
        <v>3.3042854099999999</v>
      </c>
      <c r="L19" s="2">
        <f t="shared" si="0"/>
        <v>2.4782140574999998</v>
      </c>
    </row>
    <row r="20" spans="2:12" x14ac:dyDescent="0.25">
      <c r="B20" t="s">
        <v>15</v>
      </c>
      <c r="E20" s="3">
        <v>2000</v>
      </c>
      <c r="H20" t="s">
        <v>23</v>
      </c>
      <c r="I20" t="s">
        <v>45</v>
      </c>
      <c r="J20" s="2">
        <v>0.125</v>
      </c>
      <c r="K20" s="2">
        <v>1</v>
      </c>
      <c r="L20" s="2">
        <f t="shared" si="0"/>
        <v>0.125</v>
      </c>
    </row>
    <row r="21" spans="2:12" x14ac:dyDescent="0.25">
      <c r="B21" t="s">
        <v>16</v>
      </c>
      <c r="E21" s="3">
        <v>1000</v>
      </c>
      <c r="H21" t="s">
        <v>56</v>
      </c>
      <c r="I21" t="s">
        <v>44</v>
      </c>
      <c r="J21" s="2">
        <v>23</v>
      </c>
      <c r="K21" s="2">
        <v>1</v>
      </c>
      <c r="L21" s="2">
        <f t="shared" si="0"/>
        <v>23</v>
      </c>
    </row>
    <row r="22" spans="2:12" x14ac:dyDescent="0.25">
      <c r="B22" t="s">
        <v>17</v>
      </c>
      <c r="E22" s="3">
        <v>5000</v>
      </c>
      <c r="H22" t="s">
        <v>29</v>
      </c>
      <c r="I22" t="s">
        <v>47</v>
      </c>
      <c r="J22" s="2">
        <v>1</v>
      </c>
      <c r="K22" s="2">
        <v>5.6371419999999999</v>
      </c>
      <c r="L22" s="2">
        <f t="shared" si="0"/>
        <v>5.6371419999999999</v>
      </c>
    </row>
    <row r="23" spans="2:12" x14ac:dyDescent="0.25">
      <c r="B23" t="s">
        <v>18</v>
      </c>
      <c r="E23" s="3"/>
      <c r="H23" t="s">
        <v>30</v>
      </c>
      <c r="I23" t="s">
        <v>45</v>
      </c>
      <c r="J23" s="2">
        <v>1.44E-2</v>
      </c>
      <c r="K23" s="2">
        <v>1</v>
      </c>
      <c r="L23" s="2">
        <f t="shared" si="0"/>
        <v>1.44E-2</v>
      </c>
    </row>
    <row r="24" spans="2:12" x14ac:dyDescent="0.25">
      <c r="B24" t="s">
        <v>18</v>
      </c>
      <c r="E24" s="3"/>
      <c r="H24" t="s">
        <v>31</v>
      </c>
      <c r="I24" t="s">
        <v>45</v>
      </c>
      <c r="J24" s="2">
        <v>0.5</v>
      </c>
      <c r="K24" s="2">
        <v>2</v>
      </c>
      <c r="L24" s="2">
        <f t="shared" si="0"/>
        <v>1</v>
      </c>
    </row>
    <row r="25" spans="2:12" x14ac:dyDescent="0.25">
      <c r="B25" t="s">
        <v>18</v>
      </c>
      <c r="E25" s="3"/>
      <c r="H25" t="s">
        <v>32</v>
      </c>
      <c r="I25" t="s">
        <v>48</v>
      </c>
      <c r="J25" s="2">
        <v>2.3142857142857145</v>
      </c>
      <c r="K25" s="2">
        <v>1</v>
      </c>
      <c r="L25" s="2">
        <f t="shared" si="0"/>
        <v>2.3142857142857145</v>
      </c>
    </row>
    <row r="26" spans="2:12" x14ac:dyDescent="0.25">
      <c r="B26" t="s">
        <v>18</v>
      </c>
      <c r="E26" s="3"/>
      <c r="H26" t="s">
        <v>33</v>
      </c>
      <c r="I26" t="s">
        <v>48</v>
      </c>
      <c r="J26" s="2">
        <v>2.2285714285714286</v>
      </c>
      <c r="K26" s="2">
        <v>1</v>
      </c>
      <c r="L26" s="2">
        <f t="shared" si="0"/>
        <v>2.2285714285714286</v>
      </c>
    </row>
    <row r="27" spans="2:12" x14ac:dyDescent="0.25">
      <c r="B27" t="s">
        <v>18</v>
      </c>
      <c r="E27" s="3"/>
      <c r="H27" t="s">
        <v>34</v>
      </c>
      <c r="I27" t="s">
        <v>49</v>
      </c>
      <c r="J27" s="2">
        <v>0.5714285714285714</v>
      </c>
      <c r="K27" s="2">
        <v>1</v>
      </c>
      <c r="L27" s="2">
        <f t="shared" si="0"/>
        <v>0.5714285714285714</v>
      </c>
    </row>
    <row r="28" spans="2:12" x14ac:dyDescent="0.25">
      <c r="B28" t="s">
        <v>18</v>
      </c>
      <c r="E28" s="3"/>
      <c r="H28" t="s">
        <v>35</v>
      </c>
      <c r="I28" t="s">
        <v>50</v>
      </c>
      <c r="J28" s="2">
        <v>0.15</v>
      </c>
      <c r="K28" s="2">
        <v>1</v>
      </c>
      <c r="L28" s="2">
        <f t="shared" si="0"/>
        <v>0.15</v>
      </c>
    </row>
    <row r="29" spans="2:12" x14ac:dyDescent="0.25">
      <c r="B29" t="s">
        <v>18</v>
      </c>
      <c r="E29" s="3"/>
      <c r="H29" t="s">
        <v>36</v>
      </c>
      <c r="I29" t="s">
        <v>50</v>
      </c>
      <c r="J29" s="2">
        <v>0.10714285714285714</v>
      </c>
      <c r="K29" s="2">
        <v>1</v>
      </c>
      <c r="L29" s="2">
        <f t="shared" si="0"/>
        <v>0.10714285714285714</v>
      </c>
    </row>
    <row r="30" spans="2:12" x14ac:dyDescent="0.25">
      <c r="B30" t="s">
        <v>18</v>
      </c>
      <c r="E30" s="3"/>
      <c r="H30" t="s">
        <v>37</v>
      </c>
      <c r="I30" t="s">
        <v>51</v>
      </c>
      <c r="J30" s="2">
        <v>0.16666666666666666</v>
      </c>
      <c r="K30" s="2">
        <v>1</v>
      </c>
      <c r="L30" s="2">
        <f t="shared" si="0"/>
        <v>0.16666666666666666</v>
      </c>
    </row>
    <row r="31" spans="2:12" ht="15.75" thickBot="1" x14ac:dyDescent="0.3">
      <c r="C31" s="1" t="s">
        <v>19</v>
      </c>
      <c r="E31" s="2"/>
      <c r="F31" s="9">
        <f>SUM(E11:E30)</f>
        <v>354380</v>
      </c>
      <c r="G31" s="11"/>
      <c r="H31" t="s">
        <v>38</v>
      </c>
      <c r="I31" t="s">
        <v>52</v>
      </c>
      <c r="J31" s="2">
        <v>0.2857142857142857</v>
      </c>
      <c r="K31" s="2">
        <v>1</v>
      </c>
      <c r="L31" s="2">
        <f t="shared" si="0"/>
        <v>0.2857142857142857</v>
      </c>
    </row>
    <row r="32" spans="2:12" ht="15.75" thickTop="1" x14ac:dyDescent="0.25">
      <c r="E32" s="2"/>
      <c r="H32" t="s">
        <v>39</v>
      </c>
      <c r="I32" t="s">
        <v>52</v>
      </c>
      <c r="J32" s="2">
        <v>0.2857142857142857</v>
      </c>
      <c r="K32" s="2">
        <v>1</v>
      </c>
      <c r="L32" s="2">
        <f t="shared" si="0"/>
        <v>0.2857142857142857</v>
      </c>
    </row>
    <row r="33" spans="5:12" x14ac:dyDescent="0.25">
      <c r="E33" s="2"/>
      <c r="H33" t="s">
        <v>40</v>
      </c>
      <c r="I33" t="s">
        <v>44</v>
      </c>
      <c r="J33" s="2">
        <v>9.285714285714286E-2</v>
      </c>
      <c r="K33" s="2">
        <v>1</v>
      </c>
      <c r="L33" s="2">
        <f t="shared" si="0"/>
        <v>9.285714285714286E-2</v>
      </c>
    </row>
    <row r="34" spans="5:12" x14ac:dyDescent="0.25">
      <c r="E34" s="2"/>
      <c r="H34" t="s">
        <v>41</v>
      </c>
      <c r="I34" t="s">
        <v>53</v>
      </c>
      <c r="J34" s="2">
        <v>30</v>
      </c>
      <c r="K34" s="2">
        <v>1</v>
      </c>
      <c r="L34" s="2">
        <f t="shared" si="0"/>
        <v>30</v>
      </c>
    </row>
    <row r="35" spans="5:12" x14ac:dyDescent="0.25">
      <c r="E35" s="2"/>
      <c r="H35" t="s">
        <v>114</v>
      </c>
      <c r="I35" t="s">
        <v>43</v>
      </c>
      <c r="J35" s="2">
        <v>20</v>
      </c>
      <c r="K35" s="2">
        <v>1</v>
      </c>
      <c r="L35" s="2">
        <f t="shared" si="0"/>
        <v>20</v>
      </c>
    </row>
    <row r="36" spans="5:12" x14ac:dyDescent="0.25">
      <c r="E36" s="2"/>
    </row>
    <row r="37" spans="5:12" x14ac:dyDescent="0.25">
      <c r="E37" s="2"/>
      <c r="I37" s="1" t="s">
        <v>58</v>
      </c>
      <c r="L37" s="8">
        <f>SUM(L13:L35)</f>
        <v>100.32050077226189</v>
      </c>
    </row>
    <row r="38" spans="5:12" x14ac:dyDescent="0.25">
      <c r="E38" s="2"/>
    </row>
  </sheetData>
  <mergeCells count="1">
    <mergeCell ref="B2:H2"/>
  </mergeCells>
  <pageMargins left="0.7" right="0.7" top="0.75" bottom="0.75" header="0.3" footer="0.3"/>
  <pageSetup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757AD9-FD58-43AD-86A6-CF3FBC2C9607}">
  <dimension ref="B3:P50"/>
  <sheetViews>
    <sheetView showGridLines="0" topLeftCell="B1" workbookViewId="0">
      <selection activeCell="O27" sqref="O27"/>
    </sheetView>
  </sheetViews>
  <sheetFormatPr baseColWidth="10" defaultRowHeight="15" x14ac:dyDescent="0.25"/>
  <cols>
    <col min="1" max="1" width="2.7109375" customWidth="1"/>
    <col min="2" max="2" width="25.5703125" customWidth="1"/>
    <col min="3" max="3" width="12.5703125" bestFit="1" customWidth="1"/>
    <col min="4" max="4" width="13.140625" bestFit="1" customWidth="1"/>
    <col min="5" max="5" width="14.5703125" customWidth="1"/>
    <col min="9" max="9" width="13.140625" bestFit="1" customWidth="1"/>
    <col min="10" max="10" width="12.5703125" bestFit="1" customWidth="1"/>
    <col min="14" max="14" width="12.42578125" bestFit="1" customWidth="1"/>
    <col min="15" max="15" width="13.140625" bestFit="1" customWidth="1"/>
  </cols>
  <sheetData>
    <row r="3" spans="2:8" ht="15.75" thickBot="1" x14ac:dyDescent="0.3">
      <c r="B3" s="77" t="s">
        <v>62</v>
      </c>
      <c r="C3" s="77"/>
    </row>
    <row r="4" spans="2:8" x14ac:dyDescent="0.25">
      <c r="B4" t="s">
        <v>4</v>
      </c>
      <c r="C4" s="1" t="str">
        <f>+'Datos Generales'!D4</f>
        <v>Calzado</v>
      </c>
      <c r="H4" s="1"/>
    </row>
    <row r="5" spans="2:8" x14ac:dyDescent="0.25">
      <c r="B5" t="s">
        <v>59</v>
      </c>
      <c r="C5" s="15">
        <f>+'Datos Generales'!E5</f>
        <v>200</v>
      </c>
      <c r="E5" s="68"/>
    </row>
    <row r="6" spans="2:8" x14ac:dyDescent="0.25">
      <c r="B6" t="s">
        <v>60</v>
      </c>
      <c r="C6" s="8">
        <f>+'Datos Generales'!F31</f>
        <v>354380</v>
      </c>
    </row>
    <row r="7" spans="2:8" x14ac:dyDescent="0.25">
      <c r="B7" t="s">
        <v>61</v>
      </c>
      <c r="C7" s="8">
        <f>+'Datos Generales'!L37</f>
        <v>100.32050077226189</v>
      </c>
      <c r="D7" s="60">
        <f>+C7/C5</f>
        <v>0.50160250386130945</v>
      </c>
    </row>
    <row r="8" spans="2:8" x14ac:dyDescent="0.25">
      <c r="B8" t="s">
        <v>89</v>
      </c>
      <c r="C8" s="8">
        <f>+C5-C7</f>
        <v>99.679499227738106</v>
      </c>
      <c r="D8" s="60">
        <f>+C8/C5</f>
        <v>0.49839749613869055</v>
      </c>
    </row>
    <row r="10" spans="2:8" ht="15.75" thickBot="1" x14ac:dyDescent="0.3"/>
    <row r="11" spans="2:8" x14ac:dyDescent="0.25">
      <c r="B11" s="17"/>
      <c r="C11" s="18"/>
      <c r="D11" s="19"/>
      <c r="E11" s="37"/>
    </row>
    <row r="12" spans="2:8" x14ac:dyDescent="0.25">
      <c r="B12" s="20" t="s">
        <v>63</v>
      </c>
      <c r="C12" s="21">
        <f>TRUNC((C6/(C5-C7)),0)</f>
        <v>3555</v>
      </c>
      <c r="D12" s="22" t="s">
        <v>64</v>
      </c>
      <c r="E12" s="37"/>
    </row>
    <row r="13" spans="2:8" ht="15.75" thickBot="1" x14ac:dyDescent="0.3">
      <c r="B13" s="23"/>
      <c r="C13" s="24"/>
      <c r="D13" s="25"/>
      <c r="E13" s="37"/>
    </row>
    <row r="14" spans="2:8" ht="15.75" thickBot="1" x14ac:dyDescent="0.3">
      <c r="E14" s="37"/>
    </row>
    <row r="15" spans="2:8" x14ac:dyDescent="0.25">
      <c r="B15" s="17"/>
      <c r="C15" s="18"/>
      <c r="D15" s="19"/>
      <c r="E15" s="37"/>
    </row>
    <row r="16" spans="2:8" x14ac:dyDescent="0.25">
      <c r="B16" s="20" t="s">
        <v>67</v>
      </c>
      <c r="C16" s="36">
        <f>+C12*C5</f>
        <v>711000</v>
      </c>
      <c r="D16" s="22" t="s">
        <v>68</v>
      </c>
      <c r="E16" s="37"/>
    </row>
    <row r="17" spans="2:15" ht="15.75" thickBot="1" x14ac:dyDescent="0.3">
      <c r="B17" s="23"/>
      <c r="C17" s="24"/>
      <c r="D17" s="25"/>
      <c r="E17" s="37"/>
    </row>
    <row r="18" spans="2:15" ht="15.75" thickBot="1" x14ac:dyDescent="0.3"/>
    <row r="19" spans="2:15" x14ac:dyDescent="0.25">
      <c r="B19" s="26"/>
      <c r="C19" s="27"/>
      <c r="D19" s="27"/>
      <c r="E19" s="28"/>
    </row>
    <row r="20" spans="2:15" ht="15.75" thickBot="1" x14ac:dyDescent="0.3">
      <c r="B20" s="29" t="s">
        <v>66</v>
      </c>
      <c r="C20" s="78" t="s">
        <v>1</v>
      </c>
      <c r="D20" s="78"/>
      <c r="E20" s="79"/>
    </row>
    <row r="21" spans="2:15" x14ac:dyDescent="0.25">
      <c r="B21" s="30"/>
      <c r="C21" s="31" t="s">
        <v>65</v>
      </c>
      <c r="D21" s="31"/>
      <c r="E21" s="32"/>
    </row>
    <row r="22" spans="2:15" ht="15.75" thickBot="1" x14ac:dyDescent="0.3">
      <c r="B22" s="33"/>
      <c r="C22" s="34"/>
      <c r="D22" s="34"/>
      <c r="E22" s="35"/>
    </row>
    <row r="24" spans="2:15" ht="15.75" thickBot="1" x14ac:dyDescent="0.3"/>
    <row r="25" spans="2:15" ht="15.75" thickBot="1" x14ac:dyDescent="0.3">
      <c r="C25" s="16" t="s">
        <v>72</v>
      </c>
      <c r="D25" s="16" t="s">
        <v>69</v>
      </c>
      <c r="E25" s="16" t="s">
        <v>70</v>
      </c>
      <c r="F25" s="16" t="s">
        <v>71</v>
      </c>
      <c r="H25" s="80" t="s">
        <v>74</v>
      </c>
      <c r="I25" s="81"/>
      <c r="J25" s="81"/>
      <c r="K25" s="82"/>
      <c r="L25" s="80" t="s">
        <v>82</v>
      </c>
      <c r="M25" s="81"/>
      <c r="N25" s="81"/>
      <c r="O25" s="82"/>
    </row>
    <row r="26" spans="2:15" x14ac:dyDescent="0.25">
      <c r="B26">
        <v>1</v>
      </c>
      <c r="C26">
        <v>0</v>
      </c>
      <c r="D26" s="2">
        <f>($C$6+($C$7*C26))</f>
        <v>354380</v>
      </c>
      <c r="E26" s="38">
        <f>(C26*$C$5)</f>
        <v>0</v>
      </c>
      <c r="F26" s="39">
        <f>+C6</f>
        <v>354380</v>
      </c>
      <c r="H26" s="40"/>
      <c r="I26" s="41"/>
      <c r="J26" s="41"/>
      <c r="K26" s="42"/>
      <c r="L26" s="54"/>
      <c r="M26" s="55"/>
      <c r="N26" s="55"/>
      <c r="O26" s="56"/>
    </row>
    <row r="27" spans="2:15" x14ac:dyDescent="0.25">
      <c r="B27">
        <v>2</v>
      </c>
      <c r="C27">
        <f>TRUNC((C12/10),0)</f>
        <v>355</v>
      </c>
      <c r="D27" s="2">
        <f>($C$6+($C$7*C27))</f>
        <v>389993.77777415299</v>
      </c>
      <c r="E27" s="38">
        <f t="shared" ref="E27:E45" si="0">(C27*$C$5)</f>
        <v>71000</v>
      </c>
      <c r="F27" s="7">
        <f>+F26</f>
        <v>354380</v>
      </c>
      <c r="H27" s="43" t="s">
        <v>70</v>
      </c>
      <c r="I27" s="41"/>
      <c r="J27" s="41"/>
      <c r="K27" s="44">
        <f>+I28*I29</f>
        <v>711000</v>
      </c>
      <c r="L27" s="43" t="s">
        <v>70</v>
      </c>
      <c r="M27" s="41"/>
      <c r="N27" s="41"/>
      <c r="O27" s="44">
        <f>+M28*M29</f>
        <v>899600</v>
      </c>
    </row>
    <row r="28" spans="2:15" x14ac:dyDescent="0.25">
      <c r="B28">
        <v>3</v>
      </c>
      <c r="C28">
        <f>TRUNC((($C$12/10)+C27),0)</f>
        <v>710</v>
      </c>
      <c r="D28" s="2">
        <f t="shared" ref="D28:D45" si="1">($C$6+($C$7*C28))</f>
        <v>425607.55554830597</v>
      </c>
      <c r="E28" s="38">
        <f t="shared" si="0"/>
        <v>142000</v>
      </c>
      <c r="F28" s="7">
        <f t="shared" ref="F28:F45" si="2">+F27</f>
        <v>354380</v>
      </c>
      <c r="H28" s="40" t="s">
        <v>75</v>
      </c>
      <c r="I28" s="45">
        <f>+C12</f>
        <v>3555</v>
      </c>
      <c r="J28" s="41"/>
      <c r="K28" s="42"/>
      <c r="L28" s="40" t="s">
        <v>75</v>
      </c>
      <c r="M28" s="45">
        <f>TRUNC((N43+N31)/(M29-M35),0)</f>
        <v>4498</v>
      </c>
      <c r="N28" s="41"/>
      <c r="O28" s="42"/>
    </row>
    <row r="29" spans="2:15" x14ac:dyDescent="0.25">
      <c r="B29">
        <v>4</v>
      </c>
      <c r="C29">
        <f t="shared" ref="C29:C45" si="3">TRUNC((($C$12/10)+C28),0)</f>
        <v>1065</v>
      </c>
      <c r="D29" s="2">
        <f t="shared" si="1"/>
        <v>461221.3333224589</v>
      </c>
      <c r="E29" s="38">
        <f t="shared" si="0"/>
        <v>213000</v>
      </c>
      <c r="F29" s="7">
        <f t="shared" si="2"/>
        <v>354380</v>
      </c>
      <c r="H29" s="40" t="s">
        <v>76</v>
      </c>
      <c r="I29" s="46">
        <f>+C5</f>
        <v>200</v>
      </c>
      <c r="J29" s="41"/>
      <c r="K29" s="42"/>
      <c r="L29" s="40" t="s">
        <v>76</v>
      </c>
      <c r="M29" s="59">
        <f>+I29</f>
        <v>200</v>
      </c>
      <c r="N29" s="41"/>
      <c r="O29" s="42"/>
    </row>
    <row r="30" spans="2:15" x14ac:dyDescent="0.25">
      <c r="B30">
        <v>5</v>
      </c>
      <c r="C30">
        <f t="shared" si="3"/>
        <v>1420</v>
      </c>
      <c r="D30" s="2">
        <f t="shared" si="1"/>
        <v>496835.11109661189</v>
      </c>
      <c r="E30" s="38">
        <f t="shared" si="0"/>
        <v>284000</v>
      </c>
      <c r="F30" s="7">
        <f t="shared" si="2"/>
        <v>354380</v>
      </c>
      <c r="H30" s="40"/>
      <c r="I30" s="41"/>
      <c r="J30" s="41"/>
      <c r="K30" s="42"/>
      <c r="L30" s="40"/>
      <c r="M30" s="41"/>
      <c r="N30" s="41"/>
      <c r="O30" s="42"/>
    </row>
    <row r="31" spans="2:15" x14ac:dyDescent="0.25">
      <c r="B31">
        <v>6</v>
      </c>
      <c r="C31">
        <f t="shared" si="3"/>
        <v>1775</v>
      </c>
      <c r="D31" s="2">
        <f t="shared" si="1"/>
        <v>532448.88887076487</v>
      </c>
      <c r="E31" s="38">
        <f t="shared" si="0"/>
        <v>355000</v>
      </c>
      <c r="F31" s="7">
        <f t="shared" si="2"/>
        <v>354380</v>
      </c>
      <c r="H31" s="43" t="s">
        <v>77</v>
      </c>
      <c r="I31" s="45"/>
      <c r="J31" s="47">
        <f>+C6</f>
        <v>354380</v>
      </c>
      <c r="K31" s="42"/>
      <c r="L31" s="43" t="s">
        <v>77</v>
      </c>
      <c r="M31" s="41"/>
      <c r="N31" s="47">
        <f>+J31</f>
        <v>354380</v>
      </c>
      <c r="O31" s="42"/>
    </row>
    <row r="32" spans="2:15" x14ac:dyDescent="0.25">
      <c r="B32">
        <v>7</v>
      </c>
      <c r="C32">
        <f t="shared" si="3"/>
        <v>2130</v>
      </c>
      <c r="D32" s="2">
        <f t="shared" si="1"/>
        <v>568062.6666449178</v>
      </c>
      <c r="E32" s="38">
        <f t="shared" si="0"/>
        <v>426000</v>
      </c>
      <c r="F32" s="7">
        <f t="shared" si="2"/>
        <v>354380</v>
      </c>
      <c r="H32" s="40"/>
      <c r="I32" s="41"/>
      <c r="J32" s="41"/>
      <c r="K32" s="42"/>
      <c r="L32" s="40"/>
      <c r="M32" s="41"/>
      <c r="N32" s="41"/>
      <c r="O32" s="42"/>
    </row>
    <row r="33" spans="2:16" x14ac:dyDescent="0.25">
      <c r="B33">
        <v>8</v>
      </c>
      <c r="C33">
        <f t="shared" si="3"/>
        <v>2485</v>
      </c>
      <c r="D33" s="2">
        <f t="shared" si="1"/>
        <v>603676.44441907085</v>
      </c>
      <c r="E33" s="38">
        <f t="shared" si="0"/>
        <v>497000</v>
      </c>
      <c r="F33" s="7">
        <f t="shared" si="2"/>
        <v>354380</v>
      </c>
      <c r="H33" s="43" t="s">
        <v>78</v>
      </c>
      <c r="I33" s="48"/>
      <c r="J33" s="47">
        <f>+I34*I35</f>
        <v>356639.38024539105</v>
      </c>
      <c r="K33" s="42"/>
      <c r="L33" s="43" t="s">
        <v>78</v>
      </c>
      <c r="M33" s="41"/>
      <c r="N33" s="47">
        <f>+M34*M35</f>
        <v>451241.61247363401</v>
      </c>
      <c r="O33" s="42"/>
    </row>
    <row r="34" spans="2:16" x14ac:dyDescent="0.25">
      <c r="B34">
        <v>9</v>
      </c>
      <c r="C34">
        <f t="shared" si="3"/>
        <v>2840</v>
      </c>
      <c r="D34" s="2">
        <f t="shared" si="1"/>
        <v>639290.22219322377</v>
      </c>
      <c r="E34" s="38">
        <f t="shared" si="0"/>
        <v>568000</v>
      </c>
      <c r="F34" s="7">
        <f t="shared" si="2"/>
        <v>354380</v>
      </c>
      <c r="H34" s="40" t="s">
        <v>75</v>
      </c>
      <c r="I34" s="49">
        <f>+I28</f>
        <v>3555</v>
      </c>
      <c r="J34" s="41"/>
      <c r="K34" s="42"/>
      <c r="L34" s="40" t="s">
        <v>75</v>
      </c>
      <c r="M34" s="49">
        <f>+M28</f>
        <v>4498</v>
      </c>
      <c r="N34" s="41"/>
      <c r="O34" s="42"/>
    </row>
    <row r="35" spans="2:16" x14ac:dyDescent="0.25">
      <c r="B35">
        <v>10</v>
      </c>
      <c r="C35">
        <f t="shared" si="3"/>
        <v>3195</v>
      </c>
      <c r="D35" s="2">
        <f t="shared" si="1"/>
        <v>674903.9999673767</v>
      </c>
      <c r="E35" s="38">
        <f t="shared" si="0"/>
        <v>639000</v>
      </c>
      <c r="F35" s="7">
        <f t="shared" si="2"/>
        <v>354380</v>
      </c>
      <c r="H35" s="50" t="s">
        <v>79</v>
      </c>
      <c r="I35" s="49">
        <f>+C7</f>
        <v>100.32050077226189</v>
      </c>
      <c r="J35" s="41"/>
      <c r="K35" s="42"/>
      <c r="L35" s="50" t="s">
        <v>79</v>
      </c>
      <c r="M35" s="49">
        <f>+I35</f>
        <v>100.32050077226189</v>
      </c>
      <c r="N35" s="41"/>
      <c r="O35" s="42"/>
    </row>
    <row r="36" spans="2:16" x14ac:dyDescent="0.25">
      <c r="B36">
        <v>11</v>
      </c>
      <c r="C36">
        <f t="shared" si="3"/>
        <v>3550</v>
      </c>
      <c r="D36" s="2">
        <f t="shared" si="1"/>
        <v>710517.77774152975</v>
      </c>
      <c r="E36" s="38">
        <f t="shared" si="0"/>
        <v>710000</v>
      </c>
      <c r="F36" s="7">
        <f t="shared" si="2"/>
        <v>354380</v>
      </c>
      <c r="H36" s="40"/>
      <c r="I36" s="41"/>
      <c r="J36" s="41"/>
      <c r="K36" s="42"/>
      <c r="L36" s="40"/>
      <c r="M36" s="41"/>
      <c r="N36" s="41"/>
      <c r="O36" s="42"/>
    </row>
    <row r="37" spans="2:16" x14ac:dyDescent="0.25">
      <c r="B37">
        <v>12</v>
      </c>
      <c r="C37">
        <f t="shared" si="3"/>
        <v>3905</v>
      </c>
      <c r="D37" s="2">
        <f t="shared" si="1"/>
        <v>746131.55551568267</v>
      </c>
      <c r="E37" s="38">
        <f t="shared" si="0"/>
        <v>781000</v>
      </c>
      <c r="F37" s="7">
        <f t="shared" si="2"/>
        <v>354380</v>
      </c>
      <c r="H37" s="43" t="s">
        <v>80</v>
      </c>
      <c r="I37" s="41"/>
      <c r="J37" s="41"/>
      <c r="K37" s="44">
        <f>+J31+J33</f>
        <v>711019.38024539105</v>
      </c>
      <c r="L37" s="43" t="s">
        <v>80</v>
      </c>
      <c r="M37" s="41"/>
      <c r="N37" s="41"/>
      <c r="O37" s="44">
        <f>+N31+N33</f>
        <v>805621.61247363407</v>
      </c>
      <c r="P37" s="7"/>
    </row>
    <row r="38" spans="2:16" x14ac:dyDescent="0.25">
      <c r="B38">
        <v>13</v>
      </c>
      <c r="C38">
        <f t="shared" si="3"/>
        <v>4260</v>
      </c>
      <c r="D38" s="2">
        <f t="shared" si="1"/>
        <v>781745.3332898356</v>
      </c>
      <c r="E38" s="38">
        <f t="shared" si="0"/>
        <v>852000</v>
      </c>
      <c r="F38" s="7">
        <f t="shared" si="2"/>
        <v>354380</v>
      </c>
      <c r="H38" s="40"/>
      <c r="I38" s="41"/>
      <c r="J38" s="41"/>
      <c r="K38" s="42"/>
      <c r="L38" s="40"/>
      <c r="M38" s="41"/>
      <c r="N38" s="41"/>
      <c r="O38" s="42"/>
    </row>
    <row r="39" spans="2:16" ht="15.75" thickBot="1" x14ac:dyDescent="0.3">
      <c r="B39">
        <v>14</v>
      </c>
      <c r="C39">
        <f t="shared" si="3"/>
        <v>4615</v>
      </c>
      <c r="D39" s="2">
        <f t="shared" si="1"/>
        <v>817359.11106398865</v>
      </c>
      <c r="E39" s="38">
        <f t="shared" si="0"/>
        <v>923000</v>
      </c>
      <c r="F39" s="7">
        <f t="shared" si="2"/>
        <v>354380</v>
      </c>
      <c r="H39" s="51" t="s">
        <v>81</v>
      </c>
      <c r="I39" s="52"/>
      <c r="J39" s="52"/>
      <c r="K39" s="53">
        <f>+K27-K37</f>
        <v>-19.380245391046628</v>
      </c>
      <c r="L39" s="51" t="s">
        <v>81</v>
      </c>
      <c r="M39" s="52"/>
      <c r="N39" s="52"/>
      <c r="O39" s="53">
        <f>+O27-O37</f>
        <v>93978.387526365928</v>
      </c>
    </row>
    <row r="40" spans="2:16" x14ac:dyDescent="0.25">
      <c r="B40">
        <v>15</v>
      </c>
      <c r="C40">
        <f t="shared" si="3"/>
        <v>4970</v>
      </c>
      <c r="D40" s="2">
        <f t="shared" si="1"/>
        <v>852972.88883814169</v>
      </c>
      <c r="E40" s="38">
        <f t="shared" si="0"/>
        <v>994000</v>
      </c>
      <c r="F40" s="7">
        <f t="shared" si="2"/>
        <v>354380</v>
      </c>
    </row>
    <row r="41" spans="2:16" x14ac:dyDescent="0.25">
      <c r="B41">
        <v>16</v>
      </c>
      <c r="C41">
        <f t="shared" si="3"/>
        <v>5325</v>
      </c>
      <c r="D41" s="2">
        <f t="shared" si="1"/>
        <v>888586.66661229462</v>
      </c>
      <c r="E41" s="38">
        <f t="shared" si="0"/>
        <v>1065000</v>
      </c>
      <c r="F41" s="7">
        <f t="shared" si="2"/>
        <v>354380</v>
      </c>
      <c r="L41" t="s">
        <v>83</v>
      </c>
      <c r="N41" s="57">
        <f>+Inversion!G25</f>
        <v>1128000</v>
      </c>
      <c r="P41" s="7"/>
    </row>
    <row r="42" spans="2:16" x14ac:dyDescent="0.25">
      <c r="B42">
        <v>17</v>
      </c>
      <c r="C42">
        <f t="shared" si="3"/>
        <v>5680</v>
      </c>
      <c r="D42" s="2">
        <f t="shared" si="1"/>
        <v>924200.44438644755</v>
      </c>
      <c r="E42" s="38">
        <f t="shared" si="0"/>
        <v>1136000</v>
      </c>
      <c r="F42" s="7">
        <f t="shared" si="2"/>
        <v>354380</v>
      </c>
      <c r="L42" t="s">
        <v>84</v>
      </c>
      <c r="N42" s="4">
        <v>12</v>
      </c>
      <c r="O42" t="s">
        <v>73</v>
      </c>
    </row>
    <row r="43" spans="2:16" x14ac:dyDescent="0.25">
      <c r="B43">
        <v>18</v>
      </c>
      <c r="C43">
        <f t="shared" si="3"/>
        <v>6035</v>
      </c>
      <c r="D43" s="2">
        <f t="shared" si="1"/>
        <v>959814.22216060048</v>
      </c>
      <c r="E43" s="38">
        <f t="shared" si="0"/>
        <v>1207000</v>
      </c>
      <c r="F43" s="7">
        <f t="shared" si="2"/>
        <v>354380</v>
      </c>
      <c r="L43" t="s">
        <v>85</v>
      </c>
      <c r="N43" s="58">
        <f>+N41/N42</f>
        <v>94000</v>
      </c>
    </row>
    <row r="44" spans="2:16" x14ac:dyDescent="0.25">
      <c r="B44">
        <v>19</v>
      </c>
      <c r="C44">
        <f t="shared" si="3"/>
        <v>6390</v>
      </c>
      <c r="D44" s="2">
        <f t="shared" si="1"/>
        <v>995427.99993475352</v>
      </c>
      <c r="E44" s="38">
        <f t="shared" si="0"/>
        <v>1278000</v>
      </c>
      <c r="F44" s="7">
        <f t="shared" si="2"/>
        <v>354380</v>
      </c>
    </row>
    <row r="45" spans="2:16" x14ac:dyDescent="0.25">
      <c r="B45">
        <v>20</v>
      </c>
      <c r="C45">
        <f t="shared" si="3"/>
        <v>6745</v>
      </c>
      <c r="D45" s="2">
        <f t="shared" si="1"/>
        <v>1031041.7777089064</v>
      </c>
      <c r="E45" s="38">
        <f t="shared" si="0"/>
        <v>1349000</v>
      </c>
      <c r="F45" s="7">
        <f t="shared" si="2"/>
        <v>354380</v>
      </c>
    </row>
    <row r="46" spans="2:16" ht="15.75" thickBot="1" x14ac:dyDescent="0.3"/>
    <row r="47" spans="2:16" x14ac:dyDescent="0.25">
      <c r="J47" s="26"/>
      <c r="K47" s="27"/>
      <c r="L47" s="27"/>
      <c r="M47" s="27"/>
      <c r="N47" s="28"/>
    </row>
    <row r="48" spans="2:16" ht="15.75" thickBot="1" x14ac:dyDescent="0.3">
      <c r="J48" s="83" t="s">
        <v>86</v>
      </c>
      <c r="K48" s="84"/>
      <c r="L48" s="78" t="s">
        <v>88</v>
      </c>
      <c r="M48" s="78"/>
      <c r="N48" s="79"/>
      <c r="P48" s="7"/>
    </row>
    <row r="49" spans="10:16" x14ac:dyDescent="0.25">
      <c r="J49" s="30"/>
      <c r="K49" s="31"/>
      <c r="L49" s="31" t="s">
        <v>87</v>
      </c>
      <c r="M49" s="31"/>
      <c r="N49" s="32"/>
      <c r="P49" s="7"/>
    </row>
    <row r="50" spans="10:16" ht="15.75" thickBot="1" x14ac:dyDescent="0.3">
      <c r="J50" s="33"/>
      <c r="K50" s="34"/>
      <c r="L50" s="34"/>
      <c r="M50" s="34"/>
      <c r="N50" s="35"/>
      <c r="P50" s="7"/>
    </row>
  </sheetData>
  <mergeCells count="6">
    <mergeCell ref="B3:C3"/>
    <mergeCell ref="C20:E20"/>
    <mergeCell ref="H25:K25"/>
    <mergeCell ref="L25:O25"/>
    <mergeCell ref="J48:K48"/>
    <mergeCell ref="L48:N4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28419-D40A-477B-9542-F7BD3F3EA5E1}">
  <dimension ref="B3:G28"/>
  <sheetViews>
    <sheetView showGridLines="0" topLeftCell="A7" workbookViewId="0">
      <selection activeCell="G25" sqref="G25"/>
    </sheetView>
  </sheetViews>
  <sheetFormatPr baseColWidth="10" defaultRowHeight="15" x14ac:dyDescent="0.25"/>
  <cols>
    <col min="2" max="2" width="6.7109375" customWidth="1"/>
    <col min="3" max="3" width="20.42578125" bestFit="1" customWidth="1"/>
    <col min="4" max="5" width="11.42578125" style="62"/>
    <col min="6" max="6" width="11.42578125" style="2"/>
    <col min="7" max="7" width="13.140625" bestFit="1" customWidth="1"/>
  </cols>
  <sheetData>
    <row r="3" spans="2:7" x14ac:dyDescent="0.25">
      <c r="B3" s="85" t="s">
        <v>90</v>
      </c>
      <c r="C3" s="85"/>
      <c r="D3" s="85"/>
      <c r="E3" s="85"/>
      <c r="F3" s="85"/>
      <c r="G3" s="85"/>
    </row>
    <row r="5" spans="2:7" x14ac:dyDescent="0.25">
      <c r="C5" s="64" t="s">
        <v>91</v>
      </c>
      <c r="D5" s="64" t="s">
        <v>43</v>
      </c>
      <c r="E5" s="64" t="s">
        <v>93</v>
      </c>
      <c r="F5" s="65" t="s">
        <v>94</v>
      </c>
      <c r="G5" s="64" t="s">
        <v>95</v>
      </c>
    </row>
    <row r="6" spans="2:7" x14ac:dyDescent="0.25">
      <c r="B6" s="62">
        <v>1</v>
      </c>
      <c r="C6" t="s">
        <v>92</v>
      </c>
      <c r="D6" s="62" t="s">
        <v>45</v>
      </c>
      <c r="E6" s="62">
        <v>1</v>
      </c>
      <c r="F6" s="2">
        <v>95000</v>
      </c>
      <c r="G6" s="7">
        <f>+E6*F6</f>
        <v>95000</v>
      </c>
    </row>
    <row r="7" spans="2:7" x14ac:dyDescent="0.25">
      <c r="B7" s="62">
        <v>2</v>
      </c>
      <c r="C7" t="s">
        <v>96</v>
      </c>
      <c r="D7" s="62" t="s">
        <v>45</v>
      </c>
      <c r="E7" s="62">
        <v>3</v>
      </c>
      <c r="F7" s="2">
        <v>6500</v>
      </c>
      <c r="G7" s="7">
        <f t="shared" ref="G7:G23" si="0">+E7*F7</f>
        <v>19500</v>
      </c>
    </row>
    <row r="8" spans="2:7" x14ac:dyDescent="0.25">
      <c r="B8" s="62">
        <v>3</v>
      </c>
      <c r="C8" t="s">
        <v>97</v>
      </c>
      <c r="D8" s="62" t="s">
        <v>45</v>
      </c>
      <c r="E8" s="62">
        <v>4</v>
      </c>
      <c r="F8" s="2">
        <v>2500</v>
      </c>
      <c r="G8" s="7">
        <f t="shared" si="0"/>
        <v>10000</v>
      </c>
    </row>
    <row r="9" spans="2:7" x14ac:dyDescent="0.25">
      <c r="B9" s="62">
        <v>4</v>
      </c>
      <c r="C9" t="s">
        <v>98</v>
      </c>
      <c r="D9" s="62" t="s">
        <v>45</v>
      </c>
      <c r="E9" s="62">
        <v>1</v>
      </c>
      <c r="F9" s="2">
        <v>15000</v>
      </c>
      <c r="G9" s="7">
        <f t="shared" si="0"/>
        <v>15000</v>
      </c>
    </row>
    <row r="10" spans="2:7" x14ac:dyDescent="0.25">
      <c r="B10" s="62">
        <v>5</v>
      </c>
      <c r="C10" t="s">
        <v>99</v>
      </c>
      <c r="D10" s="62" t="s">
        <v>45</v>
      </c>
      <c r="E10" s="62">
        <v>1</v>
      </c>
      <c r="F10" s="2">
        <v>50000</v>
      </c>
      <c r="G10" s="7">
        <f t="shared" si="0"/>
        <v>50000</v>
      </c>
    </row>
    <row r="11" spans="2:7" x14ac:dyDescent="0.25">
      <c r="B11" s="62">
        <v>6</v>
      </c>
      <c r="C11" t="s">
        <v>100</v>
      </c>
      <c r="D11" s="62" t="s">
        <v>45</v>
      </c>
      <c r="E11" s="62">
        <v>1</v>
      </c>
      <c r="F11" s="2">
        <v>8000</v>
      </c>
      <c r="G11" s="7">
        <f t="shared" si="0"/>
        <v>8000</v>
      </c>
    </row>
    <row r="12" spans="2:7" x14ac:dyDescent="0.25">
      <c r="B12" s="62">
        <v>7</v>
      </c>
      <c r="C12" t="s">
        <v>101</v>
      </c>
      <c r="D12" s="62" t="s">
        <v>45</v>
      </c>
      <c r="E12" s="62">
        <v>1</v>
      </c>
      <c r="F12" s="2">
        <v>12000</v>
      </c>
      <c r="G12" s="7">
        <f t="shared" si="0"/>
        <v>12000</v>
      </c>
    </row>
    <row r="13" spans="2:7" x14ac:dyDescent="0.25">
      <c r="B13" s="62">
        <v>8</v>
      </c>
      <c r="C13" t="s">
        <v>102</v>
      </c>
      <c r="D13" s="62" t="s">
        <v>53</v>
      </c>
      <c r="E13" s="62">
        <v>30</v>
      </c>
      <c r="F13" s="2">
        <v>250</v>
      </c>
      <c r="G13" s="7">
        <f t="shared" si="0"/>
        <v>7500</v>
      </c>
    </row>
    <row r="14" spans="2:7" x14ac:dyDescent="0.25">
      <c r="B14" s="62">
        <v>9</v>
      </c>
      <c r="C14" t="s">
        <v>103</v>
      </c>
      <c r="D14" s="62" t="s">
        <v>104</v>
      </c>
      <c r="E14" s="62">
        <v>1</v>
      </c>
      <c r="F14" s="2">
        <v>45000</v>
      </c>
      <c r="G14" s="7">
        <f t="shared" si="0"/>
        <v>45000</v>
      </c>
    </row>
    <row r="15" spans="2:7" x14ac:dyDescent="0.25">
      <c r="B15" s="62">
        <v>10</v>
      </c>
      <c r="C15" t="s">
        <v>105</v>
      </c>
      <c r="D15" s="62" t="s">
        <v>45</v>
      </c>
      <c r="E15" s="62">
        <v>1</v>
      </c>
      <c r="F15" s="2">
        <v>250000</v>
      </c>
      <c r="G15" s="7">
        <f t="shared" si="0"/>
        <v>250000</v>
      </c>
    </row>
    <row r="16" spans="2:7" x14ac:dyDescent="0.25">
      <c r="B16" s="62"/>
      <c r="C16" s="64" t="s">
        <v>106</v>
      </c>
      <c r="D16" s="4"/>
      <c r="E16" s="4"/>
      <c r="F16" s="6"/>
      <c r="G16" s="63"/>
    </row>
    <row r="17" spans="2:7" x14ac:dyDescent="0.25">
      <c r="B17" s="62">
        <v>11</v>
      </c>
      <c r="C17" t="s">
        <v>107</v>
      </c>
      <c r="E17" s="62">
        <v>1</v>
      </c>
      <c r="F17" s="2">
        <v>150000</v>
      </c>
      <c r="G17" s="7">
        <f t="shared" si="0"/>
        <v>150000</v>
      </c>
    </row>
    <row r="18" spans="2:7" x14ac:dyDescent="0.25">
      <c r="B18" s="62">
        <v>12</v>
      </c>
      <c r="C18" t="s">
        <v>108</v>
      </c>
      <c r="E18" s="62">
        <v>1</v>
      </c>
      <c r="F18" s="2">
        <v>200000</v>
      </c>
      <c r="G18" s="7">
        <f t="shared" si="0"/>
        <v>200000</v>
      </c>
    </row>
    <row r="19" spans="2:7" x14ac:dyDescent="0.25">
      <c r="B19" s="62"/>
      <c r="C19" s="64" t="s">
        <v>108</v>
      </c>
      <c r="D19" s="64"/>
      <c r="E19" s="64"/>
      <c r="F19" s="65"/>
      <c r="G19" s="64"/>
    </row>
    <row r="20" spans="2:7" x14ac:dyDescent="0.25">
      <c r="B20" s="62">
        <v>13</v>
      </c>
      <c r="C20" t="s">
        <v>109</v>
      </c>
      <c r="E20" s="62">
        <v>1</v>
      </c>
      <c r="F20" s="2">
        <v>20000</v>
      </c>
      <c r="G20" s="7">
        <f t="shared" si="0"/>
        <v>20000</v>
      </c>
    </row>
    <row r="21" spans="2:7" x14ac:dyDescent="0.25">
      <c r="B21" s="62">
        <v>14</v>
      </c>
      <c r="C21" t="s">
        <v>110</v>
      </c>
      <c r="E21" s="62">
        <v>2</v>
      </c>
      <c r="F21" s="2">
        <v>8000</v>
      </c>
      <c r="G21" s="7">
        <f t="shared" si="0"/>
        <v>16000</v>
      </c>
    </row>
    <row r="22" spans="2:7" x14ac:dyDescent="0.25">
      <c r="B22" s="62">
        <v>15</v>
      </c>
      <c r="C22" t="s">
        <v>111</v>
      </c>
      <c r="E22" s="62">
        <v>1</v>
      </c>
      <c r="F22" s="2">
        <v>180000</v>
      </c>
      <c r="G22" s="7">
        <f t="shared" si="0"/>
        <v>180000</v>
      </c>
    </row>
    <row r="23" spans="2:7" x14ac:dyDescent="0.25">
      <c r="B23" s="62">
        <v>16</v>
      </c>
      <c r="C23" t="s">
        <v>112</v>
      </c>
      <c r="E23" s="62">
        <v>1</v>
      </c>
      <c r="F23" s="2">
        <v>50000</v>
      </c>
      <c r="G23" s="7">
        <f t="shared" si="0"/>
        <v>50000</v>
      </c>
    </row>
    <row r="24" spans="2:7" x14ac:dyDescent="0.25">
      <c r="B24" s="62"/>
    </row>
    <row r="25" spans="2:7" x14ac:dyDescent="0.25">
      <c r="B25" s="62"/>
      <c r="D25" s="66" t="s">
        <v>113</v>
      </c>
      <c r="G25" s="8">
        <f>SUM(G6:G23)</f>
        <v>1128000</v>
      </c>
    </row>
    <row r="26" spans="2:7" x14ac:dyDescent="0.25">
      <c r="B26" s="62"/>
    </row>
    <row r="27" spans="2:7" x14ac:dyDescent="0.25">
      <c r="B27" s="62"/>
    </row>
    <row r="28" spans="2:7" x14ac:dyDescent="0.25">
      <c r="B28" s="62"/>
    </row>
  </sheetData>
  <mergeCells count="1">
    <mergeCell ref="B3:G3"/>
  </mergeCells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38600-4239-4F32-AD78-F3CA68D77CA5}">
  <dimension ref="B3:W28"/>
  <sheetViews>
    <sheetView showGridLines="0" tabSelected="1" workbookViewId="0">
      <selection activeCell="C28" sqref="C28"/>
    </sheetView>
  </sheetViews>
  <sheetFormatPr baseColWidth="10" defaultRowHeight="15" x14ac:dyDescent="0.25"/>
  <cols>
    <col min="1" max="1" width="3.5703125" customWidth="1"/>
    <col min="2" max="2" width="23.5703125" bestFit="1" customWidth="1"/>
    <col min="3" max="4" width="13.140625" bestFit="1" customWidth="1"/>
    <col min="5" max="9" width="14.140625" bestFit="1" customWidth="1"/>
  </cols>
  <sheetData>
    <row r="3" spans="2:23" x14ac:dyDescent="0.25">
      <c r="B3" s="1" t="s">
        <v>120</v>
      </c>
    </row>
    <row r="5" spans="2:23" x14ac:dyDescent="0.25">
      <c r="B5" s="1" t="s">
        <v>70</v>
      </c>
    </row>
    <row r="6" spans="2:23" ht="15.75" thickBot="1" x14ac:dyDescent="0.3">
      <c r="C6" s="61" t="s">
        <v>130</v>
      </c>
      <c r="D6" s="61" t="s">
        <v>131</v>
      </c>
      <c r="E6" s="61" t="s">
        <v>132</v>
      </c>
      <c r="F6" s="61" t="s">
        <v>133</v>
      </c>
      <c r="G6" s="61" t="s">
        <v>134</v>
      </c>
      <c r="H6" s="61" t="s">
        <v>135</v>
      </c>
      <c r="I6" s="61" t="s">
        <v>136</v>
      </c>
      <c r="J6" s="61" t="s">
        <v>137</v>
      </c>
      <c r="K6" s="61" t="s">
        <v>138</v>
      </c>
      <c r="L6" s="61" t="s">
        <v>139</v>
      </c>
      <c r="M6" s="61" t="s">
        <v>140</v>
      </c>
      <c r="N6" s="61" t="s">
        <v>141</v>
      </c>
      <c r="O6" s="61" t="s">
        <v>142</v>
      </c>
      <c r="P6" s="61" t="s">
        <v>143</v>
      </c>
      <c r="Q6" s="61" t="s">
        <v>144</v>
      </c>
      <c r="R6" s="61" t="s">
        <v>145</v>
      </c>
      <c r="S6" s="61" t="s">
        <v>146</v>
      </c>
      <c r="T6" s="61" t="s">
        <v>147</v>
      </c>
      <c r="U6" s="61" t="s">
        <v>148</v>
      </c>
      <c r="V6" s="61" t="s">
        <v>149</v>
      </c>
      <c r="W6" s="61" t="s">
        <v>150</v>
      </c>
    </row>
    <row r="7" spans="2:23" x14ac:dyDescent="0.25">
      <c r="B7" t="s">
        <v>115</v>
      </c>
    </row>
    <row r="8" spans="2:23" x14ac:dyDescent="0.25">
      <c r="B8" t="s">
        <v>116</v>
      </c>
      <c r="C8" s="2">
        <v>0</v>
      </c>
      <c r="D8" s="2">
        <f>(C24*C25)</f>
        <v>899600</v>
      </c>
      <c r="E8" s="2">
        <f>+D8</f>
        <v>899600</v>
      </c>
      <c r="F8" s="2">
        <f>+E8</f>
        <v>899600</v>
      </c>
      <c r="G8" s="2">
        <f>+F8</f>
        <v>899600</v>
      </c>
      <c r="H8" s="2">
        <f>+G8</f>
        <v>899600</v>
      </c>
      <c r="I8" s="2">
        <f t="shared" ref="I8:M8" si="0">+H8</f>
        <v>899600</v>
      </c>
      <c r="J8" s="2">
        <f t="shared" si="0"/>
        <v>899600</v>
      </c>
      <c r="K8" s="2">
        <f t="shared" si="0"/>
        <v>899600</v>
      </c>
      <c r="L8" s="2">
        <f t="shared" si="0"/>
        <v>899600</v>
      </c>
      <c r="M8" s="2">
        <f t="shared" si="0"/>
        <v>899600</v>
      </c>
      <c r="N8" s="2">
        <f t="shared" ref="N8:P8" si="1">+M8</f>
        <v>899600</v>
      </c>
      <c r="O8" s="2">
        <f t="shared" si="1"/>
        <v>899600</v>
      </c>
      <c r="P8" s="2">
        <f t="shared" si="1"/>
        <v>899600</v>
      </c>
      <c r="Q8" s="2">
        <f t="shared" ref="Q8:R8" si="2">+P8</f>
        <v>899600</v>
      </c>
      <c r="R8" s="2">
        <f t="shared" si="2"/>
        <v>899600</v>
      </c>
      <c r="S8" s="2">
        <f t="shared" ref="S8:T8" si="3">+R8</f>
        <v>899600</v>
      </c>
      <c r="T8" s="2">
        <f t="shared" si="3"/>
        <v>899600</v>
      </c>
      <c r="U8" s="2">
        <f t="shared" ref="U8:W8" si="4">+T8</f>
        <v>899600</v>
      </c>
      <c r="V8" s="2">
        <f t="shared" si="4"/>
        <v>899600</v>
      </c>
      <c r="W8" s="2">
        <f t="shared" si="4"/>
        <v>899600</v>
      </c>
    </row>
    <row r="10" spans="2:23" x14ac:dyDescent="0.25">
      <c r="B10" s="1" t="s">
        <v>117</v>
      </c>
    </row>
    <row r="11" spans="2:23" x14ac:dyDescent="0.25">
      <c r="B11" t="s">
        <v>118</v>
      </c>
      <c r="D11" s="2">
        <f>+C26</f>
        <v>354380</v>
      </c>
      <c r="E11" s="7">
        <f>+D11</f>
        <v>354380</v>
      </c>
      <c r="F11" s="7">
        <f t="shared" ref="F11:H11" si="5">+E11</f>
        <v>354380</v>
      </c>
      <c r="G11" s="7">
        <f t="shared" si="5"/>
        <v>354380</v>
      </c>
      <c r="H11" s="7">
        <f t="shared" si="5"/>
        <v>354380</v>
      </c>
      <c r="I11" s="7">
        <f t="shared" ref="I11:M11" si="6">+H11</f>
        <v>354380</v>
      </c>
      <c r="J11" s="7">
        <f t="shared" si="6"/>
        <v>354380</v>
      </c>
      <c r="K11" s="7">
        <f t="shared" si="6"/>
        <v>354380</v>
      </c>
      <c r="L11" s="7">
        <f t="shared" si="6"/>
        <v>354380</v>
      </c>
      <c r="M11" s="7">
        <f t="shared" si="6"/>
        <v>354380</v>
      </c>
      <c r="N11" s="7">
        <f t="shared" ref="N11:P11" si="7">+M11</f>
        <v>354380</v>
      </c>
      <c r="O11" s="7">
        <f t="shared" si="7"/>
        <v>354380</v>
      </c>
      <c r="P11" s="7">
        <f t="shared" si="7"/>
        <v>354380</v>
      </c>
      <c r="Q11" s="7">
        <f t="shared" ref="Q11:R11" si="8">+P11</f>
        <v>354380</v>
      </c>
      <c r="R11" s="7">
        <f t="shared" si="8"/>
        <v>354380</v>
      </c>
      <c r="S11" s="7">
        <f t="shared" ref="S11:T11" si="9">+R11</f>
        <v>354380</v>
      </c>
      <c r="T11" s="7">
        <f t="shared" si="9"/>
        <v>354380</v>
      </c>
      <c r="U11" s="7">
        <f t="shared" ref="U11:W11" si="10">+T11</f>
        <v>354380</v>
      </c>
      <c r="V11" s="7">
        <f t="shared" si="10"/>
        <v>354380</v>
      </c>
      <c r="W11" s="7">
        <f t="shared" si="10"/>
        <v>354380</v>
      </c>
    </row>
    <row r="12" spans="2:23" x14ac:dyDescent="0.25">
      <c r="B12" t="s">
        <v>119</v>
      </c>
      <c r="D12" s="7">
        <f>(C24*C27)</f>
        <v>451241.61247363401</v>
      </c>
      <c r="E12" s="7">
        <f>+D12</f>
        <v>451241.61247363401</v>
      </c>
      <c r="F12" s="7">
        <f t="shared" ref="F12:H12" si="11">+E12</f>
        <v>451241.61247363401</v>
      </c>
      <c r="G12" s="7">
        <f t="shared" si="11"/>
        <v>451241.61247363401</v>
      </c>
      <c r="H12" s="7">
        <f t="shared" si="11"/>
        <v>451241.61247363401</v>
      </c>
      <c r="I12" s="7">
        <f t="shared" ref="I12:M12" si="12">+H12</f>
        <v>451241.61247363401</v>
      </c>
      <c r="J12" s="7">
        <f t="shared" si="12"/>
        <v>451241.61247363401</v>
      </c>
      <c r="K12" s="7">
        <f t="shared" si="12"/>
        <v>451241.61247363401</v>
      </c>
      <c r="L12" s="7">
        <f t="shared" si="12"/>
        <v>451241.61247363401</v>
      </c>
      <c r="M12" s="7">
        <f t="shared" si="12"/>
        <v>451241.61247363401</v>
      </c>
      <c r="N12" s="7">
        <f t="shared" ref="N12:P12" si="13">+M12</f>
        <v>451241.61247363401</v>
      </c>
      <c r="O12" s="7">
        <f t="shared" si="13"/>
        <v>451241.61247363401</v>
      </c>
      <c r="P12" s="7">
        <f t="shared" si="13"/>
        <v>451241.61247363401</v>
      </c>
      <c r="Q12" s="7">
        <f t="shared" ref="Q12:R12" si="14">+P12</f>
        <v>451241.61247363401</v>
      </c>
      <c r="R12" s="7">
        <f t="shared" si="14"/>
        <v>451241.61247363401</v>
      </c>
      <c r="S12" s="7">
        <f t="shared" ref="S12:T12" si="15">+R12</f>
        <v>451241.61247363401</v>
      </c>
      <c r="T12" s="7">
        <f t="shared" si="15"/>
        <v>451241.61247363401</v>
      </c>
      <c r="U12" s="7">
        <f t="shared" ref="U12:W12" si="16">+T12</f>
        <v>451241.61247363401</v>
      </c>
      <c r="V12" s="7">
        <f t="shared" si="16"/>
        <v>451241.61247363401</v>
      </c>
      <c r="W12" s="7">
        <f t="shared" si="16"/>
        <v>451241.61247363401</v>
      </c>
    </row>
    <row r="14" spans="2:23" x14ac:dyDescent="0.25">
      <c r="B14" s="1" t="s">
        <v>126</v>
      </c>
      <c r="C14" s="58">
        <f>+Inversion!G25*-1</f>
        <v>-1128000</v>
      </c>
      <c r="D14" s="8">
        <f>+D8-D11-D12</f>
        <v>93978.387526365987</v>
      </c>
      <c r="E14" s="8">
        <f t="shared" ref="E14:H14" si="17">+E8-E11-E12</f>
        <v>93978.387526365987</v>
      </c>
      <c r="F14" s="8">
        <f t="shared" si="17"/>
        <v>93978.387526365987</v>
      </c>
      <c r="G14" s="8">
        <f t="shared" si="17"/>
        <v>93978.387526365987</v>
      </c>
      <c r="H14" s="8">
        <f t="shared" si="17"/>
        <v>93978.387526365987</v>
      </c>
      <c r="I14" s="8">
        <f t="shared" ref="I14:M14" si="18">+I8-I11-I12</f>
        <v>93978.387526365987</v>
      </c>
      <c r="J14" s="8">
        <f t="shared" si="18"/>
        <v>93978.387526365987</v>
      </c>
      <c r="K14" s="8">
        <f t="shared" si="18"/>
        <v>93978.387526365987</v>
      </c>
      <c r="L14" s="8">
        <f t="shared" si="18"/>
        <v>93978.387526365987</v>
      </c>
      <c r="M14" s="8">
        <f t="shared" si="18"/>
        <v>93978.387526365987</v>
      </c>
      <c r="N14" s="8">
        <f t="shared" ref="N14:P14" si="19">+N8-N11-N12</f>
        <v>93978.387526365987</v>
      </c>
      <c r="O14" s="8">
        <f t="shared" si="19"/>
        <v>93978.387526365987</v>
      </c>
      <c r="P14" s="8">
        <f t="shared" si="19"/>
        <v>93978.387526365987</v>
      </c>
      <c r="Q14" s="8">
        <f t="shared" ref="Q14:R14" si="20">+Q8-Q11-Q12</f>
        <v>93978.387526365987</v>
      </c>
      <c r="R14" s="8">
        <f t="shared" si="20"/>
        <v>93978.387526365987</v>
      </c>
      <c r="S14" s="8">
        <f t="shared" ref="S14:T14" si="21">+S8-S11-S12</f>
        <v>93978.387526365987</v>
      </c>
      <c r="T14" s="8">
        <f t="shared" si="21"/>
        <v>93978.387526365987</v>
      </c>
      <c r="U14" s="8">
        <f t="shared" ref="U14:W14" si="22">+U8-U11-U12</f>
        <v>93978.387526365987</v>
      </c>
      <c r="V14" s="8">
        <f t="shared" si="22"/>
        <v>93978.387526365987</v>
      </c>
      <c r="W14" s="8">
        <f t="shared" si="22"/>
        <v>93978.387526365987</v>
      </c>
    </row>
    <row r="17" spans="2:23" x14ac:dyDescent="0.25">
      <c r="V17" s="70" t="s">
        <v>129</v>
      </c>
      <c r="W17" s="74">
        <f>NPV(C28,C14:V14)</f>
        <v>7389.4925050076008</v>
      </c>
    </row>
    <row r="18" spans="2:23" x14ac:dyDescent="0.25">
      <c r="V18" s="70" t="s">
        <v>127</v>
      </c>
      <c r="W18" s="75">
        <f>IRR(C14:W14)</f>
        <v>5.4473486073476352E-2</v>
      </c>
    </row>
    <row r="22" spans="2:23" ht="15.75" thickBot="1" x14ac:dyDescent="0.3">
      <c r="B22" s="77" t="s">
        <v>121</v>
      </c>
      <c r="C22" s="77"/>
      <c r="H22" s="71"/>
    </row>
    <row r="23" spans="2:23" x14ac:dyDescent="0.25">
      <c r="B23" t="s">
        <v>122</v>
      </c>
      <c r="C23" s="69">
        <f>+'Punto de equilibrio'!C12</f>
        <v>3555</v>
      </c>
      <c r="J23" s="73"/>
    </row>
    <row r="24" spans="2:23" x14ac:dyDescent="0.25">
      <c r="B24" t="s">
        <v>123</v>
      </c>
      <c r="C24" s="69">
        <f>+'Punto de equilibrio'!M28</f>
        <v>4498</v>
      </c>
      <c r="J24" s="71"/>
    </row>
    <row r="25" spans="2:23" x14ac:dyDescent="0.25">
      <c r="B25" t="s">
        <v>124</v>
      </c>
      <c r="C25" s="67">
        <f>+'Punto de equilibrio'!C5</f>
        <v>200</v>
      </c>
    </row>
    <row r="26" spans="2:23" x14ac:dyDescent="0.25">
      <c r="B26" t="s">
        <v>77</v>
      </c>
      <c r="C26" s="7">
        <f>+'Punto de equilibrio'!C6</f>
        <v>354380</v>
      </c>
    </row>
    <row r="27" spans="2:23" x14ac:dyDescent="0.25">
      <c r="B27" t="s">
        <v>125</v>
      </c>
      <c r="C27" s="7">
        <f>+'Punto de equilibrio'!C7</f>
        <v>100.32050077226189</v>
      </c>
    </row>
    <row r="28" spans="2:23" x14ac:dyDescent="0.25">
      <c r="B28" t="s">
        <v>128</v>
      </c>
      <c r="C28" s="72">
        <v>0.05</v>
      </c>
    </row>
  </sheetData>
  <mergeCells count="1">
    <mergeCell ref="B22:C22"/>
  </mergeCells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Datos Generales</vt:lpstr>
      <vt:lpstr>Punto de equilibrio</vt:lpstr>
      <vt:lpstr>Inversion</vt:lpstr>
      <vt:lpstr>TIR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Carlos F Florido</dc:creator>
  <cp:lastModifiedBy>Juan Carlos F Florido</cp:lastModifiedBy>
  <dcterms:created xsi:type="dcterms:W3CDTF">2018-10-06T04:19:03Z</dcterms:created>
  <dcterms:modified xsi:type="dcterms:W3CDTF">2018-10-08T03:10:37Z</dcterms:modified>
</cp:coreProperties>
</file>