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autoCompressPictures="0"/>
  <mc:AlternateContent xmlns:mc="http://schemas.openxmlformats.org/markup-compatibility/2006">
    <mc:Choice Requires="x15">
      <x15ac:absPath xmlns:x15ac="http://schemas.microsoft.com/office/spreadsheetml/2010/11/ac" url="C:\Users\tmcclafferty\My ShareSync\Sales\365_Sales_Copy\Sales\Strap and Seal\Compliance\Conflict Minerals\"/>
    </mc:Choice>
  </mc:AlternateContent>
  <xr:revisionPtr revIDLastSave="0" documentId="13_ncr:1_{E542E2F1-7251-4104-ADD1-EFC7731F2CFD}" xr6:coauthVersionLast="45" xr6:coauthVersionMax="45"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E97" i="5"/>
  <c r="X97" i="5" s="1"/>
  <c r="H79" i="5"/>
  <c r="F79" i="5"/>
  <c r="E79" i="5"/>
  <c r="X79" i="5" s="1"/>
  <c r="I79" i="5"/>
  <c r="G79"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74" i="5"/>
  <c r="G86" i="5"/>
  <c r="J107" i="5"/>
  <c r="AB178" i="5"/>
  <c r="V215" i="5"/>
  <c r="G215" i="5" s="1"/>
  <c r="R299" i="5"/>
  <c r="J299" i="5"/>
  <c r="E392" i="5"/>
  <c r="X392" i="5" s="1"/>
  <c r="I392" i="5"/>
  <c r="H392" i="5"/>
  <c r="E62" i="5"/>
  <c r="AB11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39" i="5"/>
  <c r="R139" i="5"/>
  <c r="J139" i="5"/>
  <c r="I139" i="5"/>
  <c r="E139" i="5"/>
  <c r="X139" i="5" s="1"/>
  <c r="F139" i="5"/>
  <c r="E193" i="5"/>
  <c r="X193" i="5" s="1"/>
  <c r="F193" i="5"/>
  <c r="H227" i="5"/>
  <c r="E227" i="5"/>
  <c r="X227" i="5" s="1"/>
  <c r="R227" i="5"/>
  <c r="F227" i="5"/>
  <c r="J227" i="5"/>
  <c r="I227"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83" i="5"/>
  <c r="R83" i="5"/>
  <c r="J83" i="5"/>
  <c r="I83" i="5"/>
  <c r="F83" i="5"/>
  <c r="E83" i="5"/>
  <c r="X83" i="5" s="1"/>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F113" i="5"/>
  <c r="E113" i="5"/>
  <c r="X113" i="5" s="1"/>
  <c r="R113" i="5"/>
  <c r="H155" i="5"/>
  <c r="R155" i="5"/>
  <c r="J155" i="5"/>
  <c r="I155" i="5"/>
  <c r="E155" i="5"/>
  <c r="X155" i="5" s="1"/>
  <c r="F155" i="5"/>
  <c r="H203" i="5"/>
  <c r="R203" i="5"/>
  <c r="J203" i="5"/>
  <c r="I203" i="5"/>
  <c r="E203" i="5"/>
  <c r="X203" i="5" s="1"/>
  <c r="F203" i="5"/>
  <c r="R249" i="5"/>
  <c r="E249" i="5"/>
  <c r="F249"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H62"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R58"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E65" i="5"/>
  <c r="X65" i="5" s="1"/>
  <c r="I66" i="5"/>
  <c r="E81" i="5"/>
  <c r="X81" i="5" s="1"/>
  <c r="I82"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J1149" i="5" s="1"/>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J1430" i="5" s="1"/>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J1632" i="5" s="1"/>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H114" i="5"/>
  <c r="F118" i="5"/>
  <c r="R118" i="5"/>
  <c r="J118"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AB109" i="5"/>
  <c r="E117" i="5"/>
  <c r="X117" i="5" s="1"/>
  <c r="J121" i="5"/>
  <c r="I121" i="5"/>
  <c r="H121" i="5"/>
  <c r="AB141" i="5"/>
  <c r="H146" i="5"/>
  <c r="F150" i="5"/>
  <c r="R150" i="5"/>
  <c r="J150"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J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V1191" i="5"/>
  <c r="S1192" i="5"/>
  <c r="I1197"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R1632" i="5"/>
  <c r="V1639" i="5"/>
  <c r="AB1643" i="5"/>
  <c r="AB1658" i="5"/>
  <c r="T1658" i="5"/>
  <c r="S1658" i="5"/>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337" i="5"/>
  <c r="T437" i="5"/>
  <c r="T349" i="5"/>
  <c r="T433" i="5"/>
  <c r="T179" i="5"/>
  <c r="S511" i="5"/>
  <c r="S147" i="5"/>
  <c r="T158" i="5"/>
  <c r="T193" i="5"/>
  <c r="S193" i="5"/>
  <c r="S203" i="5"/>
  <c r="T182" i="5"/>
  <c r="T165" i="5"/>
  <c r="T213" i="5"/>
  <c r="T384" i="5"/>
  <c r="T84" i="5"/>
  <c r="T123" i="5"/>
  <c r="T250" i="5"/>
  <c r="T61" i="5"/>
  <c r="S85"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S61" i="5"/>
  <c r="T76" i="5"/>
  <c r="S123" i="5"/>
  <c r="S177" i="5"/>
  <c r="T186" i="5"/>
  <c r="T226" i="5"/>
  <c r="T327" i="5"/>
  <c r="S361"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55" i="5"/>
  <c r="S83" i="5"/>
  <c r="S95" i="5"/>
  <c r="S161" i="5"/>
  <c r="S171" i="5"/>
  <c r="T119" i="5"/>
  <c r="T183" i="5"/>
  <c r="T131" i="5"/>
  <c r="T195" i="5"/>
  <c r="T206" i="5"/>
  <c r="T294" i="5"/>
  <c r="T142" i="5"/>
  <c r="T93" i="5"/>
  <c r="S113" i="5"/>
  <c r="S145" i="5"/>
  <c r="T154" i="5"/>
  <c r="T214" i="5"/>
  <c r="T298" i="5"/>
  <c r="T56" i="5"/>
  <c r="T64" i="5"/>
  <c r="T69" i="5"/>
  <c r="T8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55" i="5"/>
  <c r="S75" i="5"/>
  <c r="T83" i="5"/>
  <c r="T106" i="5"/>
  <c r="T139" i="5"/>
  <c r="T173" i="5"/>
  <c r="T221" i="5"/>
  <c r="T242" i="5"/>
  <c r="S119" i="5"/>
  <c r="S183" i="5"/>
  <c r="T118" i="5"/>
  <c r="S131" i="5"/>
  <c r="S195" i="5"/>
  <c r="T111" i="5"/>
  <c r="T174" i="5"/>
  <c r="T331" i="5"/>
  <c r="S65" i="5"/>
  <c r="T85" i="5"/>
  <c r="T187" i="5"/>
  <c r="T361"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75" i="5"/>
  <c r="S129" i="5"/>
  <c r="T141" i="5"/>
  <c r="T371" i="5"/>
  <c r="T185" i="5"/>
  <c r="T133" i="5"/>
  <c r="T197" i="5"/>
  <c r="T278" i="5"/>
  <c r="S408" i="5"/>
  <c r="S111" i="5"/>
  <c r="T143" i="5"/>
  <c r="S197" i="5"/>
  <c r="T77" i="5"/>
  <c r="T96" i="5"/>
  <c r="T155" i="5"/>
  <c r="S187" i="5"/>
  <c r="T28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S67" i="5"/>
  <c r="T107" i="5"/>
  <c r="T323" i="5"/>
  <c r="T101" i="5"/>
  <c r="T113" i="5"/>
  <c r="S143" i="5"/>
  <c r="S175" i="5"/>
  <c r="S57" i="5"/>
  <c r="S69" i="5"/>
  <c r="S89" i="5"/>
  <c r="S155"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9" i="5"/>
  <c r="T67" i="5"/>
  <c r="S99" i="5"/>
  <c r="T109" i="5"/>
  <c r="T162" i="5"/>
  <c r="T246" i="5"/>
  <c r="T307" i="5"/>
  <c r="T145" i="5"/>
  <c r="T177" i="5"/>
  <c r="S81" i="5"/>
  <c r="T157" i="5"/>
  <c r="T81" i="5"/>
  <c r="T122"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59" i="5"/>
  <c r="T79" i="5"/>
  <c r="T99" i="5"/>
  <c r="T170" i="5"/>
  <c r="T203" i="5"/>
  <c r="T210" i="5"/>
  <c r="T274" i="5"/>
  <c r="T153" i="5"/>
  <c r="T351" i="5"/>
  <c r="T222" i="5"/>
  <c r="T57" i="5"/>
  <c r="S73" i="5"/>
  <c r="T92" i="5"/>
  <c r="T97"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484" i="5"/>
  <c r="T266" i="5"/>
  <c r="T344" i="5"/>
  <c r="T146" i="5"/>
  <c r="T117" i="5"/>
  <c r="T404" i="5"/>
  <c r="B52" i="5" l="1"/>
  <c r="C52" i="5"/>
  <c r="B53" i="5"/>
  <c r="C53" i="5"/>
  <c r="B39" i="5"/>
  <c r="B43" i="5"/>
  <c r="B47" i="5"/>
  <c r="B51" i="5"/>
  <c r="C40" i="5"/>
  <c r="C44" i="5"/>
  <c r="C48" i="5"/>
  <c r="B40" i="5"/>
  <c r="B44" i="5"/>
  <c r="B48" i="5"/>
  <c r="C37" i="5"/>
  <c r="C41" i="5"/>
  <c r="C45" i="5"/>
  <c r="C49" i="5"/>
  <c r="B37" i="5"/>
  <c r="B41" i="5"/>
  <c r="B45" i="5"/>
  <c r="B49" i="5"/>
  <c r="C38" i="5"/>
  <c r="C42" i="5"/>
  <c r="C46" i="5"/>
  <c r="C50" i="5"/>
  <c r="B38" i="5"/>
  <c r="B42" i="5"/>
  <c r="B46" i="5"/>
  <c r="B50" i="5"/>
  <c r="C39" i="5"/>
  <c r="C43" i="5"/>
  <c r="C47" i="5"/>
  <c r="C51" i="5"/>
  <c r="B29" i="5"/>
  <c r="B33" i="5"/>
  <c r="C28" i="5"/>
  <c r="C32" i="5"/>
  <c r="C36" i="5"/>
  <c r="B30" i="5"/>
  <c r="B34" i="5"/>
  <c r="C29" i="5"/>
  <c r="C33" i="5"/>
  <c r="B32" i="5"/>
  <c r="C31" i="5"/>
  <c r="B27" i="5"/>
  <c r="B31" i="5"/>
  <c r="B35" i="5"/>
  <c r="C30" i="5"/>
  <c r="C34" i="5"/>
  <c r="B28" i="5"/>
  <c r="B36" i="5"/>
  <c r="C27" i="5"/>
  <c r="C35" i="5"/>
  <c r="C11" i="6"/>
  <c r="B9" i="5"/>
  <c r="B13" i="5"/>
  <c r="B17" i="5"/>
  <c r="B21" i="5"/>
  <c r="B25" i="5"/>
  <c r="C8" i="5"/>
  <c r="C12" i="5"/>
  <c r="C16" i="5"/>
  <c r="C20" i="5"/>
  <c r="C24" i="5"/>
  <c r="B10" i="5"/>
  <c r="B14" i="5"/>
  <c r="B18" i="5"/>
  <c r="B22" i="5"/>
  <c r="B26" i="5"/>
  <c r="C9" i="5"/>
  <c r="C13" i="5"/>
  <c r="C17" i="5"/>
  <c r="C21" i="5"/>
  <c r="C25" i="5"/>
  <c r="B7" i="5"/>
  <c r="B11" i="5"/>
  <c r="B15" i="5"/>
  <c r="B19" i="5"/>
  <c r="B23" i="5"/>
  <c r="C10" i="5"/>
  <c r="C14" i="5"/>
  <c r="C18" i="5"/>
  <c r="C22" i="5"/>
  <c r="C26" i="5"/>
  <c r="B8" i="5"/>
  <c r="B12" i="5"/>
  <c r="B16" i="5"/>
  <c r="B20" i="5"/>
  <c r="B24" i="5"/>
  <c r="C7" i="5"/>
  <c r="C11" i="5"/>
  <c r="C15" i="5"/>
  <c r="C19" i="5"/>
  <c r="C23" i="5"/>
  <c r="C10" i="6"/>
  <c r="C6" i="5"/>
  <c r="B6" i="5"/>
  <c r="C9" i="6"/>
  <c r="C5" i="5"/>
  <c r="B5" i="5"/>
  <c r="C8" i="6"/>
  <c r="E1632" i="5"/>
  <c r="X1632" i="5" s="1"/>
  <c r="E1269" i="5"/>
  <c r="X1269" i="5" s="1"/>
  <c r="R1260" i="5"/>
  <c r="R2326" i="5"/>
  <c r="R2173" i="5"/>
  <c r="H1609" i="5"/>
  <c r="F1198" i="5"/>
  <c r="F720" i="5"/>
  <c r="G746" i="5"/>
  <c r="R2011" i="5"/>
  <c r="E2011" i="5"/>
  <c r="X2011" i="5" s="1"/>
  <c r="J1801" i="5"/>
  <c r="R1801" i="5"/>
  <c r="H1632" i="5"/>
  <c r="F1260" i="5"/>
  <c r="I1632" i="5"/>
  <c r="H1190" i="5"/>
  <c r="R1079" i="5"/>
  <c r="I1079" i="5"/>
  <c r="G1260" i="5"/>
  <c r="E1664" i="5"/>
  <c r="X1664" i="5" s="1"/>
  <c r="I1260" i="5"/>
  <c r="H967" i="5"/>
  <c r="E746" i="5"/>
  <c r="X746" i="5" s="1"/>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504" i="5"/>
  <c r="X503" i="5"/>
  <c r="X338" i="5"/>
  <c r="X121" i="5"/>
  <c r="X323" i="5"/>
  <c r="X360" i="5"/>
  <c r="X483" i="5"/>
  <c r="X326" i="5"/>
  <c r="X310" i="5"/>
  <c r="X146" i="5"/>
  <c r="X488" i="5"/>
  <c r="X514" i="5"/>
  <c r="X498" i="5"/>
  <c r="X482" i="5"/>
  <c r="X558" i="5"/>
  <c r="X555" i="5"/>
  <c r="X535" i="5"/>
  <c r="X230" i="5"/>
  <c r="X149" i="5"/>
  <c r="X530" i="5"/>
  <c r="X387" i="5"/>
  <c r="X122" i="5"/>
  <c r="X546" i="5"/>
  <c r="X559" i="5"/>
  <c r="S532" i="5"/>
  <c r="X336" i="5"/>
  <c r="X356" i="5"/>
  <c r="S356" i="5"/>
  <c r="X318" i="5"/>
  <c r="X154" i="5"/>
  <c r="X214" i="5"/>
  <c r="X233" i="5"/>
  <c r="X70" i="5"/>
  <c r="X329" i="5"/>
  <c r="X98" i="5"/>
  <c r="X241" i="5"/>
  <c r="X301" i="5"/>
  <c r="X198" i="5"/>
  <c r="X134" i="5"/>
  <c r="X234" i="5"/>
  <c r="X174" i="5"/>
  <c r="X353" i="5"/>
  <c r="S343" i="5"/>
  <c r="X158" i="5"/>
  <c r="X331" i="5"/>
  <c r="X246" i="5"/>
  <c r="X114" i="5"/>
  <c r="X333" i="5"/>
  <c r="X82" i="5"/>
  <c r="X451" i="5"/>
  <c r="X78" i="5"/>
  <c r="X335" i="5"/>
  <c r="X282" i="5"/>
  <c r="X206" i="5"/>
  <c r="X162" i="5"/>
  <c r="X325" i="5"/>
  <c r="X138" i="5"/>
  <c r="X142" i="5"/>
  <c r="X126" i="5"/>
  <c r="X217" i="5"/>
  <c r="X278" i="5"/>
  <c r="X182" i="5"/>
  <c r="X218" i="5"/>
  <c r="X86" i="5"/>
  <c r="X202" i="5"/>
  <c r="X369" i="5"/>
  <c r="X315" i="5"/>
  <c r="S315" i="5"/>
  <c r="X96" i="5"/>
  <c r="X327" i="5"/>
  <c r="X118" i="5"/>
  <c r="X311" i="5"/>
  <c r="X253" i="5"/>
  <c r="X54" i="5"/>
  <c r="X317" i="5"/>
  <c r="X66" i="5"/>
  <c r="X373" i="5"/>
  <c r="X62" i="5"/>
  <c r="X357" i="5"/>
  <c r="S357" i="5"/>
  <c r="X90" i="5"/>
  <c r="X130" i="5"/>
  <c r="X383" i="5"/>
  <c r="S383" i="5"/>
  <c r="X313" i="5"/>
  <c r="X92" i="5"/>
  <c r="X76" i="5"/>
  <c r="X250" i="5"/>
  <c r="X319" i="5"/>
  <c r="X242" i="5"/>
  <c r="X345" i="5"/>
  <c r="X285" i="5"/>
  <c r="X321" i="5"/>
  <c r="X249" i="5"/>
  <c r="X309" i="5"/>
  <c r="C12" i="6"/>
  <c r="C7" i="6"/>
  <c r="B32" i="6"/>
  <c r="G32" i="6" s="1"/>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91" i="5"/>
  <c r="R91" i="5"/>
  <c r="E91" i="5"/>
  <c r="I91" i="5"/>
  <c r="J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B52" i="6"/>
  <c r="G52" i="6" s="1"/>
  <c r="B37" i="6"/>
  <c r="G37" i="6" s="1"/>
  <c r="B42" i="6"/>
  <c r="G42" i="6" s="1"/>
  <c r="B40" i="6"/>
  <c r="G40" i="6" s="1"/>
  <c r="B50" i="6"/>
  <c r="G50" i="6" s="1"/>
  <c r="B25" i="6"/>
  <c r="G25" i="6" s="1"/>
  <c r="B35" i="6"/>
  <c r="G35" i="6" s="1"/>
  <c r="B39" i="6"/>
  <c r="G39" i="6" s="1"/>
  <c r="F24" i="6"/>
  <c r="F34" i="6" s="1"/>
  <c r="C14" i="6"/>
  <c r="B44" i="6"/>
  <c r="G44" i="6" s="1"/>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27" i="6"/>
  <c r="F68" i="6"/>
  <c r="F32" i="6"/>
  <c r="F52" i="6"/>
  <c r="H52" i="6" s="1"/>
  <c r="D52" i="6" s="1"/>
  <c r="F47" i="6"/>
  <c r="F37" i="6"/>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121" i="5"/>
  <c r="S360" i="5"/>
  <c r="S146" i="5"/>
  <c r="S482" i="5"/>
  <c r="S149" i="5"/>
  <c r="S546" i="5"/>
  <c r="S117" i="5"/>
  <c r="S353" i="5"/>
  <c r="S178" i="5"/>
  <c r="S563" i="5"/>
  <c r="S459" i="5"/>
  <c r="S278" i="5"/>
  <c r="S222" i="5"/>
  <c r="S327" i="5"/>
  <c r="S311" i="5"/>
  <c r="S373" i="5"/>
  <c r="S130" i="5"/>
  <c r="S56"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69" i="5"/>
  <c r="S381"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V43" i="5" l="1"/>
  <c r="F43" i="5" s="1"/>
  <c r="H50" i="6"/>
  <c r="D50" i="6" s="1"/>
  <c r="V53" i="5"/>
  <c r="G53" i="5" s="1"/>
  <c r="AB53" i="5"/>
  <c r="V52" i="5"/>
  <c r="G52" i="5" s="1"/>
  <c r="AB52" i="5"/>
  <c r="AB42" i="5"/>
  <c r="V42" i="5"/>
  <c r="AB41" i="5"/>
  <c r="V41" i="5"/>
  <c r="G41" i="5" s="1"/>
  <c r="AB40" i="5"/>
  <c r="AB51" i="5"/>
  <c r="V39" i="5"/>
  <c r="G39" i="5" s="1"/>
  <c r="AB38" i="5"/>
  <c r="V38" i="5"/>
  <c r="G38" i="5" s="1"/>
  <c r="AB37" i="5"/>
  <c r="V37" i="5"/>
  <c r="V48" i="5"/>
  <c r="G48" i="5" s="1"/>
  <c r="AB47" i="5"/>
  <c r="V51" i="5"/>
  <c r="G51" i="5" s="1"/>
  <c r="AB50" i="5"/>
  <c r="V50" i="5"/>
  <c r="G50" i="5" s="1"/>
  <c r="AB49" i="5"/>
  <c r="V49" i="5"/>
  <c r="AB48" i="5"/>
  <c r="V44" i="5"/>
  <c r="AB43" i="5"/>
  <c r="V47" i="5"/>
  <c r="G47" i="5" s="1"/>
  <c r="AB46" i="5"/>
  <c r="V46" i="5"/>
  <c r="G46" i="5" s="1"/>
  <c r="AB45" i="5"/>
  <c r="V45" i="5"/>
  <c r="AB44" i="5"/>
  <c r="V40" i="5"/>
  <c r="AB39" i="5"/>
  <c r="V35" i="5"/>
  <c r="G35" i="5" s="1"/>
  <c r="V34" i="5"/>
  <c r="G34" i="5" s="1"/>
  <c r="AB27" i="5"/>
  <c r="V29" i="5"/>
  <c r="G29" i="5" s="1"/>
  <c r="V32" i="5"/>
  <c r="G32" i="5" s="1"/>
  <c r="V27" i="5"/>
  <c r="V30" i="5"/>
  <c r="G30" i="5" s="1"/>
  <c r="V31" i="5"/>
  <c r="AB34" i="5"/>
  <c r="V28" i="5"/>
  <c r="AB36" i="5"/>
  <c r="AB35" i="5"/>
  <c r="AB32" i="5"/>
  <c r="AB30" i="5"/>
  <c r="AB33" i="5"/>
  <c r="AB28" i="5"/>
  <c r="AB31" i="5"/>
  <c r="V33" i="5"/>
  <c r="G33" i="5" s="1"/>
  <c r="V36" i="5"/>
  <c r="G36" i="5" s="1"/>
  <c r="AB29" i="5"/>
  <c r="V23" i="5"/>
  <c r="G23" i="5" s="1"/>
  <c r="V18" i="5"/>
  <c r="G18" i="5" s="1"/>
  <c r="AB19" i="5"/>
  <c r="V25" i="5"/>
  <c r="AB21" i="5"/>
  <c r="V19" i="5"/>
  <c r="AB24" i="5"/>
  <c r="V21" i="5"/>
  <c r="AB26" i="5"/>
  <c r="AB20" i="5"/>
  <c r="V26" i="5"/>
  <c r="G26" i="5" s="1"/>
  <c r="AB22" i="5"/>
  <c r="V24" i="5"/>
  <c r="G24" i="5" s="1"/>
  <c r="V22" i="5"/>
  <c r="G22" i="5" s="1"/>
  <c r="AB23" i="5"/>
  <c r="AB18" i="5"/>
  <c r="V20" i="5"/>
  <c r="AB25" i="5"/>
  <c r="AB6" i="5"/>
  <c r="V6" i="5"/>
  <c r="G6" i="5" s="1"/>
  <c r="AB5" i="5"/>
  <c r="V5" i="5"/>
  <c r="G5" i="5" s="1"/>
  <c r="H42" i="6"/>
  <c r="D42" i="6" s="1"/>
  <c r="F44" i="6"/>
  <c r="H44" i="6" s="1"/>
  <c r="D44" i="6" s="1"/>
  <c r="F49" i="6"/>
  <c r="H37" i="6"/>
  <c r="D37" i="6" s="1"/>
  <c r="F65" i="6"/>
  <c r="F54" i="6"/>
  <c r="F63" i="6" s="1"/>
  <c r="H63" i="6" s="1"/>
  <c r="F39" i="6"/>
  <c r="H39" i="6" s="1"/>
  <c r="D39"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1" i="6"/>
  <c r="C20" i="6"/>
  <c r="D20" i="6"/>
  <c r="C2" i="6"/>
  <c r="B2" i="6"/>
  <c r="F57" i="6"/>
  <c r="H57" i="6" s="1"/>
  <c r="H54" i="6"/>
  <c r="F62" i="6"/>
  <c r="H62" i="6" s="1"/>
  <c r="F58" i="6"/>
  <c r="H58" i="6" s="1"/>
  <c r="F60" i="6"/>
  <c r="H60" i="6" s="1"/>
  <c r="F59" i="6"/>
  <c r="H59" i="6" s="1"/>
  <c r="F55" i="6"/>
  <c r="C37" i="6"/>
  <c r="D25" i="6"/>
  <c r="C25"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H43" i="5" l="1"/>
  <c r="I43" i="5"/>
  <c r="E43" i="5"/>
  <c r="G43" i="5"/>
  <c r="J43" i="5"/>
  <c r="R43" i="5"/>
  <c r="C40" i="6"/>
  <c r="R52" i="5"/>
  <c r="H52" i="5"/>
  <c r="I52" i="5"/>
  <c r="F52" i="5"/>
  <c r="E52" i="5"/>
  <c r="J52" i="5"/>
  <c r="R53" i="5"/>
  <c r="E53" i="5"/>
  <c r="F53" i="5"/>
  <c r="J53" i="5"/>
  <c r="H53" i="5"/>
  <c r="I53" i="5"/>
  <c r="R40" i="5"/>
  <c r="F40" i="5"/>
  <c r="I40" i="5"/>
  <c r="J40" i="5"/>
  <c r="E40" i="5"/>
  <c r="H40" i="5"/>
  <c r="R45" i="5"/>
  <c r="F45" i="5"/>
  <c r="J45" i="5"/>
  <c r="I45" i="5"/>
  <c r="H45" i="5"/>
  <c r="E45" i="5"/>
  <c r="R44" i="5"/>
  <c r="J44" i="5"/>
  <c r="H44" i="5"/>
  <c r="I44" i="5"/>
  <c r="F44" i="5"/>
  <c r="E44" i="5"/>
  <c r="R49" i="5"/>
  <c r="H49" i="5"/>
  <c r="F49" i="5"/>
  <c r="E49" i="5"/>
  <c r="I49" i="5"/>
  <c r="J49" i="5"/>
  <c r="R37" i="5"/>
  <c r="I37" i="5"/>
  <c r="E37" i="5"/>
  <c r="F37" i="5"/>
  <c r="J37" i="5"/>
  <c r="H37" i="5"/>
  <c r="H38" i="5"/>
  <c r="R38" i="5"/>
  <c r="J38" i="5"/>
  <c r="I38" i="5"/>
  <c r="E38" i="5"/>
  <c r="F38" i="5"/>
  <c r="H39" i="5"/>
  <c r="E39" i="5"/>
  <c r="R39" i="5"/>
  <c r="I39" i="5"/>
  <c r="J39" i="5"/>
  <c r="F39" i="5"/>
  <c r="E42" i="5"/>
  <c r="R42" i="5"/>
  <c r="F42" i="5"/>
  <c r="H42" i="5"/>
  <c r="J42" i="5"/>
  <c r="I42" i="5"/>
  <c r="R46" i="5"/>
  <c r="H46" i="5"/>
  <c r="I46" i="5"/>
  <c r="F46" i="5"/>
  <c r="E46" i="5"/>
  <c r="J46" i="5"/>
  <c r="H47" i="5"/>
  <c r="J47" i="5"/>
  <c r="E47" i="5"/>
  <c r="I47" i="5"/>
  <c r="R47" i="5"/>
  <c r="F47" i="5"/>
  <c r="R50" i="5"/>
  <c r="I50" i="5"/>
  <c r="E50" i="5"/>
  <c r="F50" i="5"/>
  <c r="H50" i="5"/>
  <c r="J50" i="5"/>
  <c r="R51" i="5"/>
  <c r="F51" i="5"/>
  <c r="J51" i="5"/>
  <c r="E51" i="5"/>
  <c r="H51" i="5"/>
  <c r="I51" i="5"/>
  <c r="R48" i="5"/>
  <c r="I48" i="5"/>
  <c r="J48" i="5"/>
  <c r="E48" i="5"/>
  <c r="H48" i="5"/>
  <c r="F48" i="5"/>
  <c r="G40" i="5"/>
  <c r="G45" i="5"/>
  <c r="G44" i="5"/>
  <c r="G49" i="5"/>
  <c r="G37" i="5"/>
  <c r="E41" i="5"/>
  <c r="I41" i="5"/>
  <c r="J41" i="5"/>
  <c r="H41" i="5"/>
  <c r="R41" i="5"/>
  <c r="F41" i="5"/>
  <c r="G42" i="5"/>
  <c r="E28" i="5"/>
  <c r="J28" i="5"/>
  <c r="H28" i="5"/>
  <c r="F28" i="5"/>
  <c r="R28" i="5"/>
  <c r="I28" i="5"/>
  <c r="H31" i="5"/>
  <c r="F31" i="5"/>
  <c r="J31" i="5"/>
  <c r="R31" i="5"/>
  <c r="E31" i="5"/>
  <c r="I31" i="5"/>
  <c r="E27" i="5"/>
  <c r="R27" i="5"/>
  <c r="H27" i="5"/>
  <c r="J27" i="5"/>
  <c r="F27" i="5"/>
  <c r="I27" i="5"/>
  <c r="H29" i="5"/>
  <c r="E29" i="5"/>
  <c r="R29" i="5"/>
  <c r="F29" i="5"/>
  <c r="J29" i="5"/>
  <c r="I29" i="5"/>
  <c r="R36" i="5"/>
  <c r="H36" i="5"/>
  <c r="F36" i="5"/>
  <c r="I36" i="5"/>
  <c r="J36" i="5"/>
  <c r="E36" i="5"/>
  <c r="R34" i="5"/>
  <c r="F34" i="5"/>
  <c r="E34" i="5"/>
  <c r="H34" i="5"/>
  <c r="J34" i="5"/>
  <c r="I34" i="5"/>
  <c r="G28" i="5"/>
  <c r="I30" i="5"/>
  <c r="F30" i="5"/>
  <c r="E30" i="5"/>
  <c r="R30" i="5"/>
  <c r="J30" i="5"/>
  <c r="H30" i="5"/>
  <c r="R32" i="5"/>
  <c r="F32" i="5"/>
  <c r="I32" i="5"/>
  <c r="H32" i="5"/>
  <c r="J32" i="5"/>
  <c r="E32" i="5"/>
  <c r="R33" i="5"/>
  <c r="J33" i="5"/>
  <c r="E33" i="5"/>
  <c r="H33" i="5"/>
  <c r="I33" i="5"/>
  <c r="F33" i="5"/>
  <c r="G31" i="5"/>
  <c r="G27" i="5"/>
  <c r="H35" i="5"/>
  <c r="I35" i="5"/>
  <c r="E35" i="5"/>
  <c r="F35" i="5"/>
  <c r="R35" i="5"/>
  <c r="J35" i="5"/>
  <c r="R20" i="5"/>
  <c r="I20" i="5"/>
  <c r="F20" i="5"/>
  <c r="E20" i="5"/>
  <c r="H20" i="5"/>
  <c r="J20" i="5"/>
  <c r="H21" i="5"/>
  <c r="J21" i="5"/>
  <c r="E21" i="5"/>
  <c r="F21" i="5"/>
  <c r="I21" i="5"/>
  <c r="R21" i="5"/>
  <c r="R19" i="5"/>
  <c r="I19" i="5"/>
  <c r="J19" i="5"/>
  <c r="F19" i="5"/>
  <c r="H19" i="5"/>
  <c r="E19" i="5"/>
  <c r="H25" i="5"/>
  <c r="I25" i="5"/>
  <c r="F25" i="5"/>
  <c r="J25" i="5"/>
  <c r="R25" i="5"/>
  <c r="E25" i="5"/>
  <c r="R24" i="5"/>
  <c r="I24" i="5"/>
  <c r="J24" i="5"/>
  <c r="H24" i="5"/>
  <c r="F24" i="5"/>
  <c r="E24" i="5"/>
  <c r="I26" i="5"/>
  <c r="H26" i="5"/>
  <c r="F26" i="5"/>
  <c r="J26" i="5"/>
  <c r="R26" i="5"/>
  <c r="E26" i="5"/>
  <c r="I18" i="5"/>
  <c r="E18" i="5"/>
  <c r="R18" i="5"/>
  <c r="F18" i="5"/>
  <c r="H18" i="5"/>
  <c r="J18" i="5"/>
  <c r="G20" i="5"/>
  <c r="I22" i="5"/>
  <c r="R22" i="5"/>
  <c r="H22" i="5"/>
  <c r="F22" i="5"/>
  <c r="J22" i="5"/>
  <c r="E22" i="5"/>
  <c r="G21" i="5"/>
  <c r="G19" i="5"/>
  <c r="G25" i="5"/>
  <c r="H23" i="5"/>
  <c r="F23" i="5"/>
  <c r="I23" i="5"/>
  <c r="R23" i="5"/>
  <c r="J23" i="5"/>
  <c r="E23" i="5"/>
  <c r="R6" i="5"/>
  <c r="F6" i="5"/>
  <c r="H6" i="5"/>
  <c r="J6" i="5"/>
  <c r="E6" i="5"/>
  <c r="I6" i="5"/>
  <c r="H5" i="5"/>
  <c r="F5" i="5"/>
  <c r="J5" i="5"/>
  <c r="R5" i="5"/>
  <c r="I5" i="5"/>
  <c r="E5" i="5"/>
  <c r="C26" i="6"/>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53" i="5"/>
  <c r="T52" i="5"/>
  <c r="T30" i="5"/>
  <c r="T18" i="5"/>
  <c r="T46" i="5"/>
  <c r="T26" i="5"/>
  <c r="T36" i="5"/>
  <c r="T44" i="5"/>
  <c r="T40" i="5"/>
  <c r="T5" i="5"/>
  <c r="T45" i="5"/>
  <c r="T10" i="5"/>
  <c r="T11" i="5"/>
  <c r="T27" i="5"/>
  <c r="T14" i="5"/>
  <c r="S43" i="5"/>
  <c r="T38" i="5"/>
  <c r="T39" i="5"/>
  <c r="T42" i="5"/>
  <c r="T48" i="5"/>
  <c r="T25" i="5"/>
  <c r="T28" i="5"/>
  <c r="T24" i="5"/>
  <c r="T35" i="5"/>
  <c r="T43" i="5"/>
  <c r="T29" i="5"/>
  <c r="T21" i="5"/>
  <c r="T16" i="5"/>
  <c r="T20" i="5"/>
  <c r="T19" i="5"/>
  <c r="T32" i="5"/>
  <c r="T23" i="5"/>
  <c r="T50" i="5"/>
  <c r="T41" i="5"/>
  <c r="T7" i="5"/>
  <c r="T49" i="5"/>
  <c r="T12" i="5"/>
  <c r="T22" i="5"/>
  <c r="T13" i="5"/>
  <c r="T6" i="5"/>
  <c r="T17" i="5"/>
  <c r="T31" i="5"/>
  <c r="T47" i="5"/>
  <c r="T9" i="5"/>
  <c r="T33" i="5"/>
  <c r="T34" i="5"/>
  <c r="T51" i="5"/>
  <c r="T8" i="5"/>
  <c r="T15" i="5"/>
  <c r="T37" i="5"/>
  <c r="X43" i="5" l="1"/>
  <c r="X53" i="5"/>
  <c r="X52" i="5"/>
  <c r="X41" i="5"/>
  <c r="X48" i="5"/>
  <c r="X45" i="5"/>
  <c r="X50" i="5"/>
  <c r="X42" i="5"/>
  <c r="X38" i="5"/>
  <c r="X37" i="5"/>
  <c r="X51" i="5"/>
  <c r="X39" i="5"/>
  <c r="X49" i="5"/>
  <c r="X44" i="5"/>
  <c r="X47" i="5"/>
  <c r="X46" i="5"/>
  <c r="X40" i="5"/>
  <c r="X35" i="5"/>
  <c r="X33" i="5"/>
  <c r="X30" i="5"/>
  <c r="X29" i="5"/>
  <c r="X32" i="5"/>
  <c r="X34" i="5"/>
  <c r="X31" i="5"/>
  <c r="X36" i="5"/>
  <c r="X27" i="5"/>
  <c r="X28" i="5"/>
  <c r="X26" i="5"/>
  <c r="X25" i="5"/>
  <c r="X20" i="5"/>
  <c r="X23" i="5"/>
  <c r="X18" i="5"/>
  <c r="X24" i="5"/>
  <c r="X19" i="5"/>
  <c r="X22" i="5"/>
  <c r="X21" i="5"/>
  <c r="X6" i="5"/>
  <c r="X5" i="5"/>
  <c r="C68" i="6"/>
  <c r="X13" i="5"/>
  <c r="X10" i="5"/>
  <c r="D65" i="6"/>
  <c r="X9" i="5"/>
  <c r="X12" i="5"/>
  <c r="X14" i="5"/>
  <c r="X17" i="5"/>
  <c r="D66" i="6"/>
  <c r="C67" i="6"/>
  <c r="X11" i="5"/>
  <c r="X15" i="5"/>
  <c r="X8" i="5"/>
  <c r="X7" i="5"/>
  <c r="G69" i="6"/>
  <c r="H69" i="6" s="1"/>
  <c r="H70" i="6" s="1"/>
  <c r="D2" i="6" s="1"/>
  <c r="X16" i="5"/>
  <c r="D55" i="6"/>
  <c r="C55" i="6"/>
  <c r="D56" i="6"/>
  <c r="C56" i="6"/>
  <c r="S53" i="5"/>
  <c r="S52" i="5"/>
  <c r="S18" i="5"/>
  <c r="S19" i="5"/>
  <c r="S39" i="5"/>
  <c r="S33" i="5"/>
  <c r="S36" i="5"/>
  <c r="S8" i="5"/>
  <c r="S16" i="5"/>
  <c r="S45" i="5"/>
  <c r="S31" i="5"/>
  <c r="S22" i="5"/>
  <c r="S14" i="5"/>
  <c r="S40" i="5"/>
  <c r="S29" i="5"/>
  <c r="S26" i="5"/>
  <c r="S21" i="5"/>
  <c r="S46" i="5"/>
  <c r="S11" i="5"/>
  <c r="S27" i="5"/>
  <c r="S7" i="5"/>
  <c r="S24" i="5"/>
  <c r="S10" i="5"/>
  <c r="S30" i="5"/>
  <c r="S51" i="5"/>
  <c r="S6" i="5"/>
  <c r="S9" i="5"/>
  <c r="S25" i="5"/>
  <c r="S42" i="5"/>
  <c r="S37" i="5"/>
  <c r="S23" i="5"/>
  <c r="S38" i="5"/>
  <c r="S35" i="5"/>
  <c r="S50" i="5"/>
  <c r="S48" i="5"/>
  <c r="S41" i="5"/>
  <c r="S47" i="5"/>
  <c r="S5" i="5"/>
  <c r="S15" i="5"/>
  <c r="S28" i="5"/>
  <c r="S49" i="5"/>
  <c r="S13" i="5"/>
  <c r="S32" i="5"/>
  <c r="S12" i="5"/>
  <c r="S44" i="5"/>
  <c r="S34" i="5"/>
  <c r="S20" i="5"/>
  <c r="S1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<sst xmlns="http://schemas.openxmlformats.org/spreadsheetml/2006/main" count="22036" uniqueCount="15630">
  <si>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</si>
  <si>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</si>
  <si>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</si>
  <si>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</si>
  <si>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</si>
  <si>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</si>
  <si>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</si>
  <si>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</si>
  <si>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</si>
  <si>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</si>
  <si>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</si>
  <si>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</si>
  <si>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</si>
  <si>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</si>
  <si>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</si>
  <si>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</si>
  <si>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</si>
  <si>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</si>
  <si>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</si>
  <si>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</si>
  <si>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</si>
  <si>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</si>
  <si>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</si>
  <si>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</si>
  <si>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</si>
  <si>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</si>
  <si>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</si>
  <si>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</si>
  <si>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</si>
  <si>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</si>
  <si>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</si>
  <si>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</si>
  <si>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</si>
  <si>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</si>
  <si>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</si>
  <si>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</si>
  <si>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</si>
  <si>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</si>
  <si>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</si>
  <si>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</si>
  <si>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</si>
  <si>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</si>
  <si>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</si>
  <si>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</si>
  <si>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</si>
  <si>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</si>
  <si>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</si>
  <si>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</si>
  <si>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</si>
  <si>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</si>
  <si>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</si>
  <si>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</si>
  <si>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</si>
  <si>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</si>
  <si>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</si>
  <si>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</si>
  <si>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</si>
  <si>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</si>
  <si>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</si>
  <si>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</si>
  <si>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</si>
  <si>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</si>
  <si>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</si>
  <si>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</si>
  <si>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</si>
  <si>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</si>
  <si>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</si>
  <si>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</si>
  <si>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</si>
  <si>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</si>
  <si>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</si>
  <si>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</si>
  <si>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</si>
  <si>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</si>
  <si>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</si>
  <si>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</si>
  <si>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</si>
  <si>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</si>
  <si>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</si>
  <si>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</si>
  <si>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</si>
  <si>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</si>
  <si>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</si>
  <si>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</si>
  <si>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</si>
  <si>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</si>
  <si>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</si>
  <si>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</si>
  <si>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</si>
  <si>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</si>
  <si>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</si>
  <si>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</si>
  <si>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</si>
  <si>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</si>
  <si>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</si>
  <si>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</si>
  <si>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</si>
  <si>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</si>
  <si>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</si>
  <si>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</si>
  <si>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</si>
  <si>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</si>
  <si>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</si>
  <si>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</si>
  <si>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</si>
  <si>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</si>
  <si>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</si>
  <si>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</si>
  <si>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</si>
  <si>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</si>
  <si>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</si>
  <si>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</si>
  <si>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</si>
  <si>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</si>
  <si>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</si>
  <si>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</si>
  <si>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</si>
  <si>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</si>
  <si>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</si>
  <si>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</si>
  <si>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</si>
  <si>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</si>
  <si>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</si>
  <si>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</si>
  <si>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</si>
  <si>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</si>
  <si>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</si>
  <si>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</si>
  <si>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</si>
  <si>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</si>
  <si>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</si>
  <si>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</si>
  <si>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</si>
  <si>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</si>
  <si>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</si>
  <si>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</si>
  <si>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</si>
  <si>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</si>
  <si>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</si>
  <si>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</si>
  <si>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</si>
  <si>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</si>
  <si>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</si>
  <si>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</si>
  <si>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</si>
  <si>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</si>
  <si>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</si>
  <si>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</si>
  <si>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</si>
  <si>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</si>
  <si>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</si>
  <si>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</si>
  <si>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</si>
  <si>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</si>
  <si>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</si>
  <si>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</si>
  <si>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</si>
  <si>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</si>
  <si>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</si>
  <si>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</si>
  <si>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</si>
  <si>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</si>
  <si>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</si>
  <si>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</si>
  <si>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</si>
  <si>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</si>
  <si>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</si>
  <si>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</si>
  <si>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</si>
  <si>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</si>
  <si>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</si>
  <si>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</si>
  <si>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</si>
  <si>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</si>
  <si>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</si>
  <si>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</si>
  <si>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</si>
  <si>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</si>
  <si>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</si>
  <si>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</si>
  <si>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</si>
  <si>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</si>
  <si>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</si>
  <si>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</si>
  <si>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</si>
  <si>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</si>
  <si>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</si>
  <si>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</si>
  <si>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</si>
  <si>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</si>
  <si>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</si>
  <si>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</si>
  <si>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</si>
  <si>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</si>
  <si>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</si>
  <si>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</si>
  <si>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</si>
  <si>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</si>
  <si>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</si>
  <si>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</si>
  <si>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</si>
  <si>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</si>
  <si>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</si>
  <si>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</si>
  <si>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</si>
  <si>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</si>
  <si>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</si>
  <si>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</si>
  <si>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</si>
  <si>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</si>
  <si>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</si>
  <si>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</si>
  <si>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</si>
  <si>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</si>
  <si>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</si>
  <si>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</si>
  <si>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</si>
  <si>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</si>
  <si>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</si>
  <si>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</si>
  <si>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</si>
  <si>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</si>
  <si>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</si>
  <si>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</si>
  <si>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</si>
  <si>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</si>
  <si>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</si>
  <si>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</si>
  <si>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</si>
  <si>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</si>
  <si>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</si>
  <si>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</si>
  <si>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</si>
  <si>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</si>
  <si>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</si>
  <si>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</si>
  <si>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</si>
  <si>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</si>
  <si>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</si>
  <si>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</si>
  <si>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</si>
  <si>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</si>
  <si>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</si>
  <si>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</si>
  <si>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</si>
  <si>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</si>
  <si>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</si>
  <si>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</si>
  <si>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</si>
  <si>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</si>
  <si>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</si>
  <si>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</si>
  <si>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</si>
  <si>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</si>
  <si>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</si>
  <si>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</si>
  <si>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</si>
  <si>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</si>
  <si>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</si>
  <si>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</si>
  <si>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</si>
  <si>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</si>
  <si>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</si>
  <si>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</si>
  <si>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</si>
  <si>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</si>
  <si>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</si>
  <si>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</si>
  <si>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</si>
  <si>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</si>
  <si>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</si>
  <si>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</si>
  <si>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</si>
  <si>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</si>
  <si>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</si>
  <si>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</si>
  <si>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</si>
  <si>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</si>
  <si>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</si>
  <si>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</si>
  <si>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</si>
  <si>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</si>
  <si>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</si>
  <si>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</si>
  <si>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</si>
  <si>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</si>
  <si>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</si>
  <si>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</si>
  <si>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</si>
  <si>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</si>
  <si>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</si>
  <si>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</si>
  <si>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</si>
  <si>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</si>
  <si>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</si>
  <si>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</si>
  <si>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</si>
  <si>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</si>
  <si>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</si>
  <si>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</si>
  <si>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</si>
  <si>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</si>
  <si>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</si>
  <si>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</si>
  <si>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</si>
  <si>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</si>
  <si>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</si>
  <si>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</si>
  <si>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</si>
  <si>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</si>
  <si>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</si>
  <si>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</si>
  <si>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</si>
  <si>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</si>
  <si>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</si>
  <si>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</si>
  <si>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</si>
  <si>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</si>
  <si>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</si>
  <si>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</si>
  <si>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</si>
  <si>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</si>
  <si>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</si>
  <si>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</si>
  <si>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</si>
  <si>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</si>
  <si>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</si>
  <si>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</si>
  <si>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</si>
  <si>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</si>
  <si>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</si>
  <si>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</si>
  <si>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</si>
  <si>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</si>
  <si>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</si>
  <si>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</si>
  <si>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</si>
  <si>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</si>
  <si>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</si>
  <si>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</si>
  <si>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</si>
  <si>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</si>
  <si>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</si>
  <si>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</si>
  <si>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</si>
  <si>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</si>
  <si>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</si>
  <si>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</si>
  <si>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</si>
  <si>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</si>
  <si>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</si>
  <si>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</si>
  <si>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</si>
  <si>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</si>
  <si>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</si>
  <si>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</si>
  <si>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</si>
  <si>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</si>
  <si>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</si>
  <si>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</si>
  <si>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</si>
  <si>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</si>
  <si>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</si>
  <si>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</si>
  <si>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</si>
  <si>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</si>
  <si>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</si>
  <si>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</si>
  <si>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</si>
  <si>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</si>
  <si>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</si>
  <si>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</si>
  <si>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</si>
  <si>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</si>
  <si>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</si>
  <si>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</si>
  <si>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</si>
  <si>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</si>
  <si>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</si>
  <si>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</si>
  <si>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</si>
  <si>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</si>
  <si>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</si>
  <si>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</si>
  <si>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</si>
  <si>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</si>
  <si>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</si>
  <si>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</si>
  <si>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</si>
  <si>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</si>
  <si>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</si>
  <si>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</si>
  <si>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</si>
  <si>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</si>
  <si>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</si>
  <si>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</si>
  <si>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</si>
  <si>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</si>
  <si>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</si>
  <si>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</si>
  <si>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</si>
  <si>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</si>
  <si>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</si>
  <si>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</si>
  <si>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</si>
  <si>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</si>
  <si>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</si>
  <si>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</si>
  <si>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</si>
  <si>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</si>
  <si>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</si>
  <si>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</si>
  <si>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</si>
  <si>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</si>
  <si>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</si>
  <si>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</si>
  <si>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</si>
  <si>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</si>
  <si>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</si>
  <si>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</si>
  <si>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</si>
  <si>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</si>
  <si>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</si>
  <si>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</si>
  <si>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</si>
  <si>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</si>
  <si>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</si>
  <si>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</si>
  <si>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</si>
  <si>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</si>
  <si>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</si>
  <si>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</si>
  <si>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</si>
  <si>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</si>
  <si>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</si>
  <si>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</si>
  <si>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</si>
  <si>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</si>
  <si>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</si>
  <si>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</si>
  <si>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</si>
  <si>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</si>
  <si>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</si>
  <si>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</si>
  <si>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</si>
  <si>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</si>
  <si>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</si>
  <si>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</si>
  <si>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</si>
  <si>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</si>
  <si>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</si>
  <si>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</si>
  <si>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</si>
  <si>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</si>
  <si>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</si>
  <si>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</si>
  <si>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</si>
  <si>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</si>
  <si>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</si>
  <si>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</si>
  <si>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</si>
  <si>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</si>
  <si>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</si>
  <si>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</si>
  <si>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</si>
  <si>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</si>
  <si>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</si>
  <si>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</si>
  <si>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</si>
  <si>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</si>
  <si>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</si>
  <si>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</si>
  <si>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</si>
  <si>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</si>
  <si>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</si>
  <si>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</si>
  <si>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</si>
  <si>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</si>
  <si>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</si>
  <si>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</si>
  <si>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</si>
  <si>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</si>
  <si>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</si>
  <si>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</si>
  <si>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</si>
  <si>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</si>
  <si>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</si>
  <si>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</si>
  <si>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</si>
  <si>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</si>
  <si>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</si>
  <si>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</si>
  <si>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</si>
  <si>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</si>
  <si>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</si>
  <si>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</si>
  <si>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</si>
  <si>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</si>
  <si>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</si>
  <si>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</si>
  <si>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</si>
  <si>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</si>
  <si>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</si>
  <si>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</si>
  <si>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</si>
  <si>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</si>
  <si>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</si>
  <si>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</si>
  <si>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</si>
  <si>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</si>
  <si>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</si>
  <si>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</si>
  <si>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</si>
  <si>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</si>
  <si>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</si>
  <si>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</si>
  <si>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</si>
  <si>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</si>
  <si>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</si>
  <si>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</si>
  <si>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</si>
  <si>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</si>
  <si>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</si>
  <si>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</si>
  <si>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</si>
  <si>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</si>
  <si>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</si>
  <si>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</si>
  <si>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</si>
  <si>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</si>
  <si>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</si>
  <si>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</si>
  <si>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</si>
  <si>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</si>
  <si>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</si>
  <si>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</si>
  <si>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</si>
  <si>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</si>
  <si>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</si>
  <si>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</si>
  <si>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</si>
  <si>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</si>
  <si>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</si>
  <si>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</si>
  <si>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</si>
  <si>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</si>
  <si>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</si>
  <si>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</si>
  <si>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</si>
  <si>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</si>
  <si>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</si>
  <si>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</si>
  <si>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</si>
  <si>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</si>
  <si>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</si>
  <si>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</si>
  <si>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</si>
  <si>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</si>
  <si>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</si>
  <si>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</si>
  <si>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</si>
  <si>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</si>
  <si>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</si>
  <si>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</si>
  <si>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</si>
  <si>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</si>
  <si>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</si>
  <si>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</si>
  <si>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</si>
  <si>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</si>
  <si>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</si>
  <si>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</si>
  <si>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</si>
  <si>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</si>
  <si>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</si>
  <si>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</si>
  <si>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</si>
  <si>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</si>
  <si>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</si>
  <si>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</si>
  <si>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</si>
  <si>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</si>
  <si>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</si>
  <si>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</si>
  <si>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</si>
  <si>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</si>
  <si>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</si>
  <si>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</si>
  <si>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</si>
  <si>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</si>
  <si>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</si>
  <si>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</si>
  <si>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</si>
  <si>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</si>
  <si>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</si>
  <si>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</si>
  <si>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</si>
  <si>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</si>
  <si>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</si>
  <si>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</si>
  <si>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</si>
  <si>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</si>
  <si>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</si>
  <si>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</si>
  <si>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</si>
  <si>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</si>
  <si>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</si>
  <si>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</si>
  <si>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</si>
  <si>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</si>
  <si>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</si>
  <si>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</si>
  <si>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</si>
  <si>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</si>
  <si>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</si>
  <si>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</si>
  <si>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</si>
  <si>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</si>
  <si>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</si>
  <si>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</si>
  <si>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</si>
  <si>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</si>
  <si>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</si>
  <si>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</si>
  <si>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</si>
  <si>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</si>
  <si>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</si>
  <si>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</si>
  <si>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</si>
  <si>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</si>
  <si>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</si>
  <si>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</si>
  <si>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</si>
  <si>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</si>
  <si>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</si>
  <si>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</si>
  <si>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</si>
  <si>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</si>
  <si>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</si>
  <si>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</si>
  <si>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</si>
  <si>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</si>
  <si>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</si>
  <si>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</si>
  <si>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</si>
  <si>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</si>
  <si>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</si>
  <si>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</si>
  <si>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</si>
  <si>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</si>
  <si>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</si>
  <si>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</si>
  <si>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</si>
  <si>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</si>
  <si>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</si>
  <si>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</si>
  <si>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</si>
  <si>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</si>
  <si>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</si>
  <si>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</si>
  <si>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</si>
  <si>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</si>
  <si>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</si>
  <si>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</si>
  <si>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</si>
  <si>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</si>
  <si>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</si>
  <si>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</si>
  <si>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</si>
  <si>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</si>
  <si>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</si>
  <si>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</si>
  <si>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</si>
  <si>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</si>
  <si>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</si>
  <si>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</si>
  <si>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</si>
  <si>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</si>
  <si>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</si>
  <si>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</si>
  <si>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</si>
  <si>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</si>
  <si>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</si>
  <si>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</si>
  <si>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</si>
  <si>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</si>
  <si>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</si>
  <si>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</si>
  <si>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</si>
  <si>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</si>
  <si>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</si>
  <si>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</si>
  <si>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</si>
  <si>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</si>
  <si>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</si>
  <si>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</si>
  <si>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</si>
  <si>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</si>
  <si>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</si>
  <si>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</si>
  <si>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</si>
  <si>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</si>
  <si>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</si>
  <si>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</si>
  <si>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</si>
  <si>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</si>
  <si>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</si>
  <si>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</si>
  <si>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</si>
  <si>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</si>
  <si>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</si>
  <si>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</si>
  <si>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</si>
  <si>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</si>
  <si>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</si>
  <si>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</si>
  <si>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</si>
  <si>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</si>
  <si>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</si>
  <si>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</si>
  <si>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</si>
  <si>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</si>
  <si>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</si>
  <si>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</si>
  <si>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</si>
  <si>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</si>
  <si>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</si>
  <si>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</si>
  <si>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</si>
  <si>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</si>
  <si>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</si>
  <si>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</si>
  <si>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</si>
  <si>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</si>
  <si>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</si>
  <si>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</si>
  <si>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</si>
  <si>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</si>
  <si>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</si>
  <si>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</si>
  <si>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</si>
  <si>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</si>
  <si>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</si>
  <si>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</si>
  <si>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</si>
  <si>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</si>
  <si>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</si>
  <si>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</si>
  <si>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</si>
  <si>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</si>
  <si>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</si>
  <si>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</si>
  <si>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</si>
  <si>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</si>
  <si>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</si>
  <si>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</si>
  <si>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</si>
  <si>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</si>
  <si>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</si>
  <si>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</si>
  <si>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</si>
  <si>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</si>
  <si>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</si>
  <si>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</si>
  <si>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</si>
  <si>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</si>
  <si>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</si>
  <si>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</si>
  <si>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</si>
  <si>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</si>
  <si>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</si>
  <si>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</si>
  <si>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</si>
  <si>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</si>
  <si>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</si>
  <si>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</si>
  <si>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</si>
  <si>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</si>
  <si>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</si>
  <si>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</si>
  <si>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</si>
  <si>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</si>
  <si>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</si>
  <si>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</si>
  <si>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</si>
  <si>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</si>
  <si>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</si>
  <si>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</si>
  <si>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</si>
  <si>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</si>
  <si>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</si>
  <si>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</si>
  <si>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</si>
  <si>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</si>
  <si>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</si>
  <si>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</si>
  <si>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</si>
  <si>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</si>
  <si>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</si>
  <si>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</si>
  <si>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</si>
  <si>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</si>
  <si>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</si>
  <si>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</si>
  <si>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</si>
  <si>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</si>
  <si>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</si>
  <si>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</si>
  <si>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</si>
  <si>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</si>
  <si>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</si>
  <si>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</si>
  <si>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</si>
  <si>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</si>
  <si>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</si>
  <si>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</si>
  <si>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</si>
  <si>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</si>
  <si>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</si>
  <si>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</si>
  <si>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</si>
  <si>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</si>
  <si>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</si>
  <si>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</si>
  <si>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</si>
  <si>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</si>
  <si>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</si>
  <si>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</si>
  <si>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</si>
  <si>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</si>
  <si>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</si>
  <si>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</si>
  <si>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</si>
  <si>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</si>
  <si>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</si>
  <si>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</si>
  <si>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</si>
  <si>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</si>
  <si>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</si>
  <si>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</si>
  <si>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</si>
  <si>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</si>
  <si>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</si>
  <si>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</si>
  <si>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</si>
  <si>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</si>
  <si>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</si>
  <si>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</si>
  <si>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</si>
  <si>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</si>
  <si>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</si>
  <si>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</si>
  <si>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</si>
  <si>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</si>
  <si>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</si>
  <si>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</si>
  <si>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</si>
  <si>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</si>
  <si>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</si>
  <si>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</si>
  <si>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</si>
  <si>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</si>
  <si>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</si>
  <si>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</si>
  <si>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</si>
  <si>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</si>
  <si>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</si>
  <si>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</si>
  <si>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</si>
  <si>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</si>
  <si>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</si>
  <si>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</si>
  <si>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</si>
  <si>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</si>
  <si>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</si>
  <si>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</si>
  <si>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</si>
  <si>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</si>
  <si>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</si>
  <si>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</si>
  <si>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</si>
  <si>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</si>
  <si>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</si>
  <si>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</si>
  <si>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</si>
  <si>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</si>
  <si>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</si>
  <si>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</si>
  <si>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</si>
  <si>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</si>
  <si>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</si>
  <si>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</si>
  <si>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</si>
  <si>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</si>
  <si>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</si>
  <si>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</si>
  <si>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</si>
  <si>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</si>
  <si>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</si>
  <si>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</si>
  <si>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</si>
  <si>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</si>
  <si>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</si>
  <si>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</si>
  <si>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</si>
  <si>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</si>
  <si>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</si>
  <si>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</si>
  <si>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</si>
  <si>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</si>
  <si>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</si>
  <si>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</si>
  <si>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</si>
  <si>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</si>
  <si>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</si>
  <si>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</si>
  <si>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</si>
  <si>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</si>
  <si>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</si>
  <si>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</si>
  <si>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</si>
  <si>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</si>
  <si>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</si>
  <si>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</si>
  <si>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</si>
  <si>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</si>
  <si>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</si>
  <si>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</si>
  <si>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</si>
  <si>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</si>
  <si>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</si>
  <si>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</si>
  <si>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</si>
  <si>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</si>
  <si>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</si>
  <si>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</si>
  <si>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</si>
  <si>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</si>
  <si>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</si>
  <si>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</si>
  <si>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</si>
  <si>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</si>
  <si>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</si>
  <si>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</si>
  <si>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</si>
  <si>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</si>
  <si>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</si>
  <si>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</si>
  <si>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</si>
  <si>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</si>
  <si>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</si>
  <si>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</si>
  <si>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</si>
  <si>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</si>
  <si>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</si>
  <si>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</si>
  <si>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</si>
  <si>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</si>
  <si>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</si>
  <si>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</si>
  <si>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</si>
  <si>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</si>
  <si>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</si>
  <si>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</si>
  <si>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</si>
  <si>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</si>
  <si>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</si>
  <si>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</si>
  <si>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</si>
  <si>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</si>
  <si>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</si>
  <si>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</si>
  <si>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</si>
  <si>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</si>
  <si>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</si>
  <si>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</si>
  <si>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</si>
  <si>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</si>
  <si>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</si>
  <si>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</si>
  <si>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</si>
  <si>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</si>
  <si>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</si>
  <si>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</si>
  <si>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</si>
  <si>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</si>
  <si>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</si>
  <si>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</si>
  <si>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</si>
  <si>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</si>
  <si>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</si>
  <si>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</si>
  <si>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</si>
  <si>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</si>
  <si>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</si>
  <si>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</si>
  <si>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</si>
  <si>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</si>
  <si>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</si>
  <si>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</si>
  <si>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</si>
  <si>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</si>
  <si>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</si>
  <si>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</si>
  <si>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</si>
  <si>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</si>
  <si>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</si>
  <si>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</si>
  <si>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</si>
  <si>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</si>
  <si>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</si>
  <si>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</si>
  <si>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</si>
  <si>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</si>
  <si>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</si>
  <si>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</si>
  <si>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</si>
  <si>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</si>
  <si>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</si>
  <si>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</si>
  <si>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</si>
  <si>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</si>
  <si>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</si>
  <si>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</si>
  <si>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</si>
  <si>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</si>
  <si>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</si>
  <si>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</si>
  <si>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</si>
  <si>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</si>
  <si>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</si>
  <si>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</si>
  <si>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</si>
  <si>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</si>
  <si>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</si>
  <si>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</si>
  <si>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</si>
  <si>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</si>
  <si>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</si>
  <si>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</si>
  <si>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</si>
  <si>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</si>
  <si>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</si>
  <si>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</si>
  <si>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</si>
  <si>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</si>
  <si>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</si>
  <si>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</si>
  <si>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</si>
  <si>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</si>
  <si>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</si>
  <si>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</si>
  <si>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</si>
  <si>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</si>
  <si>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</si>
  <si>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</si>
  <si>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</si>
  <si>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</si>
  <si>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</si>
  <si>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</si>
  <si>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</si>
  <si>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</si>
  <si>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</si>
  <si>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</si>
  <si>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</si>
  <si>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</si>
  <si>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</si>
  <si>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</si>
  <si>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</si>
  <si>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</si>
  <si>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</si>
  <si>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</si>
  <si>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</si>
  <si>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</si>
  <si>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</si>
  <si>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</si>
  <si>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</si>
  <si>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</si>
  <si>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</si>
  <si>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</si>
  <si>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</si>
  <si>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</si>
  <si>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</si>
  <si>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</si>
  <si>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</si>
  <si>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</si>
  <si>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</si>
  <si>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</si>
  <si>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</si>
  <si>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</si>
  <si>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</si>
  <si>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</si>
  <si>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</si>
  <si>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</si>
  <si>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</si>
  <si>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</si>
  <si>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</si>
  <si>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</si>
  <si>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</si>
  <si>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</si>
  <si>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</si>
  <si>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</si>
  <si>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</si>
  <si>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</si>
  <si>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</si>
  <si>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</si>
  <si>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</si>
  <si>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</si>
  <si>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</si>
  <si>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</si>
  <si>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</si>
  <si>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</si>
  <si>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</si>
  <si>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</si>
  <si>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</si>
  <si>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</si>
  <si>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</si>
  <si>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</si>
  <si>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</si>
  <si>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</si>
  <si>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</si>
  <si>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</si>
  <si>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</si>
  <si>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</si>
  <si>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</si>
  <si>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</si>
  <si>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</si>
  <si>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</si>
  <si>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</si>
  <si>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</si>
  <si>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</si>
  <si>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</si>
  <si>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</si>
  <si>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</si>
  <si>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</si>
  <si>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</si>
  <si>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</si>
  <si>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</si>
  <si>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</si>
  <si>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</si>
  <si>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</si>
  <si>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</si>
  <si>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</si>
  <si>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</si>
  <si>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</si>
  <si>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</si>
  <si>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</si>
  <si>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</si>
  <si>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</si>
  <si>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</si>
  <si>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</si>
  <si>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</si>
  <si>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</si>
  <si>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</si>
  <si>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</si>
  <si>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</si>
  <si>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</si>
  <si>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</si>
  <si>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</si>
  <si>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</si>
  <si>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</si>
  <si>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</si>
  <si>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</si>
  <si>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</si>
  <si>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</si>
  <si>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</si>
  <si>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</si>
  <si>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</si>
  <si>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</si>
  <si>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</si>
  <si>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</si>
  <si>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</si>
  <si>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</si>
  <si>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</si>
  <si>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</si>
  <si>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</si>
  <si>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</si>
  <si>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</si>
  <si>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</si>
  <si>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</si>
  <si>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</si>
  <si>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</si>
  <si>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</si>
  <si>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</si>
  <si>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</si>
  <si>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</si>
  <si>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</si>
  <si>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</si>
  <si>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</si>
  <si>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</si>
  <si>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</si>
  <si>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</si>
  <si>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</si>
  <si>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</si>
  <si>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</si>
  <si>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</si>
  <si>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</si>
  <si>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</si>
  <si>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</si>
  <si>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</si>
  <si>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</si>
  <si>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</si>
  <si>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</si>
  <si>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</si>
  <si>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</si>
  <si>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</si>
  <si>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</si>
  <si>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</si>
  <si>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</si>
  <si>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</si>
  <si>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</si>
  <si>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</si>
  <si>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</si>
  <si>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</si>
  <si>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</si>
  <si>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</si>
  <si>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</si>
  <si>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</si>
  <si>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</si>
  <si>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</si>
  <si>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</si>
  <si>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</si>
  <si>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</si>
  <si>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</si>
  <si>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</si>
  <si>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</si>
  <si>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</si>
  <si>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</si>
  <si>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</si>
  <si>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</si>
  <si>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</si>
  <si>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</si>
  <si>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</si>
  <si>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</si>
  <si>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</si>
  <si>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</si>
  <si>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</si>
  <si>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</si>
  <si>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</si>
  <si>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</si>
  <si>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</si>
  <si>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</si>
  <si>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</si>
  <si>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</si>
  <si>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</si>
  <si>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</si>
  <si>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</si>
  <si>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</si>
  <si>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</si>
  <si>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</si>
  <si>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</si>
  <si>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</si>
  <si>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</si>
  <si>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</si>
  <si>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</si>
  <si>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</si>
  <si>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</si>
  <si>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</si>
  <si>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</si>
  <si>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</si>
  <si>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</si>
  <si>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</si>
  <si>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</si>
  <si>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</si>
  <si>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</si>
  <si>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</si>
  <si>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</si>
  <si>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</si>
  <si>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</si>
  <si>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</si>
  <si>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</si>
  <si>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</si>
  <si>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</si>
  <si>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</si>
  <si>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</si>
  <si>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</si>
  <si>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</si>
  <si>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</si>
  <si>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</si>
  <si>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</si>
  <si>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</si>
  <si>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</si>
  <si>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</si>
  <si>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</si>
  <si>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</si>
  <si>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</si>
  <si>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</si>
  <si>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</si>
  <si>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</si>
  <si>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</si>
  <si>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</si>
  <si>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</si>
  <si>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</si>
  <si>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</si>
  <si>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</si>
  <si>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</si>
  <si>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</si>
  <si>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</si>
  <si>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</si>
  <si>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</si>
  <si>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</si>
  <si>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</si>
  <si>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</si>
  <si>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</si>
  <si>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</si>
  <si>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</si>
  <si>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</si>
  <si>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</si>
  <si>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</si>
  <si>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</si>
  <si>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</si>
  <si>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</si>
  <si>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</si>
  <si>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</si>
  <si>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</si>
  <si>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</si>
  <si>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</si>
  <si>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</si>
  <si>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</si>
  <si>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</si>
  <si>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</si>
  <si>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</si>
  <si>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</si>
  <si>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</si>
  <si>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</si>
  <si>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</si>
  <si>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</si>
  <si>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</si>
  <si>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</si>
  <si>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</si>
  <si>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</si>
  <si>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</si>
  <si>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</si>
  <si>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</si>
  <si>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</si>
  <si>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</si>
  <si>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</si>
  <si>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</si>
  <si>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</si>
  <si>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</si>
  <si>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</si>
  <si>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</si>
  <si>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</si>
  <si>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</si>
  <si>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</si>
  <si>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</si>
  <si>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</si>
  <si>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</si>
  <si>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</si>
  <si>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</si>
  <si>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</si>
  <si>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</si>
  <si>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</si>
  <si>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</si>
  <si>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</si>
  <si>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</si>
  <si>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</si>
  <si>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</si>
  <si>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</si>
  <si>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</si>
  <si>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</si>
  <si>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</si>
  <si>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</si>
  <si>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</si>
  <si>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</si>
  <si>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</si>
  <si>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</si>
  <si>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</si>
  <si>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</si>
  <si>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</si>
  <si>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</si>
  <si>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</si>
  <si>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</si>
  <si>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</si>
  <si>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</si>
  <si>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</si>
  <si>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</si>
  <si>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</si>
  <si>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</si>
  <si>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</si>
  <si>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</si>
  <si>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</si>
  <si>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</si>
  <si>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</si>
  <si>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</si>
  <si>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</si>
  <si>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</si>
  <si>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</si>
  <si>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</si>
  <si>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</si>
  <si>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</si>
  <si>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</si>
  <si>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</si>
  <si>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</si>
  <si>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</si>
  <si>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</si>
  <si>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</si>
  <si>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</si>
  <si>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</si>
  <si>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</si>
  <si>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</si>
  <si>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</si>
  <si>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</si>
  <si>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</si>
  <si>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</si>
  <si>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</si>
  <si>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</si>
  <si>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</si>
  <si>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</si>
  <si>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</si>
  <si>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</si>
  <si>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</si>
  <si>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</si>
  <si>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</si>
  <si>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</si>
  <si>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</si>
  <si>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</si>
  <si>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</si>
  <si>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</si>
  <si>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</si>
  <si>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</si>
  <si>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</si>
  <si>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</si>
  <si>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</si>
  <si>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</si>
  <si>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</si>
  <si>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</si>
  <si>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</si>
  <si>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</si>
  <si>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</si>
  <si>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</si>
  <si>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</si>
  <si>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</si>
  <si>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</si>
  <si>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</si>
  <si>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</si>
  <si>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</si>
  <si>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</si>
  <si>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</si>
  <si>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</si>
  <si>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</si>
  <si>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</si>
  <si>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</si>
  <si>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</si>
  <si>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</si>
  <si>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</si>
  <si>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</si>
  <si>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</si>
  <si>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</si>
  <si>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</si>
  <si>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</si>
  <si>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</si>
  <si>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</si>
  <si>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</si>
  <si>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</si>
  <si>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</si>
  <si>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</si>
  <si>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</si>
  <si>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</si>
  <si>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</si>
  <si>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</si>
  <si>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</si>
  <si>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</si>
  <si>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</si>
  <si>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</si>
  <si>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</si>
  <si>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</si>
  <si>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</si>
  <si>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</si>
  <si>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</si>
  <si>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</si>
  <si>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</si>
  <si>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</si>
  <si>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</si>
  <si>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</si>
  <si>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</si>
  <si>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</si>
  <si>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</si>
  <si>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</si>
  <si>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</si>
  <si>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</si>
  <si>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</si>
  <si>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</si>
  <si>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</si>
  <si>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</si>
  <si>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</si>
  <si>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</si>
  <si>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</si>
  <si>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</si>
  <si>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</si>
  <si>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</si>
  <si>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</si>
  <si>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</si>
  <si>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</si>
  <si>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</si>
  <si>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</si>
  <si>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</si>
  <si>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</si>
  <si>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</si>
  <si>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</si>
  <si>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</si>
  <si>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</si>
  <si>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</si>
  <si>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</si>
  <si>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</si>
  <si>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</si>
  <si>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</si>
  <si>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</si>
  <si>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</si>
  <si>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</si>
  <si>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</si>
  <si>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</si>
  <si>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</si>
  <si>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</si>
  <si>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</si>
  <si>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</si>
  <si>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</si>
  <si>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</si>
  <si>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</si>
  <si>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</si>
  <si>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</si>
  <si>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</si>
  <si>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</si>
  <si>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</si>
  <si>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</si>
  <si>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</si>
  <si>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</si>
  <si>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</si>
  <si>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</si>
  <si>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</si>
  <si>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</si>
  <si>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</si>
  <si>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</si>
  <si>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</si>
  <si>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</si>
  <si>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</si>
  <si>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</si>
  <si>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</si>
  <si>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</si>
  <si>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</si>
  <si>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</si>
  <si>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</si>
  <si>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</si>
  <si>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</si>
  <si>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</si>
  <si>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</si>
  <si>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</si>
  <si>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</si>
  <si>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</si>
  <si>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</si>
  <si>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</si>
  <si>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</si>
  <si>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</si>
  <si>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</si>
  <si>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</si>
  <si>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</si>
  <si>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</si>
  <si>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</si>
  <si>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</si>
  <si>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</si>
  <si>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</si>
  <si>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</si>
  <si>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</si>
  <si>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</si>
  <si>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</si>
  <si>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</si>
  <si>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</si>
  <si>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</si>
  <si>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</si>
  <si>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</si>
  <si>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</si>
  <si>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</si>
  <si>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</si>
  <si>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</si>
  <si>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</si>
  <si>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</si>
  <si>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</si>
  <si>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</si>
  <si>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</si>
  <si>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</si>
  <si>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</si>
  <si>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</si>
  <si>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</si>
  <si>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</si>
  <si>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</si>
  <si>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</si>
  <si>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</si>
  <si>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</si>
  <si>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</si>
  <si>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</si>
  <si>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</si>
  <si>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</si>
  <si>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</si>
  <si>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</si>
  <si>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</si>
  <si>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</si>
  <si>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</si>
  <si>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</si>
  <si>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</si>
  <si>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</si>
  <si>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</si>
  <si>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</si>
  <si>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</si>
  <si>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</si>
  <si>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</si>
  <si>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</si>
  <si>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</si>
  <si>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</si>
  <si>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</si>
  <si>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</si>
  <si>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</si>
  <si>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</si>
  <si>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</si>
  <si>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</si>
  <si>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</si>
  <si>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</si>
  <si>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</si>
  <si>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</si>
  <si>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</si>
  <si>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</si>
  <si>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</si>
  <si>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</si>
  <si>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</si>
  <si>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</si>
  <si>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</si>
  <si>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</si>
  <si>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</si>
  <si>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</si>
  <si>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</si>
  <si>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</si>
  <si>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</si>
  <si>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</si>
  <si>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</si>
  <si>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</si>
  <si>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</si>
  <si>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</si>
  <si>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</si>
  <si>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</si>
  <si>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</si>
  <si>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</si>
  <si>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</si>
  <si>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</si>
  <si>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</si>
  <si>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</si>
  <si>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</si>
  <si>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</si>
  <si>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</si>
  <si>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</si>
  <si>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</si>
  <si>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</si>
  <si>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</si>
  <si>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</si>
  <si>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</si>
  <si>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</si>
  <si>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</si>
  <si>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</si>
  <si>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</si>
  <si>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</si>
  <si>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</si>
  <si>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</si>
  <si>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</si>
  <si>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</si>
  <si>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</si>
  <si>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</si>
  <si>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</si>
  <si>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</si>
  <si>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</si>
  <si>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</si>
  <si>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</si>
  <si>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</si>
  <si>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</si>
  <si>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</si>
  <si>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</si>
  <si>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</si>
  <si>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</si>
  <si>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</si>
  <si>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</si>
  <si>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</si>
  <si>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</si>
  <si>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</si>
  <si>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</si>
  <si>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</si>
  <si>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</si>
  <si>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</si>
  <si>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</si>
  <si>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</si>
  <si>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</si>
  <si>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</si>
  <si>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</si>
  <si>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</si>
  <si>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</si>
  <si>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</si>
  <si>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</si>
  <si>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</si>
  <si>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</si>
  <si>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</si>
  <si>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</si>
  <si>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</si>
  <si>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</si>
  <si>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</si>
  <si>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</si>
  <si>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</si>
  <si>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</si>
  <si>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</si>
  <si>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</si>
  <si>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</si>
  <si>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</si>
  <si>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</si>
  <si>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</si>
  <si>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</si>
  <si>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</si>
  <si>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</si>
  <si>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</si>
  <si>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</si>
  <si>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</si>
  <si>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</si>
  <si>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</si>
  <si>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</si>
  <si>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</si>
  <si>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</si>
  <si>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</si>
  <si>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</si>
  <si>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</si>
  <si>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</si>
  <si>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</si>
  <si>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</si>
  <si>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</si>
  <si>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</si>
  <si>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</si>
  <si>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</si>
  <si>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</si>
  <si>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</si>
  <si>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</si>
  <si>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</si>
  <si>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</si>
  <si>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</si>
  <si>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</si>
  <si>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</si>
  <si>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</si>
  <si>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</si>
  <si>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</si>
  <si>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</si>
  <si>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</si>
  <si>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</si>
  <si>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</si>
  <si>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</si>
  <si>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</si>
  <si>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</si>
  <si>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</si>
  <si>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</si>
  <si>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</si>
  <si>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</si>
  <si>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</si>
  <si>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</si>
  <si>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</si>
  <si>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</si>
  <si>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</si>
  <si>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</si>
  <si>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</si>
  <si>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</si>
  <si>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</si>
  <si>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</si>
  <si>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</si>
  <si>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</si>
  <si>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</si>
  <si>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</si>
  <si>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</si>
  <si>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</si>
  <si>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</si>
  <si>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</si>
  <si>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</si>
  <si>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</si>
  <si>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</si>
  <si>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</si>
  <si>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</si>
  <si>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</si>
  <si>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</si>
  <si>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</si>
  <si>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</si>
  <si>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</si>
  <si>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</si>
  <si>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</si>
  <si>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</si>
  <si>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</si>
  <si>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</si>
  <si>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</si>
  <si>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</si>
  <si>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</si>
  <si>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</si>
  <si>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</si>
  <si>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</si>
  <si>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</si>
  <si>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</si>
  <si>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</si>
  <si>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</si>
  <si>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</si>
  <si>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</si>
  <si>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</si>
  <si>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</si>
  <si>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</si>
  <si>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</si>
  <si>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</si>
  <si>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</si>
  <si>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</si>
  <si>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</si>
  <si>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</si>
  <si>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</si>
  <si>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</si>
  <si>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</si>
  <si>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</si>
  <si>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</si>
  <si>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</si>
  <si>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</si>
  <si>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</si>
  <si>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</si>
  <si>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</si>
  <si>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</si>
  <si>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</si>
  <si>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</si>
  <si>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</si>
  <si>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</si>
  <si>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</si>
  <si>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</si>
  <si>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</si>
  <si>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</si>
  <si>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</si>
  <si>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</si>
  <si>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</si>
  <si>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</si>
  <si>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</si>
  <si>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</si>
  <si>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</si>
  <si>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</si>
  <si>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</si>
  <si>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</si>
  <si>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</si>
  <si>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</si>
  <si>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</si>
  <si>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</si>
  <si>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</si>
  <si>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</si>
  <si>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</si>
  <si>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</si>
  <si>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</si>
  <si>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</si>
  <si>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</si>
  <si>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</si>
  <si>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</si>
  <si>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</si>
  <si>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</si>
  <si>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</si>
  <si>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</si>
  <si>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</si>
  <si>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</si>
  <si>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</si>
  <si>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</si>
  <si>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</si>
  <si>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</si>
  <si>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</si>
  <si>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</si>
  <si>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</si>
  <si>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</si>
  <si>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</si>
  <si>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</si>
  <si>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</si>
  <si>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</si>
  <si>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</si>
  <si>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</si>
  <si>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</si>
  <si>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</si>
  <si>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</si>
  <si>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</si>
  <si>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</si>
  <si>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</si>
  <si>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</si>
  <si>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</si>
  <si>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</si>
  <si>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</si>
  <si>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</si>
  <si>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</si>
  <si>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</si>
  <si>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</si>
  <si>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</si>
  <si>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</si>
  <si>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</si>
  <si>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</si>
  <si>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</si>
  <si>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</si>
  <si>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</si>
  <si>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</si>
  <si>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</si>
  <si>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</si>
  <si>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</si>
  <si>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</si>
  <si>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</si>
  <si>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</si>
  <si>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</si>
  <si>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</si>
  <si>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</si>
  <si>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</si>
  <si>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</si>
  <si>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</si>
  <si>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</si>
  <si>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</si>
  <si>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</si>
  <si>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</si>
  <si>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</si>
  <si>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</si>
  <si>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</si>
  <si>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</si>
  <si>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</si>
  <si>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</si>
  <si>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</si>
  <si>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</si>
  <si>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</si>
  <si>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</si>
  <si>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</si>
  <si>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</si>
  <si>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</si>
  <si>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</si>
  <si>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</si>
  <si>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</si>
  <si>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</si>
  <si>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</si>
  <si>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</si>
  <si>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</si>
  <si>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</si>
  <si>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</si>
  <si>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</si>
  <si>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</si>
  <si>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</si>
  <si>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</si>
  <si>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</si>
  <si>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</si>
  <si>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</si>
  <si>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</si>
  <si>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</si>
  <si>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</si>
  <si>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</si>
  <si>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</si>
  <si>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</si>
  <si>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</si>
  <si>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</si>
  <si>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</si>
  <si>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</si>
  <si>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</si>
  <si>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</si>
  <si>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</si>
  <si>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</si>
  <si>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</si>
  <si>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</si>
  <si>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</si>
  <si>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</si>
  <si>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</si>
  <si>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</si>
  <si>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</si>
  <si>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</si>
  <si>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</si>
  <si>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</si>
  <si>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</si>
  <si>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</si>
  <si>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</si>
  <si>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</si>
  <si>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</si>
  <si>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</si>
  <si>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</si>
  <si>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</si>
  <si>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</si>
  <si>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</si>
  <si>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</si>
  <si>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</si>
  <si>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</si>
  <si>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</si>
  <si>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</si>
  <si>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</si>
  <si>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</si>
  <si>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</si>
  <si>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</si>
  <si>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</si>
  <si>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</si>
  <si>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</si>
  <si>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</si>
  <si>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</si>
  <si>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</si>
  <si>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</si>
  <si>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</si>
  <si>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</si>
  <si>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</si>
  <si>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</si>
  <si>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</si>
  <si>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</si>
  <si>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</si>
  <si>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</si>
  <si>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</si>
  <si>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</si>
  <si>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</si>
  <si>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</si>
  <si>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</si>
  <si>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</si>
  <si>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</si>
  <si>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</si>
  <si>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</si>
  <si>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</si>
  <si>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</si>
  <si>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</si>
  <si>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</si>
  <si>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</si>
  <si>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</si>
  <si>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</si>
  <si>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</si>
  <si>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</si>
  <si>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</si>
  <si>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</si>
  <si>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</si>
  <si>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</si>
  <si>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</si>
  <si>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</si>
  <si>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</si>
  <si>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</si>
  <si>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</si>
  <si>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</si>
  <si>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</si>
  <si>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</si>
  <si>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</si>
  <si>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</si>
  <si>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</si>
  <si>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</si>
  <si>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</si>
  <si>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</si>
  <si>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</si>
  <si>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</si>
  <si>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</si>
  <si>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</si>
  <si>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</si>
  <si>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</si>
  <si>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</si>
  <si>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</si>
  <si>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</si>
  <si>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</si>
  <si>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</si>
  <si>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</si>
  <si>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</si>
  <si>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</si>
  <si>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</si>
  <si>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</si>
  <si>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</si>
  <si>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</si>
  <si>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</si>
  <si>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</si>
  <si>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</si>
  <si>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</si>
  <si>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</si>
  <si>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</si>
  <si>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</si>
  <si>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</si>
  <si>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</si>
  <si>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</si>
  <si>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</si>
  <si>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</si>
  <si>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</si>
  <si>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</si>
  <si>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</si>
  <si>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</si>
  <si>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</si>
  <si>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</si>
  <si>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</si>
  <si>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</si>
  <si>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</si>
  <si>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</si>
  <si>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</si>
  <si>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</si>
  <si>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</si>
  <si>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</si>
  <si>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</si>
  <si>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</si>
  <si>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</si>
  <si>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</si>
  <si>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</si>
  <si>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</si>
  <si>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</si>
  <si>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</si>
  <si>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</si>
  <si>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</si>
  <si>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</si>
  <si>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</si>
  <si>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</si>
  <si>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</si>
  <si>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</si>
  <si>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</si>
  <si>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</si>
  <si>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</si>
  <si>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</si>
  <si>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</si>
  <si>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</si>
  <si>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</si>
  <si>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</si>
  <si>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</si>
  <si>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</si>
  <si>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</si>
  <si>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</si>
  <si>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</si>
  <si>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</si>
  <si>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</si>
  <si>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</si>
  <si>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</si>
  <si>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</si>
  <si>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</si>
  <si>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</si>
  <si>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</si>
  <si>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</si>
  <si>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</si>
  <si>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</si>
  <si>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</si>
  <si>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</si>
  <si>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</si>
  <si>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</si>
  <si>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</si>
  <si>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</si>
  <si>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</si>
  <si>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</si>
  <si>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</si>
  <si>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</si>
  <si>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</si>
  <si>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</si>
  <si>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</si>
  <si>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</si>
  <si>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</si>
  <si>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</si>
  <si>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</si>
  <si>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</si>
  <si>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</si>
  <si>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</si>
  <si>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</si>
  <si>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</si>
  <si>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</si>
  <si>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</si>
  <si>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</si>
  <si>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</si>
  <si>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</si>
  <si>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</si>
  <si>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</si>
  <si>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</si>
  <si>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</si>
  <si>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</si>
  <si>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</si>
  <si>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</si>
  <si>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</si>
  <si>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</si>
  <si>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</si>
  <si>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</si>
  <si>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</si>
  <si>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</si>
  <si>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</si>
  <si>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</si>
  <si>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</si>
  <si>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</si>
  <si>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</si>
  <si>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</si>
  <si>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</si>
  <si>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</si>
  <si>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</si>
  <si>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</si>
  <si>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</si>
  <si>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</si>
  <si>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</si>
  <si>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</si>
  <si>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</si>
  <si>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</si>
  <si>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</si>
  <si>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</si>
  <si>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</si>
  <si>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</si>
  <si>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</si>
  <si>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</si>
  <si>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</si>
  <si>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</si>
  <si>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</si>
  <si>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</si>
  <si>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</si>
  <si>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</si>
  <si>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</si>
  <si>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</si>
  <si>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</si>
  <si>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</si>
  <si>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</si>
  <si>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</si>
  <si>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</si>
  <si>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</si>
  <si>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</si>
  <si>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</si>
  <si>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</si>
  <si>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</si>
  <si>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</si>
  <si>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</si>
  <si>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</si>
  <si>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</si>
  <si>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</si>
  <si>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</si>
  <si>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</si>
  <si>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</si>
  <si>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</si>
  <si>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</si>
  <si>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</si>
  <si>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</si>
  <si>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</si>
  <si>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</si>
  <si>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</si>
  <si>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</si>
  <si>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</si>
  <si>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</si>
  <si>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</si>
  <si>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</si>
  <si>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</si>
  <si>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</si>
  <si>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</si>
  <si>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</si>
  <si>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</si>
  <si>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</si>
  <si>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</si>
  <si>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</si>
  <si>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</si>
  <si>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</si>
  <si>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</si>
  <si>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</si>
  <si>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</si>
  <si>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</si>
  <si>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</si>
  <si>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</si>
  <si>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</si>
  <si>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</si>
  <si>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</si>
  <si>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</si>
  <si>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</si>
  <si>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</si>
  <si>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</si>
  <si>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</si>
  <si>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</si>
  <si>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</si>
  <si>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</si>
  <si>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</si>
  <si>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</si>
  <si>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</si>
  <si>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</si>
  <si>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</si>
  <si>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</si>
  <si>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</si>
  <si>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</si>
  <si>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</si>
  <si>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</si>
  <si>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</si>
  <si>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</si>
  <si>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</si>
  <si>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</si>
  <si>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</si>
  <si>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</si>
  <si>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</si>
  <si>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</si>
  <si>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</si>
  <si>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</si>
  <si>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</si>
  <si>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</si>
  <si>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</si>
  <si>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</si>
  <si>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</si>
  <si>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</si>
  <si>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</si>
  <si>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</si>
  <si>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</si>
  <si>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</si>
  <si>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</si>
  <si>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</si>
  <si>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</si>
  <si>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</si>
  <si>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</si>
  <si>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</si>
  <si>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</si>
  <si>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</si>
  <si>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</si>
  <si>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</si>
  <si>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</si>
  <si>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</si>
  <si>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</si>
  <si>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</si>
  <si>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</si>
  <si>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</si>
  <si>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</si>
  <si>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</si>
  <si>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</si>
  <si>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</si>
  <si>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</si>
  <si>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</si>
  <si>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</si>
  <si>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</si>
  <si>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</si>
  <si>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</si>
  <si>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</si>
  <si>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</si>
  <si>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</si>
  <si>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</si>
  <si>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</si>
  <si>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</si>
  <si>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</si>
  <si>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</si>
  <si>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</si>
  <si>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</si>
  <si>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</si>
  <si>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</si>
  <si>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</si>
  <si>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</si>
  <si>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</si>
  <si>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</si>
  <si>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</si>
  <si>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</si>
  <si>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</si>
  <si>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</si>
  <si>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</si>
  <si>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</si>
  <si>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</si>
  <si>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</si>
  <si>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</si>
  <si>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</si>
  <si>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</si>
  <si>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</si>
  <si>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</si>
  <si>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</si>
  <si>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</si>
  <si>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</si>
  <si>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</si>
  <si>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</si>
  <si>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</si>
  <si>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</si>
  <si>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</si>
  <si>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</si>
  <si>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</si>
  <si>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</si>
  <si>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</si>
  <si>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</si>
  <si>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</si>
  <si>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</si>
  <si>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</si>
  <si>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</si>
  <si>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</si>
  <si>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</si>
  <si>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</si>
  <si>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</si>
  <si>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</si>
  <si>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</si>
  <si>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</si>
  <si>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</si>
  <si>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</si>
  <si>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</si>
  <si>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</si>
  <si>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</si>
  <si>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</si>
  <si>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</si>
  <si>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</si>
  <si>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</si>
  <si>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</si>
  <si>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</si>
  <si>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</si>
  <si>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</si>
  <si>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</si>
  <si>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</si>
  <si>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</si>
  <si>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</si>
  <si>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</si>
  <si>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</si>
  <si>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</si>
  <si>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</si>
  <si>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</si>
  <si>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</si>
  <si>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</si>
  <si>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</si>
  <si>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</si>
  <si>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</si>
  <si>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</si>
  <si>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</si>
  <si>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</si>
  <si>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</si>
  <si>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</si>
  <si>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</si>
  <si>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</si>
  <si>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</si>
  <si>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</si>
  <si>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</si>
  <si>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</si>
  <si>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</si>
  <si>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</si>
  <si>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</si>
  <si>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</si>
  <si>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</si>
  <si>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</si>
  <si>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</si>
  <si>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</si>
  <si>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</si>
  <si>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</si>
  <si>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</si>
  <si>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</si>
  <si>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</si>
  <si>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</si>
  <si>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</si>
  <si>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</si>
  <si>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</si>
  <si>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</si>
  <si>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</si>
  <si>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</si>
  <si>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</si>
  <si>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</si>
  <si>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</si>
  <si>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</si>
  <si>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</si>
  <si>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</si>
  <si>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</si>
  <si>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</si>
  <si>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</si>
  <si>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</si>
  <si>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</si>
  <si>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</si>
  <si>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</si>
  <si>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</si>
  <si>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</si>
  <si>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</si>
  <si>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</si>
  <si>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</si>
  <si>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</si>
  <si>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</si>
  <si>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</si>
  <si>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</si>
  <si>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</si>
  <si>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</si>
  <si>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</si>
  <si>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</si>
  <si>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</si>
  <si>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</si>
  <si>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</si>
  <si>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</si>
  <si>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</si>
  <si>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</si>
  <si>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</si>
  <si>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</si>
  <si>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</si>
  <si>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</si>
  <si>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</si>
  <si>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</si>
  <si>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</si>
  <si>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</si>
  <si>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</si>
  <si>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</si>
  <si>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</si>
  <si>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</si>
  <si>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</si>
  <si>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</si>
  <si>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</si>
  <si>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</si>
  <si>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</si>
  <si>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</si>
  <si>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</si>
  <si>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</si>
  <si>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</si>
  <si>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</si>
  <si>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</si>
  <si>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</si>
  <si>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</si>
  <si>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</si>
  <si>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</si>
  <si>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</si>
  <si>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</si>
  <si>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</si>
  <si>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</si>
  <si>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</si>
  <si>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</si>
  <si>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</si>
  <si>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</si>
  <si>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</si>
  <si>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</si>
  <si>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</si>
  <si>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</si>
  <si>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</si>
  <si>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</si>
  <si>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</si>
  <si>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</si>
  <si>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</si>
  <si>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</si>
  <si>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</si>
  <si>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</si>
  <si>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</si>
  <si>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</si>
  <si>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</si>
  <si>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</si>
  <si>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</si>
  <si>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</si>
  <si>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</si>
  <si>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</si>
  <si>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</si>
  <si>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</si>
  <si>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</si>
  <si>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</si>
  <si>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</si>
  <si>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</si>
  <si>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</si>
  <si>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</si>
  <si>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</si>
  <si>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</si>
  <si>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</si>
  <si>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</si>
  <si>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</si>
  <si>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</si>
  <si>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</si>
  <si>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</si>
  <si>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</si>
  <si>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</si>
  <si>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</si>
  <si>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</si>
  <si>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</si>
  <si>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</si>
  <si>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</si>
  <si>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</si>
  <si>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</si>
  <si>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</si>
  <si>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</si>
  <si>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</si>
  <si>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</si>
  <si>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</si>
  <si>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</si>
  <si>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</si>
  <si>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</si>
  <si>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</si>
  <si>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</si>
  <si>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</si>
  <si>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</si>
  <si>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</si>
  <si>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</si>
  <si>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</si>
  <si>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</si>
  <si>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</si>
  <si>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</si>
  <si>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</si>
  <si>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</si>
  <si>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</si>
  <si>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</si>
  <si>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</si>
  <si>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</si>
  <si>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</si>
  <si>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</si>
  <si>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</si>
  <si>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</si>
  <si>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</si>
  <si>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</si>
  <si>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</si>
  <si>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</si>
  <si>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</si>
  <si>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</si>
  <si>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</si>
  <si>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</si>
  <si>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</si>
  <si>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</si>
  <si>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</si>
  <si>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</si>
  <si>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</si>
  <si>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</si>
  <si>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</si>
  <si>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</si>
  <si>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</si>
  <si>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</si>
  <si>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</si>
  <si>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</si>
  <si>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</si>
  <si>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</si>
  <si>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</si>
  <si>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</si>
  <si>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</si>
  <si>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</si>
  <si>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</si>
  <si>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</si>
  <si>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</si>
  <si>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</si>
  <si>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</si>
  <si>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</si>
  <si>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</si>
  <si>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</si>
  <si>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</si>
  <si>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</si>
  <si>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</si>
  <si>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</si>
  <si>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</si>
  <si>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</si>
  <si>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</si>
  <si>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</si>
  <si>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</si>
  <si>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</si>
  <si>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</si>
  <si>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</si>
  <si>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</si>
  <si>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</si>
  <si>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</si>
  <si>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</si>
  <si>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</si>
  <si>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</si>
  <si>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</si>
  <si>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</si>
  <si>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</si>
  <si>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</si>
  <si>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</si>
  <si>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</si>
  <si>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</si>
  <si>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</si>
  <si>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</si>
  <si>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</si>
  <si>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</si>
  <si>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</si>
  <si>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</si>
  <si>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</si>
  <si>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</si>
  <si>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</si>
  <si>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</si>
  <si>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</si>
  <si>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</si>
  <si>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</si>
  <si>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</si>
  <si>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</si>
  <si>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</si>
  <si>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</si>
  <si>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</si>
  <si>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</si>
  <si>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</si>
  <si>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</si>
  <si>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</si>
  <si>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</si>
  <si>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</si>
  <si>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</si>
  <si>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</si>
  <si>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</si>
  <si>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</si>
  <si>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</si>
  <si>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</si>
  <si>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</si>
  <si>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</si>
  <si>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</si>
  <si>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</si>
  <si>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</si>
  <si>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</si>
  <si>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</si>
  <si>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</si>
  <si>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</si>
  <si>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</si>
  <si>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</si>
  <si>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</si>
  <si>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</si>
  <si>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</si>
  <si>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</si>
  <si>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</si>
  <si>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</si>
  <si>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</si>
  <si>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</si>
  <si>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</si>
  <si>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</si>
  <si>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</si>
  <si>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</si>
  <si>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</si>
  <si>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</si>
  <si>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</si>
  <si>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</si>
  <si>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</si>
  <si>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</si>
  <si>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</si>
  <si>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</si>
  <si>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</si>
  <si>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</si>
  <si>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</si>
  <si>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</si>
  <si>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</si>
  <si>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</si>
  <si>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</si>
  <si>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</si>
  <si>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</si>
  <si>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</si>
  <si>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</si>
  <si>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</si>
  <si>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</si>
  <si>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</si>
  <si>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</si>
  <si>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</si>
  <si>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</si>
  <si>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</si>
  <si>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</si>
  <si>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</si>
  <si>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</si>
  <si>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</si>
  <si>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</si>
  <si>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</si>
  <si>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</si>
  <si>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</si>
  <si>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</si>
  <si>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</si>
  <si>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</si>
  <si>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</si>
  <si>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</si>
  <si>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</si>
  <si>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</si>
  <si>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</si>
  <si>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</si>
  <si>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</si>
  <si>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</si>
  <si>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</si>
  <si>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</si>
  <si>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</si>
  <si>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</si>
  <si>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</si>
  <si>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</si>
  <si>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</si>
  <si>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</si>
  <si>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</si>
  <si>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</si>
  <si>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</si>
  <si>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</si>
  <si>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</si>
  <si>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</si>
  <si>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</si>
  <si>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</si>
  <si>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</si>
  <si>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</si>
  <si>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</si>
  <si>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</si>
  <si>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</si>
  <si>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</si>
  <si>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</si>
  <si>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</si>
  <si>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</si>
  <si>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</si>
  <si>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</si>
  <si>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</si>
  <si>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</si>
  <si>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</si>
  <si>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</si>
  <si>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</si>
  <si>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</si>
  <si>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</si>
  <si>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</si>
  <si>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</si>
  <si>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</si>
  <si>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</si>
  <si>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</si>
  <si>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</si>
  <si>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</si>
  <si>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</si>
  <si>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</si>
  <si>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</si>
  <si>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</si>
  <si>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</si>
  <si>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</si>
  <si>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</si>
  <si>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</si>
  <si>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</si>
  <si>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</si>
  <si>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</si>
  <si>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</si>
  <si>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</si>
  <si>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</si>
  <si>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</si>
  <si>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</si>
  <si>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</si>
  <si>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</si>
  <si>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</si>
  <si>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</si>
  <si>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</si>
  <si>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</si>
  <si>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</si>
  <si>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</si>
  <si>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</si>
  <si>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</si>
  <si>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</si>
  <si>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</si>
  <si>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</si>
  <si>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</si>
  <si>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</si>
  <si>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</si>
  <si>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</si>
  <si>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</si>
  <si>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</si>
  <si>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</si>
  <si>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</si>
  <si>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</si>
  <si>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</si>
  <si>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</si>
  <si>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</si>
  <si>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</si>
  <si>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</si>
  <si>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</si>
  <si>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</si>
  <si>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</si>
  <si>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</si>
  <si>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</si>
  <si>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</si>
  <si>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</si>
  <si>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</si>
  <si>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</si>
  <si>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</si>
  <si>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</si>
  <si>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</si>
  <si>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</si>
  <si>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</si>
  <si>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</si>
  <si>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</si>
  <si>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</si>
  <si>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</si>
  <si>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</si>
  <si>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</si>
  <si>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</si>
  <si>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</si>
  <si>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</si>
  <si>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</si>
  <si>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</si>
  <si>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</si>
  <si>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</si>
  <si>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</si>
  <si>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</si>
  <si>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</si>
  <si>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</si>
  <si>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</si>
  <si>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</si>
  <si>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</si>
  <si>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</si>
  <si>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</si>
  <si>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</si>
  <si>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</si>
  <si>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</si>
  <si>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</si>
  <si>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</si>
  <si>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</si>
  <si>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</si>
  <si>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</si>
  <si>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</si>
  <si>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</si>
  <si>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</si>
  <si>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</si>
  <si>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</si>
  <si>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</si>
  <si>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</si>
  <si>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</si>
  <si>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</si>
  <si>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</si>
  <si>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</si>
  <si>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</si>
  <si>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</si>
  <si>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</si>
  <si>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</si>
  <si>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</si>
  <si>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</si>
  <si>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</si>
  <si>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</si>
  <si>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</si>
  <si>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</si>
  <si>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</si>
  <si>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</si>
  <si>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</si>
  <si>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</si>
  <si>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</si>
  <si>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</si>
  <si>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</si>
  <si>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</si>
  <si>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</si>
  <si>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</si>
  <si>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</si>
  <si>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</si>
  <si>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</si>
  <si>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</si>
  <si>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</si>
  <si>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</si>
  <si>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</si>
  <si>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</si>
  <si>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</si>
  <si>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</si>
  <si>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</si>
  <si>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</si>
  <si>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</si>
  <si>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</si>
  <si>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</si>
  <si>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</si>
  <si>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</si>
  <si>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</si>
  <si>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</si>
  <si>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</si>
  <si>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</si>
  <si>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</si>
  <si>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</si>
  <si>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</si>
  <si>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</si>
  <si>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</si>
  <si>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</si>
  <si>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</si>
  <si>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</si>
  <si>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</si>
  <si>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</si>
  <si>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</si>
  <si>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</si>
  <si>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</si>
  <si>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</si>
  <si>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</si>
  <si>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</si>
  <si>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</si>
  <si>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</si>
  <si>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</si>
  <si>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</si>
  <si>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</si>
  <si>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</si>
  <si>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</si>
  <si>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</si>
  <si>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</si>
  <si>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</si>
  <si>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</si>
  <si>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</si>
  <si>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</si>
  <si>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</si>
  <si>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</si>
  <si>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</si>
  <si>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</si>
  <si>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</si>
  <si>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</si>
  <si>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</si>
  <si>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</si>
  <si>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</si>
  <si>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</si>
  <si>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</si>
  <si>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</si>
  <si>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</si>
  <si>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</si>
  <si>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</si>
  <si>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</si>
  <si>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</si>
  <si>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</si>
  <si>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</si>
  <si>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</si>
  <si>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</si>
  <si>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</si>
  <si>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</si>
  <si>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</si>
  <si>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</si>
  <si>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</si>
  <si>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</si>
  <si>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</si>
  <si>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</si>
  <si>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</si>
  <si>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</si>
  <si>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</si>
  <si>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</si>
  <si>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</si>
  <si>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</si>
  <si>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</si>
  <si>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</si>
  <si>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</si>
  <si>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</si>
  <si>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</si>
  <si>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</si>
  <si>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</si>
  <si>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</si>
  <si>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</si>
  <si>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</si>
  <si>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</si>
  <si>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</si>
  <si>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</si>
  <si>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</si>
  <si>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</si>
  <si>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</si>
  <si>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</si>
  <si>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</si>
  <si>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</si>
  <si>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</si>
  <si>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</si>
  <si>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</si>
  <si>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</si>
  <si>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</si>
  <si>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</si>
  <si>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</si>
  <si>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</si>
  <si>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</si>
  <si>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</si>
  <si>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</si>
  <si>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</si>
  <si>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</si>
  <si>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</si>
  <si>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</si>
  <si>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</si>
  <si>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</si>
  <si>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</si>
  <si>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</si>
  <si>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</si>
  <si>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</si>
  <si>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</si>
  <si>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</si>
  <si>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</si>
  <si>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</si>
  <si>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</si>
  <si>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</si>
  <si>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</si>
  <si>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</si>
  <si>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</si>
  <si>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</si>
  <si>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</si>
  <si>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</si>
  <si>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</si>
  <si>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</si>
  <si>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</si>
  <si>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</si>
  <si>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</si>
  <si>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</si>
  <si>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</si>
  <si>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</si>
  <si>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</si>
  <si>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</si>
  <si>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</si>
  <si>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</si>
  <si>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</si>
  <si>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</si>
  <si>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</si>
  <si>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</si>
  <si>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</si>
  <si>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</si>
  <si>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</si>
  <si>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</si>
  <si>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</si>
  <si>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</si>
  <si>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</si>
  <si>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</si>
  <si>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</si>
  <si>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</si>
  <si>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</si>
  <si>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</si>
  <si>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</si>
  <si>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</si>
  <si>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</si>
  <si>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</si>
  <si>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</si>
  <si>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</si>
  <si>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</si>
  <si>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</si>
  <si>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</si>
  <si>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</si>
  <si>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</si>
  <si>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</si>
  <si>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</si>
  <si>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</si>
  <si>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</si>
  <si>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</si>
  <si>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</si>
  <si>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</si>
  <si>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</si>
  <si>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</si>
  <si>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</si>
  <si>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</si>
  <si>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</si>
  <si>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</si>
  <si>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</si>
  <si>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</si>
  <si>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</si>
  <si>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</si>
  <si>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</si>
  <si>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</si>
  <si>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</si>
  <si>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</si>
  <si>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</si>
  <si>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</si>
  <si>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</si>
  <si>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</si>
  <si>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</si>
  <si>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</si>
  <si>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</si>
  <si>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</si>
  <si>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</si>
  <si>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</si>
  <si>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</si>
  <si>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</si>
  <si>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</si>
  <si>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</si>
  <si>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</si>
  <si>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</si>
  <si>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</si>
  <si>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</si>
  <si>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</si>
  <si>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</si>
  <si>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</si>
  <si>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</si>
  <si>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</si>
  <si>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</si>
  <si>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</si>
  <si>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</si>
  <si>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</si>
  <si>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</si>
  <si>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</si>
  <si>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</si>
  <si>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</si>
  <si>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</si>
  <si>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</si>
  <si>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</si>
  <si>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</si>
  <si>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</si>
  <si>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</si>
  <si>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</si>
  <si>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</si>
  <si>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</si>
  <si>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</si>
  <si>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</si>
  <si>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</si>
  <si>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</si>
  <si>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</si>
  <si>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</si>
  <si>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</si>
  <si>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</si>
  <si>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</si>
  <si>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</si>
  <si>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</si>
  <si>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</si>
  <si>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</si>
  <si>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</si>
  <si>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</si>
  <si>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</si>
  <si>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</si>
  <si>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</si>
  <si>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</si>
  <si>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</si>
  <si>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</si>
  <si>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</si>
  <si>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</si>
  <si>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</si>
  <si>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</si>
  <si>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</si>
  <si>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</si>
  <si>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</si>
  <si>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</si>
  <si>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</si>
  <si>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</si>
  <si>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</si>
  <si>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</si>
  <si>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</si>
  <si>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</si>
  <si>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</si>
  <si>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</si>
  <si>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</si>
  <si>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</si>
  <si>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</si>
  <si>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</si>
  <si>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</si>
  <si>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</si>
  <si>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</si>
  <si>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</si>
  <si>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</si>
  <si>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</si>
  <si>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</si>
  <si>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</si>
  <si>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</si>
  <si>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</si>
  <si>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</si>
  <si>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</si>
  <si>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</si>
  <si>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</si>
  <si>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</si>
  <si>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</si>
  <si>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</si>
  <si>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</si>
  <si>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</si>
  <si>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</si>
  <si>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</si>
  <si>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</si>
  <si>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</si>
  <si>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</si>
  <si>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</si>
  <si>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</si>
  <si>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</si>
  <si>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</si>
  <si>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</si>
  <si>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</si>
  <si>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</si>
  <si>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</si>
  <si>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</si>
  <si>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</si>
  <si>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</si>
  <si>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</si>
  <si>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</si>
  <si>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</si>
  <si>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</si>
  <si>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</si>
  <si>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</si>
  <si>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</si>
  <si>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</si>
  <si>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</si>
  <si>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</si>
  <si>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</si>
  <si>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</si>
  <si>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</si>
  <si>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</si>
  <si>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</si>
  <si>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</si>
  <si>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</si>
  <si>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</si>
  <si>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</si>
  <si>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</si>
  <si>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</si>
  <si>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</si>
  <si>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</si>
  <si>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</si>
  <si>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</si>
  <si>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</si>
  <si>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</si>
  <si>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</si>
  <si>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</si>
  <si>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</si>
  <si>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</si>
  <si>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</si>
  <si>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</si>
  <si>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</si>
  <si>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</si>
  <si>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</si>
  <si>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</si>
  <si>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</si>
  <si>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</si>
  <si>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</si>
  <si>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</si>
  <si>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</si>
  <si>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</si>
  <si>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</si>
  <si>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</si>
  <si>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</si>
  <si>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</si>
  <si>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</si>
  <si>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</si>
  <si>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</si>
  <si>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</si>
  <si>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</si>
  <si>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</si>
  <si>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</si>
  <si>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</si>
  <si>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</si>
  <si>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</si>
  <si>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</si>
  <si>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</si>
  <si>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</si>
  <si>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</si>
  <si>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</si>
  <si>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</si>
  <si>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</si>
  <si>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</si>
  <si>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</si>
  <si>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</si>
  <si>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</si>
  <si>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</si>
  <si>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</si>
  <si>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</si>
  <si>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</si>
  <si>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</si>
  <si>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</si>
  <si>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</si>
  <si>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</si>
  <si>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</si>
  <si>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</si>
  <si>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</si>
  <si>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</si>
  <si>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</si>
  <si>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</si>
  <si>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</si>
  <si>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</si>
  <si>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</si>
  <si>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</si>
  <si>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</si>
  <si>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</si>
  <si>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</si>
  <si>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</si>
  <si>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</si>
  <si>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</si>
  <si>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</si>
  <si>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</si>
  <si>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</si>
  <si>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</si>
  <si>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</si>
  <si>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</si>
  <si>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</si>
  <si>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</si>
  <si>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</si>
  <si>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</si>
  <si>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</si>
  <si>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</si>
  <si>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</si>
  <si>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</si>
  <si>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</si>
  <si>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</si>
  <si>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</si>
  <si>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</si>
  <si>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</si>
  <si>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</si>
  <si>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</si>
  <si>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</si>
  <si>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</si>
  <si>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</si>
  <si>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</si>
  <si>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</si>
  <si>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</si>
  <si>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</si>
  <si>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</si>
  <si>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</si>
  <si>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</si>
  <si>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</si>
  <si>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</si>
  <si>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</si>
  <si>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</si>
  <si>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</si>
  <si>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</si>
  <si>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</si>
  <si>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</si>
  <si>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</si>
  <si>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</si>
  <si>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</si>
  <si>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</si>
  <si>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</si>
  <si>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</si>
  <si>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</si>
  <si>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</si>
  <si>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</si>
  <si>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</si>
  <si>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</si>
  <si>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</si>
  <si>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</si>
  <si>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</si>
  <si>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</si>
  <si>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</si>
  <si>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</si>
  <si>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</si>
  <si>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</si>
  <si>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</si>
  <si>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</si>
  <si>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</si>
  <si>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</si>
  <si>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</si>
  <si>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</si>
  <si>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</si>
  <si>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</si>
  <si>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</si>
  <si>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</si>
  <si>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</si>
  <si>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</si>
  <si>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</si>
  <si>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</si>
  <si>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</si>
  <si>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</si>
  <si>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</si>
  <si>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</si>
  <si>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</si>
  <si>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</si>
  <si>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</si>
  <si>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</si>
  <si>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</si>
  <si>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</si>
  <si>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</si>
  <si>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</si>
  <si>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</si>
  <si>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</si>
  <si>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</si>
  <si>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</si>
  <si>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</si>
  <si>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</si>
  <si>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</si>
  <si>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</si>
  <si>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</si>
  <si>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</si>
  <si>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</si>
  <si>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</si>
  <si>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</si>
  <si>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</si>
  <si>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</si>
  <si>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</si>
  <si>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</si>
  <si>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</si>
  <si>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</si>
  <si>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</si>
  <si>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</si>
  <si>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</si>
  <si>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</si>
  <si>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</si>
  <si>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</si>
  <si>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</si>
  <si>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</si>
  <si>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</si>
  <si>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</si>
  <si>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</si>
  <si>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</si>
  <si>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</si>
  <si>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</si>
  <si>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</si>
  <si>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</si>
  <si>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</si>
  <si>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</si>
  <si>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</si>
  <si>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</si>
  <si>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</si>
  <si>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</si>
  <si>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</si>
  <si>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</si>
  <si>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</si>
  <si>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</si>
  <si>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</si>
  <si>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</si>
  <si>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</si>
  <si>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</si>
  <si>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</si>
  <si>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</si>
  <si>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</si>
  <si>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</si>
  <si>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</si>
  <si>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</si>
  <si>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</si>
  <si>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</si>
  <si>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</si>
  <si>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</si>
  <si>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</si>
  <si>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</si>
  <si>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</si>
  <si>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</si>
  <si>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</si>
  <si>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</si>
  <si>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</si>
  <si>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</si>
  <si>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</si>
  <si>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</si>
  <si>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</si>
  <si>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</si>
  <si>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</si>
  <si>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</si>
  <si>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</si>
  <si>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</si>
  <si>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</si>
  <si>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</si>
  <si>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</si>
  <si>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</si>
  <si>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</si>
  <si>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</si>
  <si>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</si>
  <si>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</si>
  <si>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</si>
  <si>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</si>
  <si>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</si>
  <si>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</si>
  <si>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</si>
  <si>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</si>
  <si>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</si>
  <si>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</si>
  <si>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</si>
  <si>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</si>
  <si>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</si>
  <si>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</si>
  <si>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</si>
  <si>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</si>
  <si>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</si>
  <si>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</si>
  <si>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</si>
  <si>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</si>
  <si>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</si>
  <si>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</si>
  <si>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</si>
  <si>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</si>
  <si>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</si>
  <si>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</si>
  <si>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</si>
  <si>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</si>
  <si>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</si>
  <si>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</si>
  <si>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</si>
  <si>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</si>
  <si>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</si>
  <si>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</si>
  <si>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</si>
  <si>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</si>
  <si>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</si>
  <si>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</si>
  <si>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</si>
  <si>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</si>
  <si>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</si>
  <si>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</si>
  <si>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</si>
  <si>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</si>
  <si>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</si>
  <si>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</si>
  <si>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</si>
  <si>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</si>
  <si>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</si>
  <si>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</si>
  <si>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</si>
  <si>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</si>
  <si>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</si>
  <si>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</si>
  <si>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</si>
  <si>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</si>
  <si>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</si>
  <si>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</si>
  <si>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</si>
  <si>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</si>
  <si>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</si>
  <si>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</si>
  <si>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</si>
  <si>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</si>
  <si>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</si>
  <si>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</si>
  <si>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</si>
  <si>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</si>
  <si>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</si>
  <si>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</si>
  <si>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</si>
  <si>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</si>
  <si>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</si>
  <si>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</si>
  <si>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</si>
  <si>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</si>
  <si>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</si>
  <si>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</si>
  <si>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</si>
  <si>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</si>
  <si>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</si>
  <si>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</si>
  <si>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</si>
  <si>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</si>
  <si>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</si>
  <si>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</si>
  <si>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</si>
  <si>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</si>
  <si>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</si>
  <si>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</si>
  <si>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</si>
  <si>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</si>
  <si>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</si>
  <si>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</si>
  <si>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</si>
  <si>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</si>
  <si>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</si>
  <si>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</si>
  <si>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</si>
  <si>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</si>
  <si>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</si>
  <si>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</si>
  <si>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</si>
  <si>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</si>
  <si>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</si>
  <si>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</si>
  <si>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</si>
  <si>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</si>
  <si>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</si>
  <si>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</si>
  <si>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</si>
  <si>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</si>
  <si>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</si>
  <si>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</si>
  <si>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</si>
  <si>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</si>
  <si>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</si>
  <si>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</si>
  <si>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</si>
  <si>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</si>
  <si>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</si>
  <si>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</si>
  <si>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</si>
  <si>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</si>
  <si>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</si>
  <si>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</si>
  <si>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</si>
  <si>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</si>
  <si>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</si>
  <si>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</si>
  <si>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</si>
  <si>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</si>
  <si>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</si>
  <si>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</si>
  <si>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</si>
  <si>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</si>
  <si>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</si>
  <si>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</si>
  <si>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</si>
  <si>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</si>
  <si>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</si>
  <si>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</si>
  <si>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</si>
  <si>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</si>
  <si>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</si>
  <si>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</si>
  <si>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</si>
  <si>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</si>
  <si>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</si>
  <si>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</si>
  <si>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</si>
  <si>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</si>
  <si>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</si>
  <si>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</si>
  <si>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</si>
  <si>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</si>
  <si>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</si>
  <si>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</si>
  <si>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</si>
  <si>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</si>
  <si>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</si>
  <si>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</si>
  <si>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</si>
  <si>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</si>
  <si>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</si>
  <si>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</si>
  <si>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</si>
  <si>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</si>
  <si>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</si>
  <si>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</si>
  <si>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</si>
  <si>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</si>
  <si>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</si>
  <si>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</si>
  <si>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</si>
  <si>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</si>
  <si>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</si>
  <si>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</si>
  <si>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</si>
  <si>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</si>
  <si>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</si>
  <si>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</si>
  <si>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</si>
  <si>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</si>
  <si>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</si>
  <si>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</si>
  <si>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</si>
  <si>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</si>
  <si>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</si>
  <si>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</si>
  <si>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</si>
  <si>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</si>
  <si>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</si>
  <si>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</si>
  <si>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</si>
  <si>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</si>
  <si>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</si>
  <si>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</si>
  <si>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</si>
  <si>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</si>
  <si>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</si>
  <si>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</si>
  <si>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</si>
  <si>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</si>
  <si>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</si>
  <si>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</si>
  <si>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</si>
  <si>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</si>
  <si>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</si>
  <si>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</si>
  <si>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</si>
  <si>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</si>
  <si>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</si>
  <si>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</si>
  <si>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</si>
  <si>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</si>
  <si>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</si>
  <si>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</si>
  <si>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</si>
  <si>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</si>
  <si>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</si>
  <si>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</si>
  <si>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</si>
  <si>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</si>
  <si>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</si>
  <si>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</si>
  <si>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</si>
  <si>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</si>
  <si>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</si>
  <si>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</si>
  <si>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</si>
  <si>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</si>
  <si>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</si>
  <si>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</si>
  <si>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</si>
  <si>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</si>
  <si>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</si>
  <si>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</si>
  <si>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</si>
  <si>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</si>
  <si>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</si>
  <si>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</si>
  <si>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</si>
  <si>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</si>
  <si>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</si>
  <si>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</si>
  <si>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</si>
  <si>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</si>
  <si>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</si>
  <si>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</si>
  <si>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</si>
  <si>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</si>
  <si>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</si>
  <si>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</si>
  <si>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</si>
  <si>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</si>
  <si>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</si>
  <si>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</si>
  <si>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</si>
  <si>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</si>
  <si>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</si>
  <si>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</si>
  <si>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</si>
  <si>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</si>
  <si>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</si>
  <si>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</si>
  <si>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</si>
  <si>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</si>
  <si>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</si>
  <si>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</si>
  <si>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</si>
  <si>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</si>
  <si>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</si>
  <si>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</si>
  <si>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</si>
  <si>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</si>
  <si>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</si>
  <si>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</si>
  <si>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</si>
  <si>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</si>
  <si>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</si>
  <si>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</si>
  <si>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</si>
  <si>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</si>
  <si>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</si>
  <si>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</si>
  <si>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</si>
  <si>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</si>
  <si>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</si>
  <si>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</si>
  <si>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</si>
  <si>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</si>
  <si>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</si>
  <si>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</si>
  <si>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</si>
  <si>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</si>
  <si>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</si>
  <si>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</si>
  <si>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</si>
  <si>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</si>
  <si>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</si>
  <si>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</si>
  <si>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</si>
  <si>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</si>
  <si>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</si>
  <si>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</si>
  <si>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</si>
  <si>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</si>
  <si>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</si>
  <si>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</si>
  <si>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</si>
  <si>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</si>
  <si>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</si>
  <si>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</si>
  <si>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</si>
  <si>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</si>
  <si>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</si>
  <si>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</si>
  <si>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</si>
  <si>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</si>
  <si>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</si>
  <si>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</si>
  <si>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</si>
  <si>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</si>
  <si>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</si>
  <si>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</si>
  <si>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</si>
  <si>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</si>
  <si>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</si>
  <si>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</si>
  <si>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</si>
  <si>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</si>
  <si>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</si>
  <si>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</si>
  <si>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</si>
  <si>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</si>
  <si>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</si>
  <si>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</si>
  <si>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</si>
  <si>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</si>
  <si>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</si>
  <si>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</si>
  <si>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</si>
  <si>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</si>
  <si>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</si>
  <si>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</si>
  <si>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</si>
  <si>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</si>
  <si>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</si>
  <si>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</si>
  <si>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</si>
  <si>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</si>
  <si>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</si>
  <si>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</si>
  <si>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</si>
  <si>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</si>
  <si>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</si>
  <si>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</si>
  <si>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</si>
  <si>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</si>
  <si>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</si>
  <si>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</si>
  <si>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</si>
  <si>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</si>
  <si>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</si>
  <si>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</si>
  <si>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</si>
  <si>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</si>
  <si>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</si>
  <si>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</si>
  <si>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</si>
  <si>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</si>
  <si>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</si>
  <si>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</si>
  <si>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</si>
  <si>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</si>
  <si>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</si>
  <si>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</si>
  <si>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</si>
  <si>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</si>
  <si>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</si>
  <si>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</si>
  <si>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</si>
  <si>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</si>
  <si>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</si>
  <si>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</si>
  <si>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</si>
  <si>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</si>
  <si>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</si>
  <si>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</si>
  <si>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</si>
  <si>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</si>
  <si>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</si>
  <si>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</si>
  <si>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</si>
  <si>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</si>
  <si>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</si>
  <si>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</si>
  <si>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</si>
  <si>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</si>
  <si>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</si>
  <si>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</si>
  <si>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</si>
  <si>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</si>
  <si>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</si>
  <si>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</si>
  <si>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</si>
  <si>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</si>
  <si>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</si>
  <si>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</si>
  <si>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</si>
  <si>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</si>
  <si>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</si>
  <si>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</si>
  <si>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</si>
  <si>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</si>
  <si>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</si>
  <si>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</si>
  <si>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</si>
  <si>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</si>
  <si>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</si>
  <si>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</si>
  <si>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</si>
  <si>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</si>
  <si>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</si>
  <si>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</si>
  <si>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</si>
  <si>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</si>
  <si>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</si>
  <si>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</si>
  <si>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</si>
  <si>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</si>
  <si>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</si>
  <si>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</si>
  <si>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</si>
  <si>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</si>
  <si>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</si>
  <si>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</si>
  <si>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</si>
  <si>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</si>
  <si>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</si>
  <si>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</si>
  <si>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</si>
  <si>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</si>
  <si>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</si>
  <si>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</si>
  <si>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</si>
  <si>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</si>
  <si>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</si>
  <si>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</si>
  <si>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</si>
  <si>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</si>
  <si>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</si>
  <si>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</si>
  <si>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</si>
  <si>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</si>
  <si>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</si>
  <si>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</si>
  <si>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</si>
  <si>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</si>
  <si>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</si>
  <si>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</si>
  <si>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</si>
  <si>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</si>
  <si>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</si>
  <si>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</si>
  <si>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</si>
  <si>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</si>
  <si>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</si>
  <si>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</si>
  <si>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</si>
  <si>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</si>
  <si>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</si>
  <si>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</si>
  <si>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</si>
  <si>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</si>
  <si>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</si>
  <si>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</si>
  <si>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</si>
  <si>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</si>
  <si>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</si>
  <si>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</si>
  <si>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</si>
  <si>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</si>
  <si>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</si>
  <si>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</si>
  <si>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</si>
  <si>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</si>
  <si>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</si>
  <si>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</si>
  <si>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</si>
  <si>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</si>
  <si>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</si>
  <si>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</si>
  <si>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</si>
  <si>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</si>
  <si>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</si>
  <si>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</si>
  <si>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</si>
  <si>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</si>
  <si>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</si>
  <si>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</si>
  <si>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</si>
  <si>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</si>
  <si>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</si>
  <si>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</si>
  <si>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</si>
  <si>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</si>
  <si>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</si>
  <si>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</si>
  <si>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</si>
  <si>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</si>
  <si>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</si>
  <si>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</si>
  <si>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</si>
  <si>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</si>
  <si>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</si>
  <si>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</si>
  <si>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</si>
  <si>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</si>
  <si>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</si>
  <si>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</si>
  <si>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</si>
  <si>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</si>
  <si>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</si>
  <si>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</si>
  <si>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</si>
  <si>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</si>
  <si>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</si>
  <si>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</si>
  <si>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</si>
  <si>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</si>
  <si>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</si>
  <si>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</si>
  <si>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</si>
  <si>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</si>
  <si>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</si>
  <si>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</si>
  <si>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</si>
  <si>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</si>
  <si>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</si>
  <si>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</si>
  <si>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</si>
  <si>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</si>
  <si>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</si>
  <si>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</si>
  <si>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</si>
  <si>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</si>
  <si>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</si>
  <si>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</si>
  <si>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</si>
  <si>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</si>
  <si>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</si>
  <si>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</si>
  <si>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</si>
  <si>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</si>
  <si>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</si>
  <si>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</si>
  <si>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</si>
  <si>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</si>
  <si>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</si>
  <si>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</si>
  <si>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</si>
  <si>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</si>
  <si>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</si>
  <si>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</si>
  <si>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</si>
  <si>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</si>
  <si>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</si>
  <si>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</si>
  <si>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</si>
  <si>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</si>
  <si>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</si>
  <si>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</si>
  <si>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</si>
  <si>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</si>
  <si>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</si>
  <si>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</si>
  <si>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</si>
  <si>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</si>
  <si>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</si>
  <si>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</si>
  <si>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</si>
  <si>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</si>
  <si>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</si>
  <si>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</si>
  <si>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</si>
  <si>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</si>
  <si>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</si>
  <si>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</si>
  <si>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</si>
  <si>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</si>
  <si>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</si>
  <si>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</si>
  <si>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</si>
  <si>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</si>
  <si>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</si>
  <si>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</si>
  <si>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</si>
  <si>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</si>
  <si>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</si>
  <si>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</si>
  <si>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</si>
  <si>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</si>
  <si>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</si>
  <si>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</si>
  <si>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</si>
  <si>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</si>
  <si>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</si>
  <si>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</si>
  <si>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</si>
  <si>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</si>
  <si>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</si>
  <si>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</si>
  <si>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</si>
  <si>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</si>
  <si>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</si>
  <si>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</si>
  <si>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</si>
  <si>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</si>
  <si>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</si>
  <si>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</si>
  <si>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</si>
  <si>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</si>
  <si>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</si>
  <si>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</si>
  <si>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</si>
  <si>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</si>
  <si>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</si>
  <si>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</si>
  <si>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</si>
  <si>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</si>
  <si>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</si>
  <si>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</si>
  <si>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</si>
  <si>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</si>
  <si>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</si>
  <si>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</si>
  <si>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</si>
  <si>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</si>
  <si>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</si>
  <si>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</si>
  <si>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</si>
  <si>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</si>
  <si>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</si>
  <si>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</si>
  <si>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</si>
  <si>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</si>
  <si>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</si>
  <si>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</si>
  <si>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</si>
  <si>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</si>
  <si>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</si>
  <si>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</si>
  <si>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</si>
  <si>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</si>
  <si>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</si>
  <si>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</si>
  <si>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</si>
  <si>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</si>
  <si>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</si>
  <si>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</si>
  <si>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</si>
  <si>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</si>
  <si>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</si>
  <si>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</si>
  <si>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</si>
  <si>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</si>
  <si>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</si>
  <si>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</si>
  <si>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</si>
  <si>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</si>
  <si>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</si>
  <si>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</si>
  <si>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</si>
  <si>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</si>
  <si>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</si>
  <si>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</si>
  <si>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</si>
  <si>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</si>
  <si>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</si>
  <si>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</si>
  <si>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</si>
  <si>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</si>
  <si>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</si>
  <si>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</si>
  <si>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</si>
  <si>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</si>
  <si>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</si>
  <si>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</si>
  <si>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</si>
  <si>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</si>
  <si>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</si>
  <si>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</si>
  <si>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</si>
  <si>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</si>
  <si>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</si>
  <si>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</si>
  <si>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</si>
  <si>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</si>
  <si>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</si>
  <si>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</si>
  <si>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</si>
  <si>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</si>
  <si>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</si>
  <si>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</si>
  <si>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</si>
  <si>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</si>
  <si>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</si>
  <si>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</si>
  <si>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</si>
  <si>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</si>
  <si>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</si>
  <si>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</si>
  <si>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</si>
  <si>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</si>
  <si>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</si>
  <si>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</si>
  <si>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</si>
  <si>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</si>
  <si>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</si>
  <si>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</si>
  <si>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</si>
  <si>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</si>
  <si>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</si>
  <si>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</si>
  <si>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</si>
  <si>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</si>
  <si>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</si>
  <si>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</si>
  <si>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</si>
  <si>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</si>
  <si>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</si>
  <si>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</si>
  <si>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</si>
  <si>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</si>
  <si>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</si>
  <si>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</si>
  <si>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</si>
  <si>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</si>
  <si>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</si>
  <si>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</si>
  <si>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</si>
  <si>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</si>
  <si>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</si>
  <si>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</si>
  <si>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</si>
  <si>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</si>
  <si>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</si>
  <si>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</si>
  <si>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</si>
  <si>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</si>
  <si>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</si>
  <si>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</si>
  <si>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</si>
  <si>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</si>
  <si>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</si>
  <si>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</si>
  <si>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</si>
  <si>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</si>
  <si>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</si>
  <si>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</si>
  <si>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</si>
  <si>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</si>
  <si>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</si>
  <si>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</si>
  <si>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</si>
  <si>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</si>
  <si>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</si>
  <si>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</si>
  <si>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</si>
  <si>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</si>
  <si>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</si>
  <si>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</si>
  <si>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</si>
  <si>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</si>
  <si>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</si>
  <si>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</si>
  <si>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</si>
  <si>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</si>
  <si>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</si>
  <si>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</si>
  <si>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</si>
  <si>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</si>
  <si>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</si>
  <si>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</si>
  <si>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</si>
  <si>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</si>
  <si>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</si>
  <si>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</si>
  <si>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</si>
  <si>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</si>
  <si>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</si>
  <si>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</si>
  <si>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</si>
  <si>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</si>
  <si>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</si>
  <si>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</si>
  <si>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</si>
  <si>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</si>
  <si>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</si>
  <si>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</si>
  <si>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</si>
  <si>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</si>
  <si>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</si>
  <si>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</si>
  <si>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</si>
  <si>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</si>
  <si>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</si>
  <si>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</si>
  <si>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</si>
  <si>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</si>
  <si>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</si>
  <si>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</si>
  <si>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</si>
  <si>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</si>
  <si>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</si>
  <si>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</si>
  <si>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</si>
  <si>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</si>
  <si>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</si>
  <si>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</si>
  <si>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</si>
  <si>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</si>
  <si>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</si>
  <si>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</si>
  <si>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</si>
  <si>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</si>
  <si>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</si>
  <si>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</si>
  <si>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</si>
  <si>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</si>
  <si>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</si>
  <si>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</si>
  <si>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</si>
  <si>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</si>
  <si>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</si>
  <si>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</si>
  <si>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</si>
  <si>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</si>
  <si>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</si>
  <si>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</si>
  <si>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</si>
  <si>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</si>
  <si>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</si>
  <si>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</si>
  <si>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</si>
  <si>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</si>
  <si>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</si>
  <si>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</si>
  <si>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</si>
  <si>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</si>
  <si>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</si>
  <si>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</si>
  <si>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</si>
  <si>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</si>
  <si>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</si>
  <si>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</si>
  <si>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</si>
  <si>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</si>
  <si>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</si>
  <si>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</si>
  <si>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</si>
  <si>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</si>
  <si>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</si>
  <si>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</si>
  <si>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</si>
  <si>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</si>
  <si>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</si>
  <si>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</si>
  <si>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</si>
  <si>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</si>
  <si>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</si>
  <si>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</si>
  <si>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</si>
  <si>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</si>
  <si>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</si>
  <si>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</si>
  <si>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</si>
  <si>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</si>
  <si>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</si>
  <si>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</si>
  <si>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</si>
  <si>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</si>
  <si>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</si>
  <si>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</si>
  <si>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</si>
  <si>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</si>
  <si>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</si>
  <si>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</si>
  <si>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</si>
  <si>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</si>
  <si>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</si>
  <si>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</si>
  <si>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</si>
  <si>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</si>
  <si>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</si>
  <si>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</si>
  <si>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</si>
  <si>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</si>
  <si>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</si>
  <si>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</si>
  <si>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</si>
  <si>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</si>
  <si>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</si>
  <si>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</si>
  <si>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</si>
  <si>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</si>
  <si>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</si>
  <si>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</si>
  <si>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</si>
  <si>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</si>
  <si>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</si>
  <si>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</si>
  <si>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</si>
  <si>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</si>
  <si>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</si>
  <si>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</si>
  <si>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</si>
  <si>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</si>
  <si>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</si>
  <si>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</si>
  <si>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</si>
  <si>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</si>
  <si>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</si>
  <si>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</si>
  <si>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</si>
  <si>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</si>
  <si>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</si>
  <si>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</si>
  <si>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</si>
  <si>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</si>
  <si>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</si>
  <si>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</si>
  <si>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</si>
  <si>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</si>
  <si>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</si>
  <si>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</si>
  <si>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</si>
  <si>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</si>
  <si>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</si>
  <si>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</si>
  <si>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</si>
  <si>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</si>
  <si>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</si>
  <si>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</si>
  <si>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</si>
  <si>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</si>
  <si>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</si>
  <si>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</si>
  <si>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</si>
  <si>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</si>
  <si>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</si>
  <si>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</si>
  <si>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</si>
  <si>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</si>
  <si>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</si>
  <si>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</si>
  <si>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</si>
  <si>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</si>
  <si>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</si>
  <si>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</si>
  <si>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</si>
  <si>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</si>
  <si>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</si>
  <si>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</si>
  <si>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</si>
  <si>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</si>
  <si>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</si>
  <si>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</si>
  <si>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</si>
  <si>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</si>
  <si>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</si>
  <si>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</si>
  <si>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</si>
  <si>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</si>
  <si>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</si>
  <si>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</si>
  <si>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</si>
  <si>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</si>
  <si>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</si>
  <si>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</si>
  <si>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</si>
  <si>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</si>
  <si>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</si>
  <si>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</si>
  <si>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</si>
  <si>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</si>
  <si>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</si>
  <si>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</si>
  <si>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</si>
  <si>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</si>
  <si>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</si>
  <si>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</si>
  <si>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</si>
  <si>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</si>
  <si>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</si>
  <si>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</si>
  <si>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</si>
  <si>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</si>
  <si>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</si>
  <si>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</si>
  <si>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</si>
  <si>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</si>
  <si>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</si>
  <si>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</si>
  <si>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</si>
  <si>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</si>
  <si>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</si>
  <si>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</si>
  <si>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</si>
  <si>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</si>
  <si>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</si>
  <si>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</si>
  <si>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</si>
  <si>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</si>
  <si>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</si>
  <si>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</si>
  <si>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</si>
  <si>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</si>
  <si>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</si>
  <si>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</si>
  <si>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</si>
  <si>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</si>
  <si>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</si>
  <si>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</si>
  <si>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</si>
  <si>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</si>
  <si>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</si>
  <si>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</si>
  <si>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</si>
  <si>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</si>
  <si>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</si>
  <si>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</si>
  <si>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</si>
  <si>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</si>
  <si>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</si>
  <si>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</si>
  <si>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</si>
  <si>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</si>
  <si>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</si>
  <si>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</si>
  <si>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</si>
  <si>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</si>
  <si>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</si>
  <si>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</si>
  <si>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</si>
  <si>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</si>
  <si>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</si>
  <si>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</si>
  <si>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</si>
  <si>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</si>
  <si>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</si>
  <si>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</si>
  <si>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</si>
  <si>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</si>
  <si>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</si>
  <si>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</si>
  <si>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</si>
  <si>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</si>
  <si>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</si>
  <si>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</si>
  <si>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</si>
  <si>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</si>
  <si>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</si>
  <si>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</si>
  <si>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</si>
  <si>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</si>
  <si>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</si>
  <si>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</si>
  <si>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</si>
  <si>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</si>
  <si>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</si>
  <si>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</si>
  <si>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</si>
  <si>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</si>
  <si>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</si>
  <si>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</si>
  <si>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</si>
  <si>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</si>
  <si>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</si>
  <si>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</si>
  <si>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</si>
  <si>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</si>
  <si>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</si>
  <si>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</si>
  <si>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</si>
  <si>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</si>
  <si>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</si>
  <si>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</si>
  <si>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</si>
  <si>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</si>
  <si>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</si>
  <si>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</si>
  <si>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</si>
  <si>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</si>
  <si>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</si>
  <si>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</si>
  <si>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</si>
  <si>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</si>
  <si>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</si>
  <si>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</si>
  <si>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</si>
  <si>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</si>
  <si>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</si>
  <si>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</si>
  <si>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</si>
  <si>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</si>
  <si>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</si>
  <si>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</si>
  <si>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</si>
  <si>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</si>
  <si>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</si>
  <si>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</si>
  <si>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</si>
  <si>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</si>
  <si>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</si>
  <si>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</si>
  <si>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</si>
  <si>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</si>
  <si>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</si>
  <si>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</si>
  <si>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</si>
  <si>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</si>
  <si>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</si>
  <si>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</si>
  <si>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</si>
  <si>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</si>
  <si>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</si>
  <si>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</si>
  <si>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</si>
  <si>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</si>
  <si>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</si>
  <si>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</si>
  <si>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</si>
  <si>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</si>
  <si>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</si>
  <si>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</si>
  <si>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</si>
  <si>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</si>
  <si>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</si>
  <si>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</si>
  <si>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</si>
  <si>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</si>
  <si>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</si>
  <si>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</si>
  <si>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</si>
  <si>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</si>
  <si>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</si>
  <si>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</si>
  <si>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</si>
  <si>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</si>
  <si>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</si>
  <si>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</si>
  <si>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</si>
  <si>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</si>
  <si>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</si>
  <si>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</si>
  <si>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</si>
  <si>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</si>
  <si>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</si>
  <si>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</si>
  <si>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</si>
  <si>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</si>
  <si>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</si>
  <si>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</si>
  <si>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</si>
  <si>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</si>
  <si>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</si>
  <si>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</si>
  <si>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</si>
  <si>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</si>
  <si>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</si>
  <si>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</si>
  <si>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</si>
  <si>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</si>
  <si>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</si>
  <si>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</si>
  <si>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</si>
  <si>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</si>
  <si>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</si>
  <si>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</si>
  <si>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</si>
  <si>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</si>
  <si>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</si>
  <si>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</si>
  <si>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</si>
  <si>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</si>
  <si>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</si>
  <si>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</si>
  <si>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</si>
  <si>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</si>
  <si>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</si>
  <si>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</si>
  <si>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</si>
  <si>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</si>
  <si>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</si>
  <si>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</si>
  <si>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</si>
  <si>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</si>
  <si>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</si>
  <si>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</si>
  <si>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</si>
  <si>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</si>
  <si>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</si>
  <si>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</si>
  <si>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</si>
  <si>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</si>
  <si>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</si>
  <si>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</si>
  <si>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</si>
  <si>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</si>
  <si>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</si>
  <si>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</si>
  <si>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</si>
  <si>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</si>
  <si>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</si>
  <si>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</si>
  <si>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</si>
  <si>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</si>
  <si>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</si>
  <si>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</si>
  <si>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</si>
  <si>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</si>
  <si>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</si>
  <si>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</si>
  <si>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</si>
  <si>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</si>
  <si>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</si>
  <si>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</si>
  <si>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</si>
  <si>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</si>
  <si>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</si>
  <si>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</si>
  <si>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</si>
  <si>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</si>
  <si>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</si>
  <si>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</si>
  <si>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</si>
  <si>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</si>
  <si>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</si>
  <si>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</si>
  <si>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</si>
  <si>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</si>
  <si>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</si>
  <si>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</si>
  <si>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</si>
  <si>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</si>
  <si>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</si>
  <si>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</si>
  <si>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</si>
  <si>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</si>
  <si>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</si>
  <si>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</si>
  <si>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</si>
  <si>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</si>
  <si>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</si>
  <si>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</si>
  <si>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</si>
  <si>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</si>
  <si>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</si>
  <si>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</si>
  <si>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</si>
  <si>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</si>
  <si>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</si>
  <si>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</si>
  <si>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</si>
  <si>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</si>
  <si>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</si>
  <si>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</si>
  <si>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</si>
  <si>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</si>
  <si>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</si>
  <si>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</si>
  <si>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</si>
  <si>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</si>
  <si>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</si>
  <si>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</si>
  <si>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</si>
  <si>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</si>
  <si>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</si>
  <si>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</si>
  <si>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</si>
  <si>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</si>
  <si>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</si>
  <si>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</si>
  <si>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</si>
  <si>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</si>
  <si>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</si>
  <si>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</si>
  <si>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</si>
  <si>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</si>
  <si>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</si>
  <si>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</si>
  <si>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</si>
  <si>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</si>
  <si>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</si>
  <si>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</si>
  <si>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</si>
  <si>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</si>
  <si>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</si>
  <si>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</si>
  <si>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</si>
  <si>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</si>
  <si>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</si>
  <si>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</si>
  <si>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</si>
  <si>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</si>
  <si>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</si>
  <si>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</si>
  <si>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</si>
  <si>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</si>
  <si>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</si>
  <si>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</si>
  <si>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</si>
  <si>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</si>
  <si>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</si>
  <si>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</si>
  <si>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</si>
  <si>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</si>
  <si>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</si>
  <si>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</si>
  <si>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</si>
  <si>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</si>
  <si>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</si>
  <si>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</si>
  <si>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</si>
  <si>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</si>
  <si>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</si>
  <si>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</si>
  <si>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</si>
  <si>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</si>
  <si>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</si>
  <si>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</si>
  <si>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</si>
  <si>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</si>
  <si>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</si>
  <si>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</si>
  <si>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</si>
  <si>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</si>
  <si>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</si>
  <si>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</si>
  <si>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</si>
  <si>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</si>
  <si>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</si>
  <si>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</si>
  <si>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</si>
  <si>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</si>
  <si>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</si>
  <si>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</si>
  <si>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</si>
  <si>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</si>
  <si>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</si>
  <si>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</si>
  <si>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</si>
  <si>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</si>
  <si>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</si>
  <si>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</si>
  <si>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</si>
  <si>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</si>
  <si>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</si>
  <si>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</si>
  <si>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</si>
  <si>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</si>
  <si>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</si>
  <si>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</si>
  <si>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</si>
  <si>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</si>
  <si>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</si>
  <si>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</si>
  <si>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</si>
  <si>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</si>
  <si>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</si>
  <si>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</si>
  <si>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</si>
  <si>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</si>
  <si>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</si>
  <si>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</si>
  <si>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</si>
  <si>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</si>
  <si>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</si>
  <si>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</si>
  <si>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</si>
  <si>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</si>
  <si>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</si>
  <si>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</si>
  <si>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</si>
  <si>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</si>
  <si>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</si>
  <si>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</si>
  <si>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</si>
  <si>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</si>
  <si>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</si>
  <si>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</si>
  <si>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</si>
  <si>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</si>
  <si>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</si>
  <si>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</si>
  <si>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</si>
  <si>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</si>
  <si>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</si>
  <si>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</si>
  <si>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</si>
  <si>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</si>
  <si>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</si>
  <si>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</si>
  <si>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</si>
  <si>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</si>
  <si>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</si>
  <si>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</si>
  <si>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</si>
  <si>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</si>
  <si>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</si>
  <si>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</si>
  <si>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</si>
  <si>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</si>
  <si>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</si>
  <si>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</si>
  <si>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</si>
  <si>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</si>
  <si>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</si>
  <si>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</si>
  <si>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</si>
  <si>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</si>
  <si>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</si>
  <si>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</si>
  <si>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</si>
  <si>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</si>
  <si>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</si>
  <si>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</si>
  <si>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</si>
  <si>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</si>
  <si>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</si>
  <si>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</si>
  <si>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</si>
  <si>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</si>
  <si>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</si>
  <si>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</si>
  <si>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</si>
  <si>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</si>
  <si>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</si>
  <si>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</si>
  <si>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</si>
  <si>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</si>
  <si>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</si>
  <si>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</si>
  <si>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</si>
  <si>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</si>
  <si>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</si>
  <si>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</si>
  <si>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</si>
  <si>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</si>
  <si>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</si>
  <si>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</si>
  <si>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</si>
  <si>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</si>
  <si>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</si>
  <si>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</si>
  <si>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</si>
  <si>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</si>
  <si>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</si>
  <si>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</si>
  <si>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</si>
  <si>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</si>
  <si>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</si>
  <si>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</si>
  <si>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</si>
  <si>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</si>
  <si>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</si>
  <si>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</si>
  <si>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</si>
  <si>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</si>
  <si>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</si>
  <si>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</si>
  <si>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</si>
  <si>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</si>
  <si>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</si>
  <si>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</si>
  <si>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</si>
  <si>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</si>
  <si>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</si>
  <si>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</si>
  <si>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</si>
  <si>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</si>
  <si>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</si>
  <si>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</si>
  <si>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</si>
  <si>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</si>
  <si>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</si>
  <si>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</si>
  <si>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</si>
  <si>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</si>
  <si>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</si>
  <si>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</si>
  <si>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</si>
  <si>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</si>
  <si>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</si>
  <si>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</si>
  <si>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</si>
  <si>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</si>
  <si>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</si>
  <si>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</si>
  <si>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</si>
  <si>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</si>
  <si>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</si>
  <si>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</si>
  <si>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</si>
  <si>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</si>
  <si>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</si>
  <si>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</si>
  <si>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</si>
  <si>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</si>
  <si>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</si>
  <si>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</si>
  <si>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</si>
  <si>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</si>
  <si>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</si>
  <si>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</si>
  <si>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</si>
  <si>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</si>
  <si>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</si>
  <si>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</si>
  <si>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</si>
  <si>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</si>
  <si>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</si>
  <si>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</si>
  <si>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</si>
  <si>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</si>
  <si>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</si>
  <si>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</si>
  <si>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</si>
  <si>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</si>
  <si>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</si>
  <si>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</si>
  <si>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</si>
  <si>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</si>
  <si>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</si>
  <si>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</si>
  <si>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</si>
  <si>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</si>
  <si>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</si>
  <si>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</si>
  <si>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</si>
  <si>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</si>
  <si>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</si>
  <si>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</si>
  <si>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</si>
  <si>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</si>
  <si>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</si>
  <si>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</si>
  <si>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</si>
  <si>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</si>
  <si>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</si>
  <si>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</si>
  <si>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</si>
  <si>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</si>
  <si>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</si>
  <si>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</si>
  <si>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</si>
  <si>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</si>
  <si>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</si>
  <si>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</si>
  <si>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</si>
  <si>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</si>
  <si>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</si>
  <si>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</si>
  <si>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</si>
  <si>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</si>
  <si>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</si>
  <si>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</si>
  <si>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</si>
  <si>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</si>
  <si>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</si>
  <si>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</si>
  <si>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</si>
  <si>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</si>
  <si>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</si>
  <si>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</si>
  <si>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</si>
  <si>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</si>
  <si>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</si>
  <si>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</si>
  <si>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</si>
  <si>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</si>
  <si>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</si>
  <si>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</si>
  <si>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</si>
  <si>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</si>
  <si>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</si>
  <si>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</si>
  <si>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</si>
  <si>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</si>
  <si>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</si>
  <si>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</si>
  <si>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</si>
  <si>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</si>
  <si>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</si>
  <si>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</si>
  <si>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</si>
  <si>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</si>
  <si>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</si>
  <si>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</si>
  <si>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</si>
  <si>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</si>
  <si>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</si>
  <si>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</si>
  <si>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</si>
  <si>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</si>
  <si>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</si>
  <si>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</si>
  <si>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</si>
  <si>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</si>
  <si>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</si>
  <si>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</si>
  <si>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</si>
  <si>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</si>
  <si>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</si>
  <si>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</si>
  <si>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</si>
  <si>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</si>
  <si>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</si>
  <si>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</si>
  <si>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</si>
  <si>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</si>
  <si>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</si>
  <si>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</si>
  <si>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</si>
  <si>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</si>
  <si>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</si>
  <si>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</si>
  <si>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</si>
  <si>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</si>
  <si>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</si>
  <si>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</si>
  <si>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</si>
  <si>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</si>
  <si>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</si>
  <si>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</si>
  <si>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</si>
  <si>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</si>
  <si>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</si>
  <si>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</si>
  <si>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</si>
  <si>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</si>
  <si>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</si>
  <si>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</si>
  <si>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</si>
  <si>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</si>
  <si>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</si>
  <si>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</si>
  <si>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</si>
  <si>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</si>
  <si>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</si>
  <si>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</si>
  <si>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</si>
  <si>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</si>
  <si>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</si>
  <si>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</si>
  <si>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</si>
  <si>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</si>
  <si>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</si>
  <si>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</si>
  <si>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</si>
  <si>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</si>
  <si>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</si>
  <si>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</si>
  <si>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</si>
  <si>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</si>
  <si>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</si>
  <si>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</si>
  <si>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</si>
  <si>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</si>
  <si>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</si>
  <si>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</si>
  <si>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</si>
  <si>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</si>
  <si>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</si>
  <si>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</si>
  <si>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</si>
  <si>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</si>
  <si>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</si>
  <si>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</si>
  <si>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</si>
  <si>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</si>
  <si>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</si>
  <si>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</si>
  <si>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</si>
  <si>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</si>
  <si>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</si>
  <si>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</si>
  <si>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</si>
  <si>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</si>
  <si>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</si>
  <si>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</si>
  <si>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</si>
  <si>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</si>
  <si>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</si>
  <si>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</si>
  <si>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</si>
  <si>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</si>
  <si>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</si>
  <si>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</si>
  <si>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</si>
  <si>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</si>
  <si>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</si>
  <si>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</si>
  <si>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</si>
  <si>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</si>
  <si>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</si>
  <si>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</si>
  <si>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</si>
  <si>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</si>
  <si>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</si>
  <si>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</si>
  <si>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</si>
  <si>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</si>
  <si>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</si>
  <si>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</si>
  <si>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</si>
  <si>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</si>
  <si>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</si>
  <si>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</si>
  <si>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</si>
  <si>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</si>
  <si>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</si>
  <si>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</si>
  <si>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</si>
  <si>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</si>
  <si>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</si>
  <si>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</si>
  <si>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</si>
  <si>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</si>
  <si>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</si>
  <si>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</si>
  <si>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</si>
  <si>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</si>
  <si>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</si>
  <si>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</si>
  <si>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</si>
  <si>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</si>
  <si>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</si>
  <si>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</si>
  <si>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</si>
  <si>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</si>
  <si>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</si>
  <si>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</si>
  <si>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</si>
  <si>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</si>
  <si>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</si>
  <si>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</si>
  <si>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</si>
  <si>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</si>
  <si>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</si>
  <si>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</si>
  <si>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</si>
  <si>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</si>
  <si>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</si>
  <si>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</si>
  <si>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</si>
  <si>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</si>
  <si>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</si>
  <si>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</si>
  <si>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</si>
  <si>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</si>
  <si>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</si>
  <si>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</si>
  <si>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</si>
  <si>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</si>
  <si>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</si>
  <si>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</si>
  <si>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</si>
  <si>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</si>
  <si>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</si>
  <si>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</si>
  <si>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</si>
  <si>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</si>
  <si>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</si>
  <si>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</si>
  <si>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</si>
  <si>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</si>
  <si>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</si>
  <si>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</si>
  <si>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</si>
  <si>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</si>
  <si>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</si>
  <si>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</si>
  <si>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</si>
  <si>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</si>
  <si>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</si>
  <si>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</si>
  <si>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</si>
  <si>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</si>
  <si>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</si>
  <si>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</si>
  <si>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</si>
  <si>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</si>
  <si>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</si>
  <si>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</si>
  <si>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</si>
  <si>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</si>
  <si>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</si>
  <si>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</si>
  <si>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</si>
  <si>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</si>
  <si>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</si>
  <si>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</si>
  <si>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</si>
  <si>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</si>
  <si>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</si>
  <si>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</si>
  <si>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</si>
  <si>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</si>
  <si>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</si>
  <si>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</si>
  <si>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</si>
  <si>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</si>
  <si>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</si>
  <si>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</si>
  <si>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</si>
  <si>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</si>
  <si>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</si>
  <si>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</si>
  <si>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</si>
  <si>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</si>
  <si>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</si>
  <si>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</si>
  <si>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</si>
  <si>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</si>
  <si>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</si>
  <si>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</si>
  <si>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</si>
  <si>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</si>
  <si>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</si>
  <si>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</si>
  <si>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</si>
  <si>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</si>
  <si>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</si>
  <si>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</si>
  <si>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</si>
  <si>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</si>
  <si>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</si>
  <si>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</si>
  <si>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</si>
  <si>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</si>
  <si>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</si>
  <si>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</si>
  <si>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</si>
  <si>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</si>
  <si>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</si>
  <si>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</si>
  <si>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</si>
  <si>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</si>
  <si>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</si>
  <si>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</si>
  <si>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</si>
  <si>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</si>
  <si>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</si>
  <si>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</si>
  <si>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</si>
  <si>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</si>
  <si>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</si>
  <si>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</si>
  <si>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</si>
  <si>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</si>
  <si>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</si>
  <si>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</si>
  <si>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</si>
  <si>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</si>
  <si>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</si>
  <si>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</si>
  <si>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</si>
  <si>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</si>
  <si>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</si>
  <si>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</si>
  <si>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</si>
  <si>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</si>
  <si>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</si>
  <si>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</si>
  <si>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</si>
  <si>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</si>
  <si>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</si>
  <si>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</si>
  <si>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</si>
  <si>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</si>
  <si>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</si>
  <si>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</si>
  <si>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</si>
  <si>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</si>
  <si>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</si>
  <si>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</si>
  <si>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</si>
  <si>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</si>
  <si>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</si>
  <si>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</si>
  <si>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</si>
  <si>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</si>
  <si>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</si>
  <si>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</si>
  <si>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</si>
  <si>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</si>
  <si>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</si>
  <si>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</si>
  <si>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</si>
  <si>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</si>
  <si>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</si>
  <si>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</si>
  <si>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</si>
  <si>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</si>
  <si>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</si>
  <si>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</si>
  <si>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</si>
  <si>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</si>
  <si>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</si>
  <si>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</si>
  <si>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</si>
  <si>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</si>
  <si>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</si>
  <si>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</si>
  <si>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</si>
  <si>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</si>
  <si>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</si>
  <si>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</si>
  <si>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</si>
  <si>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</si>
  <si>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</si>
  <si>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</si>
  <si>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</si>
  <si>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</si>
  <si>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</si>
  <si>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</si>
  <si>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</si>
  <si>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</si>
  <si>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</si>
  <si>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</si>
  <si>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</si>
  <si>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</si>
  <si>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</si>
  <si>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</si>
  <si>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</si>
  <si>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</si>
  <si>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</si>
  <si>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</si>
  <si>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</si>
  <si>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</si>
  <si>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</si>
  <si>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</si>
  <si>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</si>
  <si>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</si>
  <si>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</si>
  <si>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</si>
  <si>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</si>
  <si>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</si>
  <si>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</si>
  <si>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</si>
  <si>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</si>
  <si>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</si>
  <si>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</si>
  <si>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</si>
  <si>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</si>
  <si>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</si>
  <si>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</si>
  <si>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</si>
  <si>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</si>
  <si>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</si>
  <si>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</si>
  <si>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</si>
  <si>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</si>
  <si>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</si>
  <si>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</si>
  <si>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</si>
  <si>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</si>
  <si>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</si>
  <si>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</si>
  <si>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</si>
  <si>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</si>
  <si>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</si>
  <si>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</si>
  <si>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</si>
  <si>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</si>
  <si>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</si>
  <si>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</si>
  <si>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</si>
  <si>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</si>
  <si>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</si>
  <si>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</si>
  <si>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</si>
  <si>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</si>
  <si>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</si>
  <si>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</si>
  <si>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</si>
  <si>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</si>
  <si>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</si>
  <si>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</si>
  <si>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</si>
  <si>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</si>
  <si>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</si>
  <si>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</si>
  <si>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</si>
  <si>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</si>
  <si>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</si>
  <si>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</si>
  <si>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</si>
  <si>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</si>
  <si>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</si>
  <si>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</si>
  <si>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</si>
  <si>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</si>
  <si>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</si>
  <si>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</si>
  <si>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</si>
  <si>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</si>
  <si>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</si>
  <si>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</si>
  <si>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</si>
  <si>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</si>
  <si>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</si>
  <si>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</si>
  <si>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</si>
  <si>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</si>
  <si>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</si>
  <si>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</si>
  <si>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</si>
  <si>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</si>
  <si>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</si>
  <si>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</si>
  <si>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</si>
  <si>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</si>
  <si>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</si>
  <si>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</si>
  <si>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</si>
  <si>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</si>
  <si>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</si>
  <si>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</si>
  <si>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</si>
  <si>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</si>
  <si>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</si>
  <si>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</si>
  <si>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</si>
  <si>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</si>
  <si>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</si>
  <si>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</si>
  <si>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</si>
  <si>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</si>
  <si>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</si>
  <si>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</si>
  <si>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</si>
  <si>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</si>
  <si>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</si>
  <si>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</si>
  <si>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</si>
  <si>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</si>
  <si>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</si>
  <si>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</si>
  <si>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</si>
  <si>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</si>
  <si>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</si>
  <si>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</si>
  <si>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</si>
  <si>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</si>
  <si>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</si>
  <si>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</si>
  <si>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</si>
  <si>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</si>
  <si>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</si>
  <si>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</si>
  <si>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</si>
  <si>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</si>
  <si>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</si>
  <si>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</si>
  <si>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</si>
  <si>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</si>
  <si>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</si>
  <si>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</si>
  <si>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</si>
  <si>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</si>
  <si>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</si>
  <si>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</si>
  <si>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</si>
  <si>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</si>
  <si>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</si>
  <si>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</si>
  <si>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</si>
  <si>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</si>
  <si>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</si>
  <si>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</si>
  <si>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</si>
  <si>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</si>
  <si>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</si>
  <si>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</si>
  <si>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</si>
  <si>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</si>
  <si>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</si>
  <si>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</si>
  <si>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</si>
  <si>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</si>
  <si>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</si>
  <si>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</si>
  <si>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</si>
  <si>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</si>
  <si>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</si>
  <si>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</si>
  <si>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</si>
  <si>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</si>
  <si>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</si>
  <si>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</si>
  <si>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</si>
  <si>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</si>
  <si>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</si>
  <si>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</si>
  <si>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</si>
  <si>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</si>
  <si>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</si>
  <si>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</si>
  <si>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</si>
  <si>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</si>
  <si>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</si>
  <si>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</si>
  <si>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</si>
  <si>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</si>
  <si>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</si>
  <si>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</si>
  <si>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</si>
  <si>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</si>
  <si>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</si>
  <si>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</si>
  <si>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</si>
  <si>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</si>
  <si>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</si>
  <si>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</si>
  <si>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</si>
  <si>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</si>
  <si>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</si>
  <si>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</si>
  <si>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</si>
  <si>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</si>
  <si>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</si>
  <si>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</si>
  <si>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</si>
  <si>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</si>
  <si>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</si>
  <si>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</si>
  <si>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</si>
  <si>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</si>
  <si>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</si>
  <si>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</si>
  <si>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</si>
  <si>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</si>
  <si>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</si>
  <si>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</si>
  <si>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</si>
  <si>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</si>
  <si>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</si>
  <si>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</si>
  <si>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</si>
  <si>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</si>
  <si>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</si>
  <si>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</si>
  <si>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</si>
  <si>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</si>
  <si>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</si>
  <si>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</si>
  <si>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</si>
  <si>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</si>
  <si>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</si>
  <si>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</si>
  <si>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</si>
  <si>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</si>
  <si>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</si>
  <si>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</si>
  <si>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</si>
  <si>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</si>
  <si>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</si>
  <si>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</si>
  <si>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</si>
  <si>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</si>
  <si>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</si>
  <si>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</si>
  <si>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</si>
  <si>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</si>
  <si>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</si>
  <si>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</si>
  <si>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</si>
  <si>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</si>
  <si>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</si>
  <si>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</si>
  <si>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</si>
  <si>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</si>
  <si>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</si>
  <si>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</si>
  <si>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</si>
  <si>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</si>
  <si>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</si>
  <si>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</si>
  <si>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</si>
  <si>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</si>
  <si>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</si>
  <si>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</si>
  <si>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</si>
  <si>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</si>
  <si>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</si>
  <si>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</si>
  <si>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</si>
  <si>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</si>
  <si>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</si>
  <si>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</si>
  <si>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</si>
  <si>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</si>
  <si>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</si>
  <si>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</si>
  <si>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</si>
  <si>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</si>
  <si>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</si>
  <si>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</si>
  <si>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</si>
  <si>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</si>
  <si>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</si>
  <si>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</si>
  <si>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</si>
  <si>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</si>
  <si>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</si>
  <si>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</si>
  <si>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</si>
  <si>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</si>
  <si>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</si>
  <si>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</si>
  <si>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</si>
  <si>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</si>
  <si>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</si>
  <si>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</si>
  <si>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</si>
  <si>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</si>
  <si>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</si>
  <si>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</si>
  <si>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</si>
  <si>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</si>
  <si>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</si>
  <si>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</si>
  <si>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</si>
  <si>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</si>
  <si>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</si>
  <si>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</si>
  <si>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</si>
  <si>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</si>
  <si>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</si>
  <si>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</si>
  <si>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</si>
  <si>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</si>
  <si>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</si>
  <si>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</si>
  <si>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</si>
  <si>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</si>
  <si>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</si>
  <si>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</si>
  <si>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</si>
  <si>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</si>
  <si>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</si>
  <si>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</si>
  <si>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</si>
  <si>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</si>
  <si>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</si>
  <si>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</si>
  <si>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</si>
  <si>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</si>
  <si>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</si>
  <si>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</si>
  <si>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</si>
  <si>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</si>
  <si>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</si>
  <si>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</si>
  <si>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</si>
  <si>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</si>
  <si>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</si>
  <si>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</si>
  <si>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</si>
  <si>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</si>
  <si>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</si>
  <si>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</si>
  <si>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</si>
  <si>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</si>
  <si>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</si>
  <si>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</si>
  <si>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</si>
  <si>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</si>
  <si>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</si>
  <si>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</si>
  <si>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</si>
  <si>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</si>
  <si>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</si>
  <si>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</si>
  <si>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</si>
  <si>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</si>
  <si>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</si>
  <si>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</si>
  <si>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</si>
  <si>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</si>
  <si>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</si>
  <si>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</si>
  <si>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</si>
  <si>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</si>
  <si>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</si>
  <si>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</si>
  <si>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</si>
  <si>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</si>
  <si>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</si>
  <si>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</si>
  <si>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</si>
  <si>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</si>
  <si>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</si>
  <si>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</si>
  <si>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</si>
  <si>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</si>
  <si>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</si>
  <si>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</si>
  <si>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</si>
  <si>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</si>
  <si>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</si>
  <si>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</si>
  <si>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</si>
  <si>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</si>
  <si>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</si>
  <si>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</si>
  <si>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</si>
  <si>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</si>
  <si>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</si>
  <si>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</si>
  <si>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</si>
  <si>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</si>
  <si>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</si>
  <si>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</si>
  <si>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</si>
  <si>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</si>
  <si>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</si>
  <si>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</si>
  <si>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</si>
  <si>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</si>
  <si>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</si>
  <si>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</si>
  <si>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</si>
  <si>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</si>
  <si>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</si>
  <si>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</si>
  <si>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</si>
  <si>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</si>
  <si>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</si>
  <si>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</si>
  <si>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</si>
  <si>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</si>
  <si>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</si>
  <si>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</si>
  <si>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</si>
  <si>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</si>
  <si>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</si>
  <si>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</si>
  <si>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</si>
  <si>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</si>
  <si>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</si>
  <si>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</si>
  <si>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</si>
  <si>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</si>
  <si>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</si>
  <si>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</si>
  <si>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</si>
  <si>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</si>
  <si>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</si>
  <si>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</si>
  <si>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</si>
  <si>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</si>
  <si>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</si>
  <si>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</si>
  <si>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</si>
  <si>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</si>
  <si>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</si>
  <si>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</si>
  <si>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</si>
  <si>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</si>
  <si>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</si>
  <si>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</si>
  <si>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</si>
  <si>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</si>
  <si>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</si>
  <si>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</si>
  <si>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</si>
  <si>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</si>
  <si>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</si>
  <si>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</si>
  <si>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</si>
  <si>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</si>
  <si>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</si>
  <si>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</si>
  <si>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</si>
  <si>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</si>
  <si>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</si>
  <si>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</si>
  <si>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</si>
  <si>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</si>
  <si>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</si>
  <si>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</si>
  <si>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</si>
  <si>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</si>
  <si>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</si>
  <si>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</si>
  <si>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</si>
  <si>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</si>
  <si>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</si>
  <si>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</si>
  <si>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</si>
  <si>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</si>
  <si>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</si>
  <si>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</si>
  <si>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</si>
  <si>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</si>
  <si>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</si>
  <si>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</si>
  <si>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</si>
  <si>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</si>
  <si>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</si>
  <si>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</si>
  <si>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</si>
  <si>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</si>
  <si>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</si>
  <si>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</si>
  <si>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</si>
  <si>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</si>
  <si>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</si>
  <si>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</si>
  <si>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</si>
  <si>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</si>
  <si>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</si>
  <si>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</si>
  <si>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</si>
  <si>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</si>
  <si>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</si>
  <si>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</si>
  <si>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</si>
  <si>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</si>
  <si>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</si>
  <si>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</si>
  <si>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</si>
  <si>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</si>
  <si>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</si>
  <si>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</si>
  <si>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</si>
  <si>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</si>
  <si>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</si>
  <si>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</si>
  <si>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</si>
  <si>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</si>
  <si>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</si>
  <si>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</si>
  <si>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</si>
  <si>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</si>
  <si>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</si>
  <si>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</si>
  <si>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</si>
  <si>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</si>
  <si>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</si>
  <si>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</si>
  <si>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</si>
  <si>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</si>
  <si>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</si>
  <si>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</si>
  <si>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</si>
  <si>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</si>
  <si>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</si>
  <si>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</si>
  <si>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</si>
  <si>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</si>
  <si>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</si>
  <si>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</si>
  <si>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</si>
  <si>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</si>
  <si>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</si>
  <si>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</si>
  <si>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</si>
  <si>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</si>
  <si>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</si>
  <si>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</si>
  <si>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</si>
  <si>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</si>
  <si>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</si>
  <si>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</si>
  <si>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</si>
  <si>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</si>
  <si>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</si>
  <si>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</si>
  <si>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</si>
  <si>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</si>
  <si>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</si>
  <si>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</si>
  <si>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</si>
  <si>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</si>
  <si>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</si>
  <si>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</si>
  <si>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</si>
  <si>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</si>
  <si>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</si>
  <si>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</si>
  <si>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</si>
  <si>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</si>
  <si>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</si>
  <si>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</si>
  <si>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</si>
  <si>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</si>
  <si>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</si>
  <si>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</si>
  <si>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</si>
  <si>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</si>
  <si>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</si>
  <si>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</si>
  <si>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</si>
  <si>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</si>
  <si>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</si>
  <si>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</si>
  <si>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</si>
  <si>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</si>
  <si>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</si>
  <si>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</si>
  <si>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</si>
  <si>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</si>
  <si>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</si>
  <si>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</si>
  <si>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</si>
  <si>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</si>
  <si>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</si>
  <si>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</si>
  <si>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</si>
  <si>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</si>
  <si>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</si>
  <si>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</si>
  <si>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</si>
  <si>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</si>
  <si>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</si>
  <si>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</si>
  <si>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</si>
  <si>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</si>
  <si>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</si>
  <si>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</si>
  <si>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</si>
  <si>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</si>
  <si>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</si>
  <si>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</si>
  <si>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</si>
  <si>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</si>
  <si>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</si>
  <si>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</si>
  <si>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</si>
  <si>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</si>
  <si>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</si>
  <si>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</si>
  <si>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</si>
  <si>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</si>
  <si>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</si>
  <si>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</si>
  <si>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</si>
  <si>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</si>
  <si>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</si>
  <si>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</si>
  <si>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</si>
  <si>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</si>
  <si>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</si>
  <si>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</si>
  <si>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</si>
  <si>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</si>
  <si>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</si>
  <si>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</si>
  <si>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</si>
  <si>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</si>
  <si>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</si>
  <si>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</si>
  <si>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</si>
  <si>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</si>
  <si>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</si>
  <si>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</si>
  <si>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</si>
  <si>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</si>
  <si>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</si>
  <si>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</si>
  <si>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</si>
  <si>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</si>
  <si>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</si>
  <si>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</si>
  <si>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</si>
  <si>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</si>
  <si>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</si>
  <si>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</si>
  <si>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</si>
  <si>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</si>
  <si>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</si>
  <si>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</si>
  <si>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</si>
  <si>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</si>
  <si>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</si>
  <si>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</si>
  <si>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</si>
  <si>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</si>
  <si>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</si>
  <si>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</si>
  <si>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</si>
  <si>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</si>
  <si>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</si>
  <si>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</si>
  <si>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</si>
  <si>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</si>
  <si>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</si>
  <si>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</si>
  <si>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</si>
  <si>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</si>
  <si>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</si>
  <si>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</si>
  <si>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</si>
  <si>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</si>
  <si>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</si>
  <si>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</si>
  <si>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</si>
  <si>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</si>
  <si>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</si>
  <si>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</si>
  <si>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</si>
  <si>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</si>
  <si>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</si>
  <si>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</si>
  <si>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</si>
  <si>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</si>
  <si>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</si>
  <si>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</si>
  <si>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</si>
  <si>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</si>
  <si>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</si>
  <si>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</si>
  <si>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</si>
  <si>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</si>
  <si>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</si>
  <si>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</si>
  <si>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</si>
  <si>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</si>
  <si>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</si>
  <si>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</si>
  <si>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</si>
  <si>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</si>
  <si>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</si>
  <si>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</si>
  <si>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</si>
  <si>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</si>
  <si>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</si>
  <si>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</si>
  <si>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</si>
  <si>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</si>
  <si>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</si>
  <si>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</si>
  <si>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</si>
  <si>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</si>
  <si>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</si>
  <si>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</si>
  <si>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</si>
  <si>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</si>
  <si>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</si>
  <si>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</si>
  <si>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</si>
  <si>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</si>
  <si>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</si>
  <si>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</si>
  <si>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</si>
  <si>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</si>
  <si>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</si>
  <si>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</si>
  <si>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</si>
  <si>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</si>
  <si>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</si>
  <si>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</si>
  <si>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</si>
  <si>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</si>
  <si>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</si>
  <si>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</si>
  <si>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</si>
  <si>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</si>
  <si>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</si>
  <si>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</si>
  <si>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</si>
  <si>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</si>
  <si>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</si>
  <si>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</si>
  <si>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</si>
  <si>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</si>
  <si>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</si>
  <si>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</si>
  <si>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</si>
  <si>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</si>
  <si>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</si>
  <si>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</si>
  <si>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</si>
  <si>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</si>
  <si>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</si>
  <si>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</si>
  <si>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</si>
  <si>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</si>
  <si>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</si>
  <si>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</si>
  <si>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</si>
  <si>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</si>
  <si>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</si>
  <si>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</si>
  <si>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</si>
  <si>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</si>
  <si>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</si>
  <si>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</si>
  <si>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</si>
  <si>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</si>
  <si>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</si>
  <si>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</si>
  <si>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</si>
  <si>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</si>
  <si>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</si>
  <si>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</si>
  <si>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</si>
  <si>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</si>
  <si>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</si>
  <si>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</si>
  <si>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</si>
  <si>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</si>
  <si>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</si>
  <si>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</si>
  <si>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</si>
  <si>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</si>
  <si>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</si>
  <si>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</si>
  <si>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</si>
  <si>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</si>
  <si>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</si>
  <si>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</si>
  <si>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</si>
  <si>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</si>
  <si>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</si>
  <si>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</si>
  <si>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</si>
  <si>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</si>
  <si>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</si>
  <si>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</si>
  <si>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</si>
  <si>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</si>
  <si>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</si>
  <si>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</si>
  <si>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</si>
  <si>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</si>
  <si>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</si>
  <si>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</si>
  <si>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</si>
  <si>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</si>
  <si>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</si>
  <si>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</si>
  <si>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</si>
  <si>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</si>
  <si>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</si>
  <si>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</si>
  <si>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</si>
  <si>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</si>
  <si>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</si>
  <si>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</si>
  <si>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</si>
  <si>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</si>
  <si>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</si>
  <si>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</si>
  <si>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</si>
  <si>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</si>
  <si>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</si>
  <si>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</si>
  <si>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</si>
  <si>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</si>
  <si>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</si>
  <si>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</si>
  <si>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</si>
  <si>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</si>
  <si>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</si>
  <si>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</si>
  <si>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</si>
  <si>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</si>
  <si>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</si>
  <si>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</si>
  <si>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</si>
  <si>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</si>
  <si>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</si>
  <si>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</si>
  <si>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</si>
  <si>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</si>
  <si>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</si>
  <si>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</si>
  <si>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</si>
  <si>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</si>
  <si>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</si>
  <si>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</si>
  <si>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</si>
  <si>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</si>
  <si>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</si>
  <si>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</si>
  <si>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</si>
  <si>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</si>
  <si>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</si>
  <si>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</si>
  <si>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</si>
  <si>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</si>
  <si>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</si>
  <si>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</si>
  <si>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</si>
  <si>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</si>
  <si>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</si>
  <si>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</si>
  <si>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</si>
  <si>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</si>
  <si>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</si>
  <si>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</si>
  <si>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</si>
  <si>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</si>
  <si>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</si>
  <si>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</si>
  <si>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</si>
  <si>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</si>
  <si>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</si>
  <si>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</si>
  <si>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</si>
  <si>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</si>
  <si>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</si>
  <si>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</si>
  <si>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</si>
  <si>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</si>
  <si>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</si>
  <si>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</si>
  <si>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</si>
  <si>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</si>
  <si>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</si>
  <si>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</si>
  <si>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</si>
  <si>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</si>
  <si>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</si>
  <si>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</si>
  <si>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</si>
  <si>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</si>
  <si>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</si>
  <si>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</si>
  <si>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</si>
  <si>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</si>
  <si>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</si>
  <si>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</si>
  <si>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</si>
  <si>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</si>
  <si>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</si>
  <si>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</si>
  <si>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</si>
  <si>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</si>
  <si>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</si>
  <si>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</si>
  <si>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</si>
  <si>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</si>
  <si>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</si>
  <si>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</si>
  <si>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</si>
  <si>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</si>
  <si>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</si>
  <si>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</si>
  <si>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</si>
  <si>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</si>
  <si>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</si>
  <si>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</si>
  <si>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</si>
  <si>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</si>
  <si>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</si>
  <si>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</si>
  <si>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</si>
  <si>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</si>
  <si>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</si>
  <si>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</si>
  <si>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</si>
  <si>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</si>
  <si>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</si>
  <si>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</si>
  <si>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</si>
  <si>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</si>
  <si>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</si>
  <si>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</si>
  <si>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</si>
  <si>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</si>
  <si>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</si>
  <si>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</si>
  <si>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</si>
  <si>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</si>
  <si>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</si>
  <si>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</si>
  <si>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</si>
  <si>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</si>
  <si>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</si>
  <si>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</si>
  <si>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</si>
  <si>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</si>
  <si>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</si>
  <si>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</si>
  <si>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</si>
  <si>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</si>
  <si>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</si>
  <si>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</si>
  <si>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</si>
  <si>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</si>
  <si>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</si>
  <si>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</si>
  <si>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</si>
  <si>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</si>
  <si>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</si>
  <si>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</si>
  <si>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</si>
  <si>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</si>
  <si>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</si>
  <si>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</si>
  <si>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</si>
  <si>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</si>
  <si>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</si>
  <si>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</si>
  <si>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</si>
  <si>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</si>
  <si>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</si>
  <si>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</si>
  <si>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</si>
  <si>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</si>
  <si>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</si>
  <si>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</si>
  <si>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</si>
  <si>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</si>
  <si>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</si>
  <si>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</si>
  <si>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</si>
  <si>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</si>
  <si>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</si>
  <si>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</si>
  <si>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</si>
  <si>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</si>
  <si>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</si>
  <si>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</si>
  <si>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</si>
  <si>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</si>
  <si>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</si>
  <si>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</si>
  <si>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</si>
  <si>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</si>
  <si>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</si>
  <si>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</si>
  <si>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</si>
  <si>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</si>
  <si>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</si>
  <si>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</si>
  <si>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</si>
  <si>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</si>
  <si>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</si>
  <si>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</si>
  <si>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</si>
  <si>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</si>
  <si>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</si>
  <si>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</si>
  <si>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</si>
  <si>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</si>
  <si>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</si>
  <si>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</si>
  <si>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</si>
  <si>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</si>
  <si>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</si>
  <si>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</si>
  <si>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</si>
  <si>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</si>
  <si>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</si>
  <si>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</si>
  <si>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</si>
  <si>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</si>
  <si>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</si>
  <si>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</si>
  <si>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</si>
  <si>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</si>
  <si>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</si>
  <si>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</si>
  <si>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</si>
  <si>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</si>
  <si>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</si>
  <si>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</si>
  <si>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</si>
  <si>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</si>
  <si>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</si>
  <si>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</si>
  <si>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</si>
  <si>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</si>
  <si>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</si>
  <si>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</si>
  <si>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</si>
  <si>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</si>
  <si>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</si>
  <si>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</si>
  <si>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</si>
  <si>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</si>
  <si>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</si>
  <si>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</si>
  <si>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</si>
  <si>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</si>
  <si>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</si>
  <si>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</si>
  <si>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</si>
  <si>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</si>
  <si>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</si>
  <si>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</si>
  <si>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</si>
  <si>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</si>
  <si>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</si>
  <si>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</si>
  <si>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</si>
  <si>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</si>
  <si>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</si>
  <si>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</si>
  <si>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</si>
  <si>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</si>
  <si>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</si>
  <si>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</si>
  <si>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</si>
  <si>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</si>
  <si>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</si>
  <si>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</si>
  <si>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</si>
  <si>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</si>
  <si>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</si>
  <si>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</si>
  <si>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</si>
  <si>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</si>
  <si>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</si>
  <si>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</si>
  <si>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</si>
  <si>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</si>
  <si>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</si>
  <si>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</si>
  <si>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</si>
  <si>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</si>
  <si>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</si>
  <si>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</si>
  <si>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</si>
  <si>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</si>
  <si>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</si>
  <si>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</si>
  <si>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</si>
  <si>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</si>
  <si>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</si>
  <si>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</si>
  <si>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</si>
  <si>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</si>
  <si>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</si>
  <si>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</si>
  <si>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</si>
  <si>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</si>
  <si>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</si>
  <si>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</si>
  <si>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</si>
  <si>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</si>
  <si>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</si>
  <si>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</si>
  <si>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</si>
  <si>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</si>
  <si>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</si>
  <si>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</si>
  <si>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</si>
  <si>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</si>
  <si>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</si>
  <si>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</si>
  <si>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</si>
  <si>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</si>
  <si>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</si>
  <si>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</si>
  <si>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</si>
  <si>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</si>
  <si>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</si>
  <si>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</si>
  <si>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</si>
  <si>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</si>
  <si>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</si>
  <si>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</si>
  <si>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</si>
  <si>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</si>
  <si>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</si>
  <si>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</si>
  <si>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</si>
  <si>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</si>
  <si>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</si>
  <si>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</si>
  <si>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</si>
  <si>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</si>
  <si>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</si>
  <si>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</si>
  <si>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</si>
  <si>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</si>
  <si>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</si>
  <si>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</si>
  <si>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</si>
  <si>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</si>
  <si>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</si>
  <si>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</si>
  <si>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</si>
  <si>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</si>
  <si>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</si>
  <si>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</si>
  <si>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</si>
  <si>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</si>
  <si>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</si>
  <si>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</si>
  <si>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</si>
  <si>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</si>
  <si>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</si>
  <si>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</si>
  <si>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</si>
  <si>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</si>
  <si>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</si>
  <si>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</si>
  <si>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</si>
  <si>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</si>
  <si>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</si>
  <si>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</si>
  <si>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</si>
  <si>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</si>
  <si>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</si>
  <si>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</si>
  <si>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</si>
  <si>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</si>
  <si>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</si>
  <si>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</si>
  <si>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</si>
  <si>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</si>
  <si>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</si>
  <si>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</si>
  <si>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</si>
  <si>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</si>
  <si>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</si>
  <si>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</si>
  <si>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</si>
  <si>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</si>
  <si>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</si>
  <si>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</si>
  <si>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</si>
  <si>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</si>
  <si>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</si>
  <si>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</si>
  <si>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</si>
  <si>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</si>
  <si>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</si>
  <si>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</si>
  <si>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</si>
  <si>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</si>
  <si>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</si>
  <si>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</si>
  <si>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</si>
  <si>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</si>
  <si>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</si>
  <si>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</si>
  <si>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</si>
  <si>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</si>
  <si>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</si>
  <si>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</si>
  <si>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</si>
  <si>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</si>
  <si>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</si>
  <si>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</si>
  <si>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</si>
  <si>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</si>
  <si>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</si>
  <si>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</si>
  <si>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</si>
  <si>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</si>
  <si>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</si>
  <si>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</si>
  <si>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</si>
  <si>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</si>
  <si>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</si>
  <si>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</si>
  <si>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</si>
  <si>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</si>
  <si>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</si>
  <si>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</si>
  <si>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</si>
  <si>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</si>
  <si>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</si>
  <si>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</si>
  <si>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</si>
  <si>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</si>
  <si>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</si>
  <si>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</si>
  <si>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</si>
  <si>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</si>
  <si>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</si>
  <si>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</si>
  <si>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</si>
  <si>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</si>
  <si>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</si>
  <si>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</si>
  <si>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</si>
  <si>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</si>
  <si>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</si>
  <si>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</si>
  <si>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</si>
  <si>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</si>
  <si>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</si>
  <si>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</si>
  <si>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</si>
  <si>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</si>
  <si>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</si>
  <si>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</si>
  <si>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</si>
  <si>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</si>
  <si>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</si>
  <si>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</si>
  <si>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</si>
  <si>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</si>
  <si>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</si>
  <si>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</si>
  <si>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</si>
  <si>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</si>
  <si>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</si>
  <si>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</si>
  <si>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</si>
  <si>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</si>
  <si>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</si>
  <si>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</si>
  <si>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</si>
  <si>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</si>
  <si>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</si>
  <si>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</si>
  <si>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</si>
  <si>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</si>
  <si>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</si>
  <si>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</si>
  <si>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</si>
  <si>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</si>
  <si>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</si>
  <si>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</si>
  <si>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</si>
  <si>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</si>
  <si>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</si>
  <si>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</si>
  <si>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</si>
  <si>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</si>
  <si>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</si>
  <si>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</si>
  <si>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</si>
  <si>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</si>
  <si>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</si>
  <si>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</si>
  <si>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</si>
  <si>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</si>
  <si>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</si>
  <si>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</si>
  <si>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</si>
  <si>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</si>
  <si>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</si>
  <si>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</si>
  <si>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</si>
  <si>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</si>
  <si>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</si>
  <si>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</si>
  <si>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</si>
  <si>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</si>
  <si>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</si>
  <si>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</si>
  <si>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</si>
  <si>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</si>
  <si>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</si>
  <si>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</si>
  <si>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</si>
  <si>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</si>
  <si>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</si>
  <si>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</si>
  <si>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</si>
  <si>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</si>
  <si>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</si>
  <si>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</si>
  <si>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</si>
  <si>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</si>
  <si>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</si>
  <si>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</si>
  <si>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</si>
  <si>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</si>
  <si>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</si>
  <si>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</si>
  <si>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</si>
  <si>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</si>
  <si>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</si>
  <si>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</si>
  <si>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</si>
  <si>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</si>
  <si>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</si>
  <si>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</si>
  <si>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</si>
  <si>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</si>
  <si>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</si>
  <si>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</si>
  <si>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</si>
  <si>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</si>
  <si>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</si>
  <si>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</si>
  <si>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</si>
  <si>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</si>
  <si>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</si>
  <si>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</si>
  <si>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</si>
  <si>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</si>
  <si>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</si>
  <si>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</si>
  <si>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</si>
  <si>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</si>
  <si>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</si>
  <si>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</si>
  <si>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</si>
  <si>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</si>
  <si>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</si>
  <si>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</si>
  <si>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</si>
  <si>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</si>
  <si>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</si>
  <si>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</si>
  <si>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</si>
  <si>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</si>
  <si>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</si>
  <si>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</si>
  <si>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</si>
  <si>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</si>
  <si>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</si>
  <si>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</si>
  <si>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</si>
  <si>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</si>
  <si>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</si>
  <si>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</si>
  <si>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</si>
  <si>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</si>
  <si>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</si>
  <si>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</si>
  <si>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</si>
  <si>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</si>
  <si>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</si>
  <si>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</si>
  <si>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</si>
  <si>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</si>
  <si>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</si>
  <si>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</si>
  <si>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</si>
  <si>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</si>
  <si>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</si>
  <si>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</si>
  <si>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</si>
  <si>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</si>
  <si>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</si>
  <si>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</si>
  <si>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</si>
  <si>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</si>
  <si>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</si>
  <si>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</si>
  <si>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</si>
  <si>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</si>
  <si>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</si>
  <si>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</si>
  <si>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</si>
  <si>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</si>
  <si>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</si>
  <si>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</si>
  <si>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</si>
  <si>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</si>
  <si>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</si>
  <si>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</si>
  <si>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</si>
  <si>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</si>
  <si>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</si>
  <si>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</si>
  <si>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</si>
  <si>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</si>
  <si>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</si>
  <si>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</si>
  <si>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</si>
  <si>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</si>
  <si>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</si>
  <si>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</si>
  <si>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</si>
  <si>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</si>
  <si>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</si>
  <si>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</si>
  <si>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</si>
  <si>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</si>
  <si>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</si>
  <si>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</si>
  <si>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</si>
  <si>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</si>
  <si>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</si>
  <si>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</si>
  <si>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</si>
  <si>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</si>
  <si>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</si>
  <si>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</si>
  <si>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</si>
  <si>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</si>
  <si>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</si>
  <si>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</si>
  <si>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</si>
  <si>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</si>
  <si>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</si>
  <si>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</si>
  <si>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</si>
  <si>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</si>
  <si>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</si>
  <si>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</si>
  <si>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</si>
  <si>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</si>
  <si>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</si>
  <si>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</si>
  <si>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</si>
  <si>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</si>
  <si>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</si>
  <si>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</si>
  <si>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</si>
  <si>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</si>
  <si>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</si>
  <si>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</si>
  <si>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</si>
  <si>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</si>
  <si>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</si>
  <si>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</si>
  <si>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</si>
  <si>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</si>
  <si>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</si>
  <si>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</si>
  <si>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</si>
  <si>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</si>
  <si>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</si>
  <si>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</si>
  <si>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</si>
  <si>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</si>
  <si>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</si>
  <si>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</si>
  <si>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</si>
  <si>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</si>
  <si>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</si>
  <si>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</si>
  <si>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</si>
  <si>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</si>
  <si>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</si>
  <si>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</si>
  <si>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</si>
  <si>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</si>
  <si>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</si>
  <si>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</si>
  <si>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</si>
  <si>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</si>
  <si>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</si>
  <si>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</si>
  <si>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</si>
  <si>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</si>
  <si>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</si>
  <si>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</si>
  <si>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</si>
  <si>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</si>
  <si>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</si>
  <si>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</si>
  <si>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</si>
  <si>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</si>
  <si>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</si>
  <si>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</si>
  <si>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</si>
  <si>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</si>
  <si>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</si>
  <si>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</si>
  <si>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</si>
  <si>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</si>
  <si>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</si>
  <si>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</si>
  <si>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</si>
  <si>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</si>
  <si>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</si>
  <si>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</si>
  <si>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</si>
  <si>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</si>
  <si>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</si>
  <si>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</si>
  <si>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</si>
  <si>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</si>
  <si>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</si>
  <si>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</si>
  <si>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</si>
  <si>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</si>
  <si>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</si>
  <si>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</si>
  <si>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</si>
  <si>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</si>
  <si>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</si>
  <si>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</si>
  <si>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</si>
  <si>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</si>
  <si>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</si>
  <si>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</si>
  <si>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</si>
  <si>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</si>
  <si>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</si>
  <si>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</si>
  <si>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</si>
  <si>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</si>
  <si>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</si>
  <si>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</si>
  <si>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</si>
  <si>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</si>
  <si>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</si>
  <si>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</si>
  <si>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</si>
  <si>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</si>
  <si>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</si>
  <si>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</si>
  <si>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</si>
  <si>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</si>
  <si>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</si>
  <si>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</si>
  <si>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</si>
  <si>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</si>
  <si>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</si>
  <si>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</si>
  <si>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</si>
  <si>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</si>
  <si>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</si>
  <si>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</si>
  <si>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</si>
  <si>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</si>
  <si>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</si>
  <si>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</si>
  <si>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</si>
  <si>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</si>
  <si>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</si>
  <si>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</si>
  <si>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</si>
  <si>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</si>
  <si>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</si>
  <si>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</si>
  <si>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</si>
  <si>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</si>
  <si>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</si>
  <si>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</si>
  <si>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</si>
  <si>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</si>
  <si>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</si>
  <si>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</si>
  <si>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</si>
  <si>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</si>
  <si>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</si>
  <si>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</si>
  <si>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</si>
  <si>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</si>
  <si>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</si>
  <si>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</si>
  <si>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</si>
  <si>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</si>
  <si>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</si>
  <si>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</si>
  <si>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</si>
  <si>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</si>
  <si>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</si>
  <si>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</si>
  <si>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</si>
  <si>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</si>
  <si>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</si>
  <si>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</si>
  <si>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</si>
  <si>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</si>
  <si>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</si>
  <si>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</si>
  <si>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</si>
  <si>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</si>
  <si>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</si>
  <si>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</si>
  <si>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</si>
  <si>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</si>
  <si>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</si>
  <si>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</si>
  <si>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</si>
  <si>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</si>
  <si>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</si>
  <si>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</si>
  <si>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</si>
  <si>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</si>
  <si>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</si>
  <si>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</si>
  <si>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</si>
  <si>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</si>
  <si>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</si>
  <si>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</si>
  <si>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</si>
  <si>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</si>
  <si>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</si>
  <si>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</si>
  <si>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</si>
  <si>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</si>
  <si>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</si>
  <si>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</si>
  <si>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</si>
  <si>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</si>
  <si>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</si>
  <si>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</si>
  <si>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</si>
  <si>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</si>
  <si>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</si>
  <si>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</si>
  <si>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</si>
  <si>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</si>
  <si>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</si>
  <si>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</si>
  <si>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</si>
  <si>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</si>
  <si>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</si>
  <si>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</si>
  <si>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</si>
  <si>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</si>
  <si>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</si>
  <si>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</si>
  <si>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</si>
  <si>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</si>
  <si>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</si>
  <si>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</si>
  <si>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</si>
  <si>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</si>
  <si>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</si>
  <si>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</si>
  <si>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</si>
  <si>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</si>
  <si>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</si>
  <si>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</si>
  <si>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</si>
  <si>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</si>
  <si>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</si>
  <si>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</si>
  <si>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</si>
  <si>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</si>
  <si>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</si>
  <si>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</si>
  <si>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</si>
  <si>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</si>
  <si>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</si>
  <si>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</si>
  <si>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</si>
  <si>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</si>
  <si>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</si>
  <si>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</si>
  <si>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</si>
  <si>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</si>
  <si>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</si>
  <si>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</si>
  <si>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</si>
  <si>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</si>
  <si>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</si>
  <si>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</si>
  <si>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</si>
  <si>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</si>
  <si>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</si>
  <si>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</si>
  <si>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</si>
  <si>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</si>
  <si>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</si>
  <si>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</si>
  <si>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</si>
  <si>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</si>
  <si>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</si>
  <si>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</si>
  <si>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</si>
  <si>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</si>
  <si>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</si>
  <si>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</si>
  <si>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</si>
  <si>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</si>
  <si>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</si>
  <si>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</si>
  <si>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</si>
  <si>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</si>
  <si>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</si>
  <si>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</si>
  <si>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</si>
  <si>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</si>
  <si>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</si>
  <si>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</si>
  <si>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</si>
  <si>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</si>
  <si>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</si>
  <si>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</si>
  <si>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</si>
  <si>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</si>
  <si>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</si>
  <si>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</si>
  <si>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</si>
  <si>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</si>
  <si>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</si>
  <si>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</si>
  <si>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</si>
  <si>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</si>
  <si>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</si>
  <si>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</si>
  <si>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</si>
  <si>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</si>
  <si>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</si>
  <si>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</si>
  <si>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</si>
  <si>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</si>
  <si>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</si>
  <si>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</si>
  <si>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</si>
  <si>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</si>
  <si>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</si>
  <si>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</si>
  <si>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</si>
  <si>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</si>
  <si>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</si>
  <si>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</si>
  <si>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</si>
  <si>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</si>
  <si>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</si>
  <si>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</si>
  <si>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</si>
  <si>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</si>
  <si>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</si>
  <si>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</si>
  <si>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</si>
  <si>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</si>
  <si>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</si>
  <si>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</si>
  <si>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</si>
  <si>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</si>
  <si>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</si>
  <si>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</si>
  <si>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</si>
  <si>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</si>
  <si>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</si>
  <si>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</si>
  <si>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</si>
  <si>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</si>
  <si>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</si>
  <si>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</si>
  <si>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</si>
  <si>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</si>
  <si>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</si>
  <si>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</si>
  <si>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</si>
  <si>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</si>
  <si>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</si>
  <si>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</si>
  <si>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</si>
  <si>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</si>
  <si>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</si>
  <si>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</si>
  <si>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</si>
  <si>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</si>
  <si>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</si>
  <si>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</si>
  <si>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</si>
  <si>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</si>
  <si>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</si>
  <si>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</si>
  <si>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</si>
  <si>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</si>
  <si>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</si>
  <si>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</si>
  <si>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</si>
  <si>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</si>
  <si>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</si>
  <si>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</si>
  <si>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</si>
  <si>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</si>
  <si>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</si>
  <si>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</si>
  <si>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</si>
  <si>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</si>
  <si>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</si>
  <si>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</si>
  <si>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</si>
  <si>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</si>
  <si>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</si>
  <si>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</si>
  <si>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</si>
  <si>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</si>
  <si>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</si>
  <si>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</si>
  <si>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</si>
  <si>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</si>
  <si>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</si>
  <si>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</si>
  <si>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</si>
  <si>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</si>
  <si>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</si>
  <si>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</si>
  <si>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</si>
  <si>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</si>
  <si>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</si>
  <si>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</si>
  <si>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</si>
  <si>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</si>
  <si>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</si>
  <si>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</si>
  <si>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</si>
  <si>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</si>
  <si>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</si>
  <si>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</si>
  <si>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</si>
  <si>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</si>
  <si>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</si>
  <si>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</si>
  <si>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</si>
  <si>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</si>
  <si>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</si>
  <si>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</si>
  <si>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</si>
  <si>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</si>
  <si>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</si>
  <si>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</si>
  <si>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</si>
  <si>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</si>
  <si>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</si>
  <si>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</si>
  <si>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</si>
  <si>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</si>
  <si>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</si>
  <si>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</si>
  <si>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</si>
  <si>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</si>
  <si>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</si>
  <si>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</si>
  <si>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</si>
  <si>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</si>
  <si>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</si>
  <si>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</si>
  <si>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</si>
  <si>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</si>
  <si>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</si>
  <si>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</si>
  <si>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</si>
  <si>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</si>
  <si>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</si>
  <si>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</si>
  <si>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</si>
  <si>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</si>
  <si>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</si>
  <si>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</si>
  <si>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</si>
  <si>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</si>
  <si>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</si>
  <si>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</si>
  <si>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</si>
  <si>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</si>
  <si>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</si>
  <si>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</si>
  <si>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</si>
  <si>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</si>
  <si>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</si>
  <si>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</si>
  <si>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</si>
  <si>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</si>
  <si>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</si>
  <si>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</si>
  <si>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</si>
  <si>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</si>
  <si>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</si>
  <si>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</si>
  <si>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</si>
  <si>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</si>
  <si>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</si>
  <si>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</si>
  <si>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</si>
  <si>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</si>
  <si>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</si>
  <si>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</si>
  <si>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</si>
  <si>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</si>
  <si>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</si>
  <si>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</si>
  <si>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</si>
  <si>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</si>
  <si>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</si>
  <si>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</si>
  <si>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</si>
  <si>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</si>
  <si>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</si>
  <si>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</si>
  <si>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</si>
  <si>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</si>
  <si>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</si>
  <si>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</si>
  <si>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</si>
  <si>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</si>
  <si>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</si>
  <si>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</si>
  <si>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</si>
  <si>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</si>
  <si>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</si>
  <si>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</si>
  <si>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</si>
  <si>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</si>
  <si>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</si>
  <si>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</si>
  <si>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</si>
  <si>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</si>
  <si>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</si>
  <si>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</si>
  <si>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</si>
  <si>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</si>
  <si>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</si>
  <si>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</si>
  <si>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</si>
  <si>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</si>
  <si>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</si>
  <si>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</si>
  <si>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</si>
  <si>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</si>
  <si>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</si>
  <si>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</si>
  <si>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</si>
  <si>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</si>
  <si>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</si>
  <si>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</si>
  <si>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</si>
  <si>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</si>
  <si>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</si>
  <si>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</si>
  <si>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</si>
  <si>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</si>
  <si>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</si>
  <si>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</si>
  <si>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</si>
  <si>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</si>
  <si>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</si>
  <si>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</si>
  <si>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</si>
  <si>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</si>
  <si>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</si>
  <si>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</si>
  <si>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</si>
  <si>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</si>
  <si>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</si>
  <si>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</si>
  <si>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</si>
  <si>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</si>
  <si>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</si>
  <si>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</si>
  <si>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</si>
  <si>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</si>
  <si>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</si>
  <si>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</si>
  <si>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</si>
  <si>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</si>
  <si>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</si>
  <si>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</si>
  <si>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</si>
  <si>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</si>
  <si>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</si>
  <si>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</si>
  <si>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</si>
  <si>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</si>
  <si>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</si>
  <si>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</si>
  <si>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</si>
  <si>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</si>
  <si>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</si>
  <si>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</si>
  <si>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</si>
  <si>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</si>
  <si>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</si>
  <si>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</si>
  <si>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</si>
  <si>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</si>
  <si>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</si>
  <si>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</si>
  <si>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</si>
  <si>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</si>
  <si>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</si>
  <si>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</si>
  <si>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</si>
  <si>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</si>
  <si>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</si>
  <si>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</si>
  <si>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</si>
  <si>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</si>
  <si>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</si>
  <si>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</si>
  <si>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</si>
  <si>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</si>
  <si>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</si>
  <si>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</si>
  <si>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</si>
  <si>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</si>
  <si>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</si>
  <si>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</si>
  <si>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</si>
  <si>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</si>
  <si>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</si>
  <si>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</si>
  <si>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</si>
  <si>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</si>
  <si>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</si>
  <si>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</si>
  <si>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</si>
  <si>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</si>
  <si>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</si>
  <si>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</si>
  <si>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</si>
  <si>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</si>
  <si>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</si>
  <si>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</si>
  <si>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</si>
  <si>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</si>
  <si>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</si>
  <si>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</si>
  <si>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</si>
  <si>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</si>
  <si>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</si>
  <si>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</si>
  <si>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</si>
  <si>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</si>
  <si>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</si>
  <si>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</si>
  <si>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</si>
  <si>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</si>
  <si>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</si>
  <si>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</si>
  <si>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</si>
  <si>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</si>
  <si>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</si>
  <si>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</si>
  <si>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</si>
  <si>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</si>
  <si>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</si>
  <si>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</si>
  <si>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</si>
  <si>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</si>
  <si>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</si>
  <si>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</si>
  <si>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</si>
  <si>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</si>
  <si>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</si>
  <si>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</si>
  <si>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</si>
  <si>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</si>
  <si>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</si>
  <si>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</si>
  <si>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</si>
  <si>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</si>
  <si>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</si>
  <si>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</si>
  <si>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</si>
  <si>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</si>
  <si>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</si>
  <si>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</si>
  <si>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</si>
  <si>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</si>
  <si>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</si>
  <si>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</si>
  <si>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</si>
  <si>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</si>
  <si>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</si>
  <si>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</si>
  <si>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</si>
  <si>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</si>
  <si>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</si>
  <si>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</si>
  <si>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</si>
  <si>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</si>
  <si>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</si>
  <si>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</si>
  <si>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</si>
  <si>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</si>
  <si>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</si>
  <si>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</si>
  <si>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</si>
  <si>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</si>
  <si>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</si>
  <si>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</si>
  <si>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</si>
  <si>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</si>
  <si>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</si>
  <si>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</si>
  <si>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</si>
  <si>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</si>
  <si>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</si>
  <si>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</si>
  <si>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</si>
  <si>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</si>
  <si>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</si>
  <si>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</si>
  <si>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</si>
  <si>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</si>
  <si>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</si>
  <si>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</si>
  <si>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</si>
  <si>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</si>
  <si>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</si>
  <si>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</si>
  <si>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</si>
  <si>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</si>
  <si>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</si>
  <si>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</si>
  <si>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</si>
  <si>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</si>
  <si>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</si>
  <si>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</si>
  <si>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</si>
  <si>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</si>
  <si>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</si>
  <si>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</si>
  <si>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</si>
  <si>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</si>
  <si>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</si>
  <si>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</si>
  <si>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</si>
  <si>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</si>
  <si>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</si>
  <si>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</si>
  <si>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</si>
  <si>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</si>
  <si>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</si>
  <si>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</si>
  <si>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</si>
  <si>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</si>
  <si>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</si>
  <si>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</si>
  <si>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</si>
  <si>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</si>
  <si>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</si>
  <si>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</si>
  <si>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</si>
  <si>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</si>
  <si>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</si>
  <si>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</si>
  <si>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</si>
  <si>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</si>
  <si>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</si>
  <si>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</si>
  <si>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</si>
  <si>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</si>
  <si>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</si>
  <si>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</si>
  <si>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</si>
  <si>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</si>
  <si>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</si>
  <si>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</si>
  <si>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</si>
  <si>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</si>
  <si>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</si>
  <si>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</si>
  <si>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</si>
  <si>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</si>
  <si>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</si>
  <si>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</si>
  <si>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</si>
  <si>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</si>
  <si>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</si>
  <si>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</si>
  <si>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</si>
  <si>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</si>
  <si>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</si>
  <si>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</si>
  <si>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</si>
  <si>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</si>
  <si>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</si>
  <si>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</si>
  <si>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</si>
  <si>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</si>
  <si>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</si>
  <si>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</si>
  <si>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</si>
  <si>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</si>
  <si>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</si>
  <si>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</si>
  <si>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</si>
  <si>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</si>
  <si>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</si>
  <si>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</si>
  <si>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</si>
  <si>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</si>
  <si>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</si>
  <si>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</si>
  <si>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</si>
  <si>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</si>
  <si>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</si>
  <si>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</si>
  <si>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</si>
  <si>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</si>
  <si>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</si>
  <si>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</si>
  <si>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</si>
  <si>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</si>
  <si>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</si>
  <si>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</si>
  <si>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</si>
  <si>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</si>
  <si>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</si>
  <si>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</si>
  <si>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</si>
  <si>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</si>
  <si>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</si>
  <si>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</si>
  <si>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</si>
  <si>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</si>
  <si>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</si>
  <si>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</si>
  <si>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</si>
  <si>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</si>
  <si>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</si>
  <si>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</si>
  <si>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</si>
  <si>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</si>
  <si>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</si>
  <si>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</si>
  <si>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</si>
  <si>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</si>
  <si>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</si>
  <si>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</si>
  <si>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</si>
  <si>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</si>
  <si>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</si>
  <si>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</si>
  <si>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</si>
  <si>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</si>
  <si>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</si>
  <si>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</si>
  <si>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</si>
  <si>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</si>
  <si>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</si>
  <si>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</si>
  <si>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</si>
  <si>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</si>
  <si>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</si>
  <si>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</si>
  <si>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</si>
  <si>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</si>
  <si>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</si>
  <si>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</si>
  <si>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</si>
  <si>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</si>
  <si>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</si>
  <si>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</si>
  <si>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</si>
  <si>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</si>
  <si>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</si>
  <si>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</si>
  <si>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</si>
  <si>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</si>
  <si>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</si>
  <si>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</si>
  <si>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</si>
  <si>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</si>
  <si>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</si>
  <si>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</si>
  <si>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</si>
  <si>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</si>
  <si>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</si>
  <si>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</si>
  <si>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</si>
  <si>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</si>
  <si>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</si>
  <si>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</si>
  <si>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</si>
  <si>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</si>
  <si>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</si>
  <si>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</si>
  <si>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</si>
  <si>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</si>
  <si>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</si>
  <si>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</si>
  <si>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</si>
  <si>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</si>
  <si>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</si>
  <si>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</si>
  <si>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</si>
  <si>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</si>
  <si>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</si>
  <si>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</si>
  <si>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</si>
  <si>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</si>
  <si>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</si>
  <si>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</si>
  <si>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</si>
  <si>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</si>
  <si>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</si>
  <si>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</si>
  <si>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</si>
  <si>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</si>
  <si>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</si>
  <si>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</si>
  <si>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</si>
  <si>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</si>
  <si>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</si>
  <si>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</si>
  <si>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</si>
  <si>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</si>
  <si>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</si>
  <si>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</si>
  <si>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</si>
  <si>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</si>
  <si>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</si>
  <si>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</si>
  <si>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</si>
  <si>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</si>
  <si>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</si>
  <si>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</si>
  <si>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</si>
  <si>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</si>
  <si>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</si>
  <si>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</si>
  <si>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</si>
  <si>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</si>
  <si>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</si>
  <si>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</si>
  <si>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</si>
  <si>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</si>
  <si>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</si>
  <si>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</si>
  <si>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</si>
  <si>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</si>
  <si>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</si>
  <si>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</si>
  <si>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</si>
  <si>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</si>
  <si>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</si>
  <si>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</si>
  <si>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</si>
  <si>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</si>
  <si>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</si>
  <si>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</si>
  <si>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</si>
  <si>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</si>
  <si>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</si>
  <si>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</si>
  <si>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</si>
  <si>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</si>
  <si>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</si>
  <si>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</si>
  <si>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</si>
  <si>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</si>
  <si>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</si>
  <si>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</si>
  <si>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</si>
  <si>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</si>
  <si>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</si>
  <si>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</si>
  <si>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</si>
  <si>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</si>
  <si>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</si>
  <si>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</si>
  <si>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</si>
  <si>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</si>
  <si>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</si>
  <si>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</si>
  <si>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</si>
  <si>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</si>
  <si>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</si>
  <si>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</si>
  <si>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</si>
  <si>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</si>
  <si>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</si>
  <si>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</si>
  <si>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</si>
  <si>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</si>
  <si>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</si>
  <si>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</si>
  <si>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</si>
  <si>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</si>
  <si>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</si>
  <si>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</si>
  <si>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</si>
  <si>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</si>
  <si>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</si>
  <si>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</si>
  <si>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</si>
  <si>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</si>
  <si>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</si>
  <si>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</si>
  <si>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</si>
  <si>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</si>
  <si>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</si>
  <si>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</si>
  <si>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</si>
  <si>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</si>
  <si>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</si>
  <si>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</si>
  <si>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</si>
  <si>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</si>
  <si>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</si>
  <si>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</si>
  <si>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</si>
  <si>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</si>
  <si>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</si>
  <si>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</si>
  <si>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</si>
  <si>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</si>
  <si>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</si>
  <si>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</si>
  <si>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</si>
  <si>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</si>
  <si>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</si>
  <si>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</si>
  <si>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</si>
  <si>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</si>
  <si>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</si>
  <si>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</si>
  <si>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</si>
  <si>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</si>
  <si>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</si>
  <si>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</si>
  <si>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</si>
  <si>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</si>
  <si>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</si>
  <si>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</si>
  <si>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</si>
  <si>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</si>
  <si>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</si>
  <si>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</si>
  <si>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</si>
  <si>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</si>
  <si>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</si>
  <si>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</si>
  <si>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</si>
  <si>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</si>
  <si>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</si>
  <si>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</si>
  <si>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</si>
  <si>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</si>
  <si>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</si>
  <si>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</si>
  <si>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</si>
  <si>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</si>
  <si>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</si>
  <si>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</si>
  <si>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</si>
  <si>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</si>
  <si>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</si>
  <si>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</si>
  <si>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</si>
  <si>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</si>
  <si>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</si>
  <si>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</si>
  <si>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</si>
  <si>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</si>
  <si>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</si>
  <si>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</si>
  <si>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</si>
  <si>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</si>
  <si>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</si>
  <si>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</si>
  <si>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</si>
  <si>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</si>
  <si>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</si>
  <si>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</si>
  <si>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</si>
  <si>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</si>
  <si>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</si>
  <si>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</si>
  <si>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</si>
  <si>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</si>
  <si>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</si>
  <si>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</si>
  <si>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</si>
  <si>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</si>
  <si>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</si>
  <si>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</si>
  <si>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</si>
  <si>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</si>
  <si>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</si>
  <si>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</si>
  <si>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</si>
  <si>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</si>
  <si>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</si>
  <si>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</si>
  <si>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</si>
  <si>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</si>
  <si>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</si>
  <si>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</si>
  <si>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</si>
  <si>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</si>
  <si>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</si>
  <si>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</si>
  <si>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</si>
  <si>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</si>
  <si>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</si>
  <si>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</si>
  <si>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</si>
  <si>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</si>
  <si>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</si>
  <si>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</si>
  <si>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</si>
  <si>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</si>
  <si>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</si>
  <si>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</si>
  <si>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</si>
  <si>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</si>
  <si>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</si>
  <si>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</si>
  <si>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</si>
  <si>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</si>
  <si>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</si>
  <si>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</si>
  <si>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</si>
  <si>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</si>
  <si>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</si>
  <si>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</si>
  <si>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</si>
  <si>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</si>
  <si>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</si>
  <si>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</si>
  <si>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</si>
  <si>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</si>
  <si>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</si>
  <si>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</si>
  <si>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</si>
  <si>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</si>
  <si>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</si>
  <si>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</si>
  <si>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</si>
  <si>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</si>
  <si>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</si>
  <si>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</si>
  <si>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</si>
  <si>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</si>
  <si>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</si>
  <si>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</si>
  <si>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</si>
  <si>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</si>
  <si>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</si>
  <si>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</si>
  <si>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</si>
  <si>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</si>
  <si>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</si>
  <si>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</si>
  <si>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</si>
  <si>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</si>
  <si>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</si>
  <si>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</si>
  <si>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</si>
  <si>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</si>
  <si>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</si>
  <si>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</si>
  <si>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</si>
  <si>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</si>
  <si>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</si>
  <si>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</si>
  <si>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</si>
  <si>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</si>
  <si>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</si>
  <si>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</si>
  <si>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</si>
  <si>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</si>
  <si>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</si>
  <si>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</si>
  <si>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</si>
  <si>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</si>
  <si>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</si>
  <si>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</si>
  <si>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</si>
  <si>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</si>
  <si>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</si>
  <si>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</si>
  <si>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</si>
  <si>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</si>
  <si>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</si>
  <si>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</si>
  <si>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</si>
  <si>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</si>
  <si>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</si>
  <si>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</si>
  <si>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</si>
  <si>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</si>
  <si>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</si>
  <si>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</si>
  <si>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</si>
  <si>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</si>
  <si>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</si>
  <si>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</si>
  <si>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</si>
  <si>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</si>
  <si>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</si>
  <si>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</si>
  <si>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</si>
  <si>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</si>
  <si>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</si>
  <si>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</si>
  <si>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</si>
  <si>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</si>
  <si>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</si>
  <si>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</si>
  <si>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</si>
  <si>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</si>
  <si>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</si>
  <si>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</si>
  <si>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</si>
  <si>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</si>
  <si>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</si>
  <si>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</si>
  <si>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</si>
  <si>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</si>
  <si>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</si>
  <si>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</si>
  <si>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</si>
  <si>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</si>
  <si>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</si>
  <si>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</si>
  <si>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</si>
  <si>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</si>
  <si>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</si>
  <si>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</si>
  <si>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</si>
  <si>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</si>
  <si>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</si>
  <si>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</si>
  <si>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</si>
  <si>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</si>
  <si>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</si>
  <si>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</si>
  <si>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</si>
  <si>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</si>
  <si>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</si>
  <si>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</si>
  <si>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</si>
  <si>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</si>
  <si>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</si>
  <si>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</si>
  <si>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</si>
  <si>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</si>
  <si>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</si>
  <si>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</si>
  <si>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</si>
  <si>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</si>
  <si>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</si>
  <si>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</si>
  <si>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</si>
  <si>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</si>
  <si>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</si>
  <si>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</si>
  <si>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</si>
  <si>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</si>
  <si>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</si>
  <si>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</si>
  <si>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</si>
  <si>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</si>
  <si>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</si>
  <si>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</si>
  <si>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</si>
  <si>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</si>
  <si>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</si>
  <si>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</si>
  <si>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</si>
  <si>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</si>
  <si>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</si>
  <si>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</si>
  <si>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</si>
  <si>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</si>
  <si>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</si>
  <si>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</si>
  <si>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</si>
  <si>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</si>
  <si>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</si>
  <si>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</si>
  <si>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</si>
  <si>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</si>
  <si>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</si>
  <si>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</si>
  <si>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</si>
  <si>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</si>
  <si>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</si>
  <si>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</si>
  <si>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</si>
  <si>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</si>
  <si>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</si>
  <si>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</si>
  <si>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</si>
  <si>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</si>
  <si>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</si>
  <si>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</si>
  <si>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</si>
  <si>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</si>
  <si>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</si>
  <si>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</si>
  <si>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</si>
  <si>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</si>
  <si>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</si>
  <si>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</si>
  <si>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</si>
  <si>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</si>
  <si>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</si>
  <si>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</si>
  <si>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</si>
  <si>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</si>
  <si>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</si>
  <si>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</si>
  <si>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</si>
  <si>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</si>
  <si>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</si>
  <si>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</si>
  <si>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</si>
  <si>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</si>
  <si>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</si>
  <si>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</si>
  <si>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</si>
  <si>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</si>
  <si>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</si>
  <si>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</si>
  <si>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</si>
  <si>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</si>
  <si>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</si>
  <si>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</si>
  <si>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</si>
  <si>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</si>
  <si>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</si>
  <si>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</si>
  <si>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</si>
  <si>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</si>
  <si>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</si>
  <si>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</si>
  <si>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</si>
  <si>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</si>
  <si>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</si>
  <si>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</si>
  <si>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</si>
  <si>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</si>
  <si>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</si>
  <si>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</si>
  <si>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</si>
  <si>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</si>
  <si>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</si>
  <si>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</si>
  <si>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</si>
  <si>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</si>
  <si>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</si>
  <si>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</si>
  <si>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</si>
  <si>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</si>
  <si>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</si>
  <si>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</si>
  <si>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</si>
  <si>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</si>
  <si>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</si>
  <si>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</si>
  <si>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</si>
  <si>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</si>
  <si>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</si>
  <si>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</si>
  <si>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</si>
  <si>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</si>
  <si>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</si>
  <si>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</si>
  <si>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</si>
  <si>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</si>
  <si>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</si>
  <si>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</si>
  <si>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</si>
  <si>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</si>
  <si>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</si>
  <si>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</si>
  <si>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</si>
  <si>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</si>
  <si>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</si>
  <si>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</si>
  <si>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</si>
  <si>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</si>
  <si>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</si>
  <si>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</si>
  <si>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</si>
  <si>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</si>
  <si>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</si>
  <si>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</si>
  <si>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</si>
  <si>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</si>
  <si>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</si>
  <si>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</si>
  <si>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</si>
  <si>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</si>
  <si>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</si>
  <si>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</si>
  <si>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</si>
  <si>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</si>
  <si>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</si>
  <si>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</si>
  <si>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</si>
  <si>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</si>
  <si>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</si>
  <si>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</si>
  <si>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</si>
  <si>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</si>
  <si>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</si>
  <si>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</si>
  <si>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</si>
  <si>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</si>
  <si>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</si>
  <si>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</si>
  <si>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</si>
  <si>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</si>
  <si>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</si>
  <si>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</si>
  <si>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</si>
  <si>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</si>
  <si>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</si>
  <si>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</si>
  <si>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</si>
  <si>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</si>
  <si>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</si>
  <si>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</si>
  <si>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</si>
  <si>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</si>
  <si>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</si>
  <si>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</si>
  <si>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</si>
  <si>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</si>
  <si>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</si>
  <si>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</si>
  <si>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</si>
  <si>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</si>
  <si>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</si>
  <si>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</si>
  <si>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</si>
  <si>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</si>
  <si>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</si>
  <si>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</si>
  <si>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</si>
  <si>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</si>
  <si>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</si>
  <si>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</si>
  <si>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</si>
  <si>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</si>
  <si>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</si>
  <si>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</si>
  <si>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</si>
  <si>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</si>
  <si>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</si>
  <si>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</si>
  <si>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</si>
  <si>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</si>
  <si>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</si>
  <si>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</si>
  <si>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</si>
  <si>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</si>
  <si>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</si>
  <si>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</si>
  <si>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</si>
  <si>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</si>
  <si>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</si>
  <si>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</si>
  <si>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</si>
  <si>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</si>
  <si>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</si>
  <si>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</si>
  <si>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</si>
  <si>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</si>
  <si>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</si>
  <si>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</si>
  <si>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</si>
  <si>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</si>
  <si>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</si>
  <si>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</si>
  <si>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</si>
  <si>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</si>
  <si>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</si>
  <si>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</si>
  <si>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</si>
  <si>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</si>
  <si>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</si>
  <si>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</si>
  <si>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</si>
  <si>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</si>
  <si>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</si>
  <si>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</si>
  <si>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</si>
  <si>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</si>
  <si>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</si>
  <si>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</si>
  <si>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</si>
  <si>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</si>
  <si>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</si>
  <si>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</si>
  <si>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</si>
  <si>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</si>
  <si>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</si>
  <si>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</si>
  <si>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</si>
  <si>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</si>
  <si>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</si>
  <si>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</si>
  <si>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</si>
  <si>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</si>
  <si>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</si>
  <si>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</si>
  <si>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</si>
  <si>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</si>
  <si>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</si>
  <si>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</si>
  <si>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</si>
  <si>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</si>
  <si>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</si>
  <si>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</si>
  <si>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</si>
  <si>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</si>
  <si>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</si>
  <si>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</si>
  <si>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</si>
  <si>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</si>
  <si>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</si>
  <si>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</si>
  <si>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</si>
  <si>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</si>
  <si>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</si>
  <si>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</si>
  <si>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</si>
  <si>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</si>
  <si>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</si>
  <si>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</si>
  <si>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</si>
  <si>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</si>
  <si>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</si>
  <si>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</si>
  <si>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</si>
  <si>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</si>
  <si>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</si>
  <si>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</si>
  <si>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</si>
  <si>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</si>
  <si>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</si>
  <si>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</si>
  <si>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</si>
  <si>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</si>
  <si>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</si>
  <si>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</si>
  <si>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</si>
  <si>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</si>
  <si>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</si>
  <si>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</si>
  <si>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</si>
  <si>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</si>
  <si>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</si>
  <si>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</si>
  <si>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</si>
  <si>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</si>
  <si>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</si>
  <si>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</si>
  <si>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</si>
  <si>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</si>
  <si>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</si>
  <si>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</si>
  <si>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</si>
  <si>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</si>
  <si>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</si>
  <si>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</si>
  <si>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</si>
  <si>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</si>
  <si>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</si>
  <si>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</si>
  <si>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</si>
  <si>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</si>
  <si>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</si>
  <si>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</si>
  <si>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</si>
  <si>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</si>
  <si>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</si>
  <si>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</si>
  <si>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</si>
  <si>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</si>
  <si>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</si>
  <si>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</si>
  <si>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</si>
  <si>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</si>
  <si>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</si>
  <si>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</si>
  <si>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</si>
  <si>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</si>
  <si>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</si>
  <si>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</si>
  <si>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</si>
  <si>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</si>
  <si>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</si>
  <si>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</si>
  <si>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</si>
  <si>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</si>
  <si>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</si>
  <si>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</si>
  <si>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</si>
  <si>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</si>
  <si>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</si>
  <si>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</si>
  <si>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</si>
  <si>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</si>
  <si>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</si>
  <si>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</si>
  <si>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</si>
  <si>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</si>
  <si>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</si>
  <si>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</si>
  <si>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</si>
  <si>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</si>
  <si>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</si>
  <si>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</si>
  <si>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</si>
  <si>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</si>
  <si>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</si>
  <si>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</si>
  <si>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</si>
  <si>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</si>
  <si>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</si>
  <si>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</si>
  <si>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</si>
  <si>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</si>
  <si>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</si>
  <si>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</si>
  <si>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</si>
  <si>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</si>
  <si>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</si>
  <si>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</si>
  <si>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</si>
  <si>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</si>
  <si>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</si>
  <si>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</si>
  <si>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</si>
  <si>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</si>
  <si>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</si>
  <si>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</si>
  <si>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</si>
  <si>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</si>
  <si>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</si>
  <si>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</si>
  <si>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</si>
  <si>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</si>
  <si>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</si>
  <si>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</si>
  <si>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</si>
  <si>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</si>
  <si>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</si>
  <si>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</si>
  <si>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</si>
  <si>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</si>
  <si>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</si>
  <si>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</si>
  <si>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</si>
  <si>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</si>
  <si>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</si>
  <si>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</si>
  <si>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</si>
  <si>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</si>
  <si>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</si>
  <si>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</si>
  <si>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</si>
  <si>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</si>
  <si>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</si>
  <si>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</si>
  <si>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</si>
  <si>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</si>
  <si>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</si>
  <si>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</si>
  <si>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</si>
  <si>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</si>
  <si>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</si>
  <si>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</si>
  <si>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</si>
  <si>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</si>
  <si>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</si>
  <si>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</si>
  <si>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</si>
  <si>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</si>
  <si>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</si>
  <si>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</si>
  <si>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</si>
  <si>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</si>
  <si>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</si>
  <si>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</si>
  <si>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</si>
  <si>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</si>
  <si>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</si>
  <si>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</si>
  <si>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</si>
  <si>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</si>
  <si>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</si>
  <si>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</si>
  <si>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</si>
  <si>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</si>
  <si>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</si>
  <si>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</si>
  <si>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</si>
  <si>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</si>
  <si>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</si>
  <si>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</si>
  <si>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</si>
  <si>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</si>
  <si>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</si>
  <si>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</si>
  <si>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</si>
  <si>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</si>
  <si>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</si>
  <si>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</si>
  <si>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</si>
  <si>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</si>
  <si>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</si>
  <si>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</si>
  <si>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</si>
  <si>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</si>
  <si>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</si>
  <si>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</si>
  <si>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</si>
  <si>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</si>
  <si>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</si>
  <si>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</si>
  <si>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</si>
  <si>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</si>
  <si>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</si>
  <si>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</si>
  <si>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</si>
  <si>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</si>
  <si>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</si>
  <si>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</si>
  <si>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</si>
  <si>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</si>
  <si>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</si>
  <si>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</si>
  <si>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</si>
  <si>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</si>
  <si>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</si>
  <si>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</si>
  <si>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</si>
  <si>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</si>
  <si>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</si>
  <si>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</si>
  <si>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</si>
  <si>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</si>
  <si>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</si>
  <si>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</si>
  <si>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</si>
  <si>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</si>
  <si>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</si>
  <si>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</si>
  <si>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</si>
  <si>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</si>
  <si>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</si>
  <si>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</si>
  <si>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</si>
  <si>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</si>
  <si>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</si>
  <si>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</si>
  <si>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</si>
  <si>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</si>
  <si>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</si>
  <si>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</si>
  <si>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</si>
  <si>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</si>
  <si>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</si>
  <si>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</si>
  <si>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</si>
  <si>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</si>
  <si>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</si>
  <si>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</si>
  <si>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</si>
  <si>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</si>
  <si>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</si>
  <si>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</si>
  <si>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</si>
  <si>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</si>
  <si>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</si>
  <si>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</si>
  <si>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</si>
  <si>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</si>
  <si>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</si>
  <si>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</si>
  <si>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</si>
  <si>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</si>
  <si>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</si>
  <si>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</si>
  <si>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</si>
  <si>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</si>
  <si>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</si>
  <si>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</si>
  <si>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</si>
  <si>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</si>
  <si>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</si>
  <si>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</si>
  <si>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</si>
  <si>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</si>
  <si>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</si>
  <si>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</si>
  <si>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</si>
  <si>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</si>
  <si>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</si>
  <si>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</si>
  <si>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</si>
  <si>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</si>
  <si>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</si>
  <si>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</si>
  <si>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</si>
  <si>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</si>
  <si>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</si>
  <si>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</si>
  <si>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</si>
  <si>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</si>
  <si>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</si>
  <si>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</si>
  <si>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</si>
  <si>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</si>
  <si>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</si>
  <si>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</si>
  <si>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</si>
  <si>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</si>
  <si>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</si>
  <si>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</si>
  <si>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</si>
  <si>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</si>
  <si>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</si>
  <si>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</si>
  <si>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</si>
  <si>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</si>
  <si>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</si>
  <si>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</si>
  <si>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</si>
  <si>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</si>
  <si>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</si>
  <si>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</si>
  <si>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</si>
  <si>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</si>
  <si>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</si>
  <si>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</si>
  <si>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</si>
  <si>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</si>
  <si>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</si>
  <si>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</si>
  <si>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</si>
  <si>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</si>
  <si>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</si>
  <si>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</si>
  <si>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</si>
  <si>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</si>
  <si>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</si>
  <si>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</si>
  <si>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</si>
  <si>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</si>
  <si>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</si>
  <si>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</si>
  <si>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</si>
  <si>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</si>
  <si>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</si>
  <si>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</si>
  <si>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</si>
  <si>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</si>
  <si>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</si>
  <si>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</si>
  <si>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</si>
  <si>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</si>
  <si>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</si>
  <si>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</si>
  <si>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</si>
  <si>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</si>
  <si>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</si>
  <si>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</si>
  <si>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</si>
  <si>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</si>
  <si>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</si>
  <si>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</si>
  <si>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</si>
  <si>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</si>
  <si>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</si>
  <si>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</si>
  <si>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</si>
  <si>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</si>
  <si>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</si>
  <si>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</si>
  <si>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</si>
  <si>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</si>
  <si>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</si>
  <si>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</si>
  <si>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</si>
  <si>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</si>
  <si>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</si>
  <si>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</si>
  <si>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</si>
  <si>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</si>
  <si>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</si>
  <si>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</si>
  <si>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</si>
  <si>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</si>
  <si>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</si>
  <si>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</si>
  <si>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</si>
  <si>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</si>
  <si>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</si>
  <si>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</si>
  <si>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</si>
  <si>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</si>
  <si>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</si>
  <si>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</si>
  <si>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</si>
  <si>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</si>
  <si>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</si>
  <si>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</si>
  <si>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</si>
  <si>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</si>
  <si>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</si>
  <si>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</si>
  <si>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</si>
  <si>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</si>
  <si>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</si>
  <si>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</si>
  <si>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</si>
  <si>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</si>
  <si>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</si>
  <si>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</si>
  <si>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</si>
  <si>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</si>
  <si>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</si>
  <si>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</si>
  <si>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</si>
  <si>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</si>
  <si>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</si>
  <si>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</si>
  <si>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</si>
  <si>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</si>
  <si>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</si>
  <si>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</si>
  <si>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</si>
  <si>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</si>
  <si>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</si>
  <si>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</si>
  <si>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</si>
  <si>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</si>
  <si>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</si>
  <si>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</si>
  <si>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</si>
  <si>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</si>
  <si>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</si>
  <si>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</si>
  <si>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</si>
  <si>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</si>
  <si>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</si>
  <si>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</si>
  <si>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</si>
  <si>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</si>
  <si>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</si>
  <si>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</si>
  <si>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</si>
  <si>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</si>
  <si>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</si>
  <si>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</si>
  <si>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</si>
  <si>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</si>
  <si>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</si>
  <si>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</si>
  <si>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</si>
  <si>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</si>
  <si>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</si>
  <si>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</si>
  <si>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</si>
  <si>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</si>
  <si>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</si>
  <si>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</si>
  <si>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</si>
  <si>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</si>
  <si>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</si>
  <si>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</si>
  <si>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</si>
  <si>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</si>
  <si>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</si>
  <si>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</si>
  <si>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</si>
  <si>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</si>
  <si>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</si>
  <si>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</si>
  <si>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</si>
  <si>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</si>
  <si>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</si>
  <si>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</si>
  <si>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</si>
  <si>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</si>
  <si>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</si>
  <si>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</si>
  <si>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</si>
  <si>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</si>
  <si>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</si>
  <si>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</si>
  <si>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</si>
  <si>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</si>
  <si>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</si>
  <si>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</si>
  <si>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</si>
  <si>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</si>
  <si>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</si>
  <si>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</si>
  <si>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</si>
  <si>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</si>
  <si>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</si>
  <si>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</si>
  <si>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</si>
  <si>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</si>
  <si>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</si>
  <si>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</si>
  <si>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</si>
  <si>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</si>
  <si>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</si>
  <si>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</si>
  <si>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</si>
  <si>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</si>
  <si>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</si>
  <si>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</si>
  <si>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</si>
  <si>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</si>
  <si>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</si>
  <si>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</si>
  <si>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</si>
  <si>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</si>
  <si>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</si>
  <si>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</si>
  <si>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</si>
  <si>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</si>
  <si>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</si>
  <si>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</si>
  <si>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</si>
  <si>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</si>
  <si>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</si>
  <si>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</si>
  <si>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</si>
  <si>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</si>
  <si>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</si>
  <si>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</si>
  <si>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</si>
  <si>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</si>
  <si>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</si>
  <si>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</si>
  <si>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</si>
  <si>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</si>
  <si>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</si>
  <si>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</si>
  <si>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</si>
  <si>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</si>
  <si>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</si>
  <si>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</si>
  <si>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</si>
  <si>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</si>
  <si>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</si>
  <si>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</si>
  <si>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</si>
  <si>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</si>
  <si>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</si>
  <si>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</si>
  <si>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</si>
  <si>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</si>
  <si>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</si>
  <si>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</si>
  <si>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</si>
  <si>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</si>
  <si>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</si>
  <si>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</si>
  <si>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</si>
  <si>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</si>
  <si>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</si>
  <si>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</si>
  <si>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</si>
  <si>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</si>
  <si>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</si>
  <si>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</si>
  <si>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</si>
  <si>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</si>
  <si>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</si>
  <si>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</si>
  <si>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</si>
  <si>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</si>
  <si>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</si>
  <si>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</si>
  <si>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</si>
  <si>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</si>
  <si>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</si>
  <si>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</si>
  <si>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</si>
  <si>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</si>
  <si>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</si>
  <si>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</si>
  <si>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</si>
  <si>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</si>
  <si>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</si>
  <si>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</si>
  <si>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</si>
  <si>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</si>
  <si>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</si>
  <si>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</si>
  <si>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</si>
  <si>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</si>
  <si>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</si>
  <si>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</si>
  <si>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</si>
  <si>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</si>
  <si>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</si>
  <si>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</si>
  <si>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</si>
  <si>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</si>
  <si>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</si>
  <si>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</si>
  <si>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</si>
  <si>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</si>
  <si>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</si>
  <si>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</si>
  <si>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</si>
  <si>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</si>
  <si>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</si>
  <si>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</si>
  <si>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</si>
  <si>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</si>
  <si>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</si>
  <si>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</si>
  <si>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</si>
  <si>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</si>
  <si>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</si>
  <si>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</si>
  <si>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</si>
  <si>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</si>
  <si>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</si>
  <si>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</si>
  <si>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</si>
  <si>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</si>
  <si>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</si>
  <si>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</si>
  <si>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</si>
  <si>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</si>
  <si>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</si>
  <si>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</si>
  <si>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</si>
  <si>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</si>
  <si>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</si>
  <si>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</si>
  <si>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</si>
  <si>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</si>
  <si>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</si>
  <si>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</si>
  <si>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</si>
  <si>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</si>
  <si>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</si>
  <si>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</si>
  <si>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</si>
  <si>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</si>
  <si>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</si>
  <si>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</si>
  <si>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</si>
  <si>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</si>
  <si>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</si>
  <si>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</si>
  <si>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</si>
  <si>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</si>
  <si>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</si>
  <si>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</si>
  <si>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</si>
  <si>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</si>
  <si>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</si>
  <si>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</si>
  <si>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</si>
  <si>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</si>
  <si>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</si>
  <si>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</si>
  <si>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</si>
  <si>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</si>
  <si>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</si>
  <si>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</si>
  <si>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</si>
  <si>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</si>
  <si>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</si>
  <si>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</si>
  <si>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</si>
  <si>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</si>
  <si>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</si>
  <si>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</si>
  <si>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</si>
  <si>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</si>
  <si>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</si>
  <si>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</si>
  <si>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</si>
  <si>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</si>
  <si>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</si>
  <si>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</si>
  <si>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</si>
  <si>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</si>
  <si>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</si>
  <si>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</si>
  <si>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</si>
  <si>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</si>
  <si>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</si>
  <si>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</si>
  <si>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</si>
  <si>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</si>
  <si>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</si>
  <si>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</si>
  <si>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</si>
  <si>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</si>
  <si>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</si>
  <si>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</si>
  <si>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</si>
  <si>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</si>
  <si>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</si>
  <si>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</si>
  <si>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</si>
  <si>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</si>
  <si>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</si>
  <si>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</si>
  <si>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</si>
  <si>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</si>
  <si>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</si>
  <si>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</si>
  <si>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</si>
  <si>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</si>
  <si>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</si>
  <si>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</si>
  <si>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</si>
  <si>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</si>
  <si>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</si>
  <si>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</si>
  <si>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</si>
  <si>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</si>
  <si>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</si>
  <si>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</si>
  <si>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</si>
  <si>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</si>
  <si>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</si>
  <si>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</si>
  <si>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</si>
  <si>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</si>
  <si>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</si>
  <si>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</si>
  <si>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</si>
  <si>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</si>
  <si>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</si>
  <si>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</si>
  <si>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</si>
  <si>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</si>
  <si>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</si>
  <si>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</si>
  <si>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</si>
  <si>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</si>
  <si>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</si>
  <si>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</si>
  <si>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</si>
  <si>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</si>
  <si>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</si>
  <si>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</si>
  <si>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</si>
  <si>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</si>
  <si>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</si>
  <si>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</si>
  <si>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</si>
  <si>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</si>
  <si>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</si>
  <si>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</si>
  <si>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</si>
  <si>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</si>
  <si>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</si>
  <si>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</si>
  <si>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</si>
  <si>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</si>
  <si>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</si>
  <si>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</si>
  <si>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</si>
  <si>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</si>
  <si>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</si>
  <si>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</si>
  <si>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</si>
  <si>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</si>
  <si>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</si>
  <si>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</si>
  <si>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</si>
  <si>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</si>
  <si>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</si>
  <si>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</si>
  <si>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</si>
  <si>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</si>
  <si>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</si>
  <si>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</si>
  <si>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</si>
  <si>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</si>
  <si>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</si>
  <si>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</si>
  <si>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</si>
  <si>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</si>
  <si>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</si>
  <si>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</si>
  <si>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</si>
  <si>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</si>
  <si>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</si>
  <si>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</si>
  <si>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</si>
  <si>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</si>
  <si>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</si>
  <si>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</si>
  <si>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</si>
  <si>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</si>
  <si>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</si>
  <si>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</si>
  <si>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</si>
  <si>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</si>
  <si>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</si>
  <si>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</si>
  <si>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</si>
  <si>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</si>
  <si>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</si>
  <si>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</si>
  <si>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</si>
  <si>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</si>
  <si>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</si>
  <si>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</si>
  <si>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</si>
  <si>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</si>
  <si>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</si>
  <si>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</si>
  <si>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</si>
  <si>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</si>
  <si>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</si>
  <si>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</si>
  <si>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</si>
  <si>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</si>
  <si>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</si>
  <si>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</si>
  <si>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</si>
  <si>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</si>
  <si>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</si>
  <si>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</si>
  <si>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</si>
  <si>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</si>
  <si>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</si>
  <si>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</si>
  <si>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</si>
  <si>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</si>
  <si>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</si>
  <si>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</si>
  <si>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</si>
  <si>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</si>
  <si>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</si>
  <si>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</si>
  <si>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</si>
  <si>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</si>
  <si>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</si>
  <si>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</si>
  <si>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</si>
  <si>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</si>
  <si>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</si>
  <si>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</si>
  <si>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</si>
  <si>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</si>
  <si>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</si>
  <si>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</si>
  <si>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</si>
  <si>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</si>
  <si>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</si>
  <si>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</si>
  <si>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</si>
  <si>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</si>
  <si>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</si>
  <si>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</si>
  <si>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</si>
  <si>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</si>
  <si>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</si>
  <si>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</si>
  <si>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</si>
  <si>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</si>
  <si>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</si>
  <si>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</si>
  <si>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</si>
  <si>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</si>
  <si>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</si>
  <si>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</si>
  <si>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</si>
  <si>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</si>
  <si>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</si>
  <si>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</si>
  <si>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</si>
  <si>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</si>
  <si>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</si>
  <si>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</si>
  <si>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</si>
  <si>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</si>
  <si>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</si>
  <si>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</si>
  <si>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</si>
  <si>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</si>
  <si>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</si>
  <si>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</si>
  <si>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</si>
  <si>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</si>
  <si>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</si>
  <si>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</si>
  <si>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</si>
  <si>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</si>
  <si>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</si>
  <si>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</si>
  <si>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</si>
  <si>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</si>
  <si>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</si>
  <si>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</si>
  <si>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</si>
  <si>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</si>
  <si>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</si>
  <si>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</si>
  <si>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</si>
  <si>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</si>
  <si>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</si>
  <si>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</si>
  <si>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</si>
  <si>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</si>
  <si>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</si>
  <si>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</si>
  <si>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</si>
  <si>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</si>
  <si>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</si>
  <si>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</si>
  <si>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</si>
  <si>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</si>
  <si>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</si>
  <si>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</si>
  <si>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</si>
  <si>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</si>
  <si>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</si>
  <si>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</si>
  <si>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</si>
  <si>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</si>
  <si>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</si>
  <si>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</si>
  <si>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</si>
  <si>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</si>
  <si>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</si>
  <si>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</si>
  <si>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</si>
  <si>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</si>
  <si>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</si>
  <si>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</si>
  <si>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</si>
  <si>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</si>
  <si>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</si>
  <si>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</si>
  <si>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</si>
  <si>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</si>
  <si>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</si>
  <si>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</si>
  <si>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</si>
  <si>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</si>
  <si>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</si>
  <si>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</si>
  <si>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</si>
  <si>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</si>
  <si>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</si>
  <si>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</si>
  <si>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</si>
  <si>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</si>
  <si>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</si>
  <si>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</si>
  <si>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</si>
  <si>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</si>
  <si>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</si>
  <si>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</si>
  <si>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</si>
  <si>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</si>
  <si>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</si>
  <si>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</si>
  <si>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</si>
  <si>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</si>
  <si>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</si>
  <si>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</si>
  <si>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</si>
  <si>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</si>
  <si>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</si>
  <si>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</si>
  <si>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</si>
  <si>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</si>
  <si>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</si>
  <si>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</si>
  <si>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</si>
  <si>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</si>
  <si>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</si>
  <si>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</si>
  <si>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</si>
  <si>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</si>
  <si>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</si>
  <si>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</si>
  <si>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</si>
  <si>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</si>
  <si>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</si>
  <si>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</si>
  <si>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</si>
  <si>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</si>
  <si>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</si>
  <si>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</si>
  <si>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</si>
  <si>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</si>
  <si>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</si>
  <si>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</si>
  <si>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</si>
  <si>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</si>
  <si>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</si>
  <si>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</si>
  <si>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</si>
  <si>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</si>
  <si>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</si>
  <si>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</si>
  <si>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</si>
  <si>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</si>
  <si>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</si>
  <si>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</si>
  <si>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</si>
  <si>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</si>
  <si>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</si>
  <si>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</si>
  <si>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</si>
  <si>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</si>
  <si>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</si>
  <si>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</si>
  <si>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</si>
  <si>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</si>
  <si>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</si>
  <si>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</si>
  <si>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</si>
  <si>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</si>
  <si>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</si>
  <si>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</si>
  <si>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</si>
  <si>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</si>
  <si>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</si>
  <si>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</si>
  <si>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</si>
  <si>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</si>
  <si>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</si>
  <si>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</si>
  <si>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</si>
  <si>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</si>
  <si>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</si>
  <si>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</si>
  <si>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</si>
  <si>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</si>
  <si>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</si>
  <si>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</si>
  <si>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</si>
  <si>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</si>
  <si>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</si>
  <si>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</si>
  <si>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</si>
  <si>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</si>
  <si>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</si>
  <si>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</si>
  <si>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</si>
  <si>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</si>
  <si>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</si>
  <si>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</si>
  <si>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</si>
  <si>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</si>
  <si>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</si>
  <si>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</si>
  <si>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</si>
  <si>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</si>
  <si>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</si>
  <si>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</si>
  <si>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</si>
  <si>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</si>
  <si>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</si>
  <si>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</si>
  <si>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</si>
  <si>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</si>
  <si>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</si>
  <si>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</si>
  <si>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</si>
  <si>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</si>
  <si>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</si>
  <si>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</si>
  <si>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</si>
  <si>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</si>
  <si>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</si>
  <si>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</si>
  <si>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</si>
  <si>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</si>
  <si>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</si>
  <si>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</si>
  <si>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</si>
  <si>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</si>
  <si>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</si>
  <si>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</si>
  <si>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</si>
  <si>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</si>
  <si>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</si>
  <si>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</si>
  <si>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</si>
  <si>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</si>
  <si>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</si>
  <si>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</si>
  <si>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</si>
  <si>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</si>
  <si>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</si>
  <si>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</si>
  <si>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</si>
  <si>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</si>
  <si>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</si>
  <si>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</si>
  <si>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</si>
  <si>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</si>
  <si>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</si>
  <si>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</si>
  <si>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</si>
  <si>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</si>
  <si>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</si>
  <si>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</si>
  <si>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</si>
  <si>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</si>
  <si>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</si>
  <si>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</si>
  <si>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</si>
  <si>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</si>
  <si>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</si>
  <si>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</si>
  <si>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</si>
  <si>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</si>
  <si>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</si>
  <si>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</si>
  <si>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</si>
  <si>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</si>
  <si>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</si>
  <si>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</si>
  <si>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</si>
  <si>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</si>
  <si>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</si>
  <si>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</si>
  <si>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</si>
  <si>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</si>
  <si>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</si>
  <si>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</si>
  <si>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</si>
  <si>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</si>
  <si>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</si>
  <si>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</si>
  <si>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</si>
  <si>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</si>
  <si>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</si>
  <si>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</si>
  <si>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</si>
  <si>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</si>
  <si>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</si>
  <si>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</si>
  <si>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</si>
  <si>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</si>
  <si>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</si>
  <si>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</si>
  <si>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</si>
  <si>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</si>
  <si>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</si>
  <si>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</si>
  <si>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</si>
  <si>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</si>
  <si>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</si>
  <si>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</si>
  <si>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</si>
  <si>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</si>
  <si>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</si>
  <si>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</si>
  <si>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</si>
  <si>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</si>
  <si>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</si>
  <si>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</si>
  <si>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</si>
  <si>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</si>
  <si>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</si>
  <si>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</si>
  <si>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</si>
  <si>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</si>
  <si>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</si>
  <si>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</si>
  <si>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</si>
  <si>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</si>
  <si>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</si>
  <si>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</si>
  <si>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</si>
  <si>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</si>
  <si>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</si>
  <si>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</si>
  <si>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</si>
  <si>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</si>
  <si>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</si>
  <si>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</si>
  <si>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</si>
  <si>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</si>
  <si>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</si>
  <si>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</si>
  <si>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</si>
  <si>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</si>
  <si>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</si>
  <si>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</si>
  <si>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</si>
  <si>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</si>
  <si>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</si>
  <si>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</si>
  <si>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</si>
  <si>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</si>
  <si>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</si>
  <si>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</si>
  <si>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</si>
  <si>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</si>
  <si>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</si>
  <si>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</si>
  <si>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</si>
  <si>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</si>
  <si>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</si>
  <si>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</si>
  <si>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</si>
  <si>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</si>
  <si>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</si>
  <si>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</si>
  <si>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</si>
  <si>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</si>
  <si>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</si>
  <si>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</si>
  <si>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</si>
  <si>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</si>
  <si>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</si>
  <si>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</si>
  <si>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</si>
  <si>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</si>
  <si>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</si>
  <si>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</si>
  <si>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</si>
  <si>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</si>
  <si>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</si>
  <si>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</si>
  <si>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</si>
  <si>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</si>
  <si>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</si>
  <si>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</si>
  <si>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</si>
  <si>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</si>
  <si>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</si>
  <si>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</si>
  <si>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</si>
  <si>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</si>
  <si>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</si>
  <si>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</si>
  <si>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</si>
  <si>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</si>
  <si>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</si>
  <si>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</si>
  <si>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</si>
  <si>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</si>
  <si>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</si>
  <si>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</si>
  <si>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</si>
  <si>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</si>
  <si>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</si>
  <si>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</si>
  <si>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</si>
  <si>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</si>
  <si>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</si>
  <si>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</si>
  <si>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</si>
  <si>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</si>
  <si>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</si>
  <si>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</si>
  <si>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</si>
  <si>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</si>
  <si>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</si>
  <si>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</si>
  <si>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</si>
  <si>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</si>
  <si>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</si>
  <si>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</si>
  <si>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</si>
  <si>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</si>
  <si>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</si>
  <si>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</si>
  <si>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</si>
  <si>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</si>
  <si>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</si>
  <si>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</si>
  <si>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</si>
  <si>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</si>
  <si>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</si>
  <si>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</si>
  <si>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</si>
  <si>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</si>
  <si>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</si>
  <si>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</si>
  <si>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</si>
  <si>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</si>
  <si>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</si>
  <si>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</si>
  <si>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</si>
  <si>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</si>
  <si>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</si>
  <si>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</si>
  <si>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</si>
  <si>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</si>
  <si>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</si>
  <si>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</si>
  <si>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</si>
  <si>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</si>
  <si>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</si>
  <si>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</si>
  <si>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</si>
  <si>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</si>
  <si>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</si>
  <si>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</si>
  <si>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</si>
  <si>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</si>
  <si>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</si>
  <si>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</si>
  <si>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</si>
  <si>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</si>
  <si>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</si>
  <si>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</si>
  <si>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</si>
  <si>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</si>
  <si>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</si>
  <si>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</si>
  <si>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</si>
  <si>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</si>
  <si>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</si>
  <si>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</si>
  <si>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</si>
  <si>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</si>
  <si>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</si>
  <si>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</si>
  <si>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</si>
  <si>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</si>
  <si>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</si>
  <si>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</si>
  <si>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</si>
  <si>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</si>
  <si>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</si>
  <si>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</si>
  <si>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</si>
  <si>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</si>
  <si>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</si>
  <si>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</si>
  <si>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</si>
  <si>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</si>
  <si>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</si>
  <si>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</si>
  <si>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</si>
  <si>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</si>
  <si>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</si>
  <si>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</si>
  <si>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</si>
  <si>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</si>
  <si>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</si>
  <si>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</si>
  <si>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</si>
  <si>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</si>
  <si>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</si>
  <si>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</si>
  <si>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</si>
  <si>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</si>
  <si>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</si>
  <si>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</si>
  <si>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</si>
  <si>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</si>
  <si>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</si>
  <si>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</si>
  <si>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</si>
  <si>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</si>
  <si>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</si>
  <si>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</si>
  <si>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</si>
  <si>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</si>
  <si>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</si>
  <si>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</si>
  <si>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</si>
  <si>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</si>
  <si>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</si>
  <si>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</si>
  <si>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</si>
  <si>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</si>
  <si>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</si>
  <si>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</si>
  <si>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</si>
  <si>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</si>
  <si>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</si>
  <si>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</si>
  <si>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</si>
  <si>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</si>
  <si>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</si>
  <si>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</si>
  <si>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</si>
  <si>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</si>
  <si>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</si>
  <si>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</si>
  <si>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</si>
  <si>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</si>
  <si>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</si>
  <si>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</si>
  <si>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</si>
  <si>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</si>
  <si>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</si>
  <si>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</si>
  <si>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</si>
  <si>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</si>
  <si>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</si>
  <si>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</si>
  <si>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</si>
  <si>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</si>
  <si>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</si>
  <si>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</si>
  <si>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</si>
  <si>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</si>
  <si>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</si>
  <si>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</si>
  <si>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</si>
  <si>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</si>
  <si>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</si>
  <si>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</si>
  <si>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</si>
  <si>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</si>
  <si>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</si>
  <si>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</si>
  <si>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</si>
  <si>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</si>
  <si>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</si>
  <si>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</si>
  <si>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</si>
  <si>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</si>
  <si>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</si>
  <si>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</si>
  <si>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</si>
  <si>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</si>
  <si>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</si>
  <si>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</si>
  <si>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</si>
  <si>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</si>
  <si>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</si>
  <si>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</si>
  <si>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</si>
  <si>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</si>
  <si>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</si>
  <si>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</si>
  <si>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</si>
  <si>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</si>
  <si>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</si>
  <si>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</si>
  <si>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</si>
  <si>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</si>
  <si>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</si>
  <si>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</si>
  <si>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</si>
  <si>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</si>
  <si>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</si>
  <si>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</si>
  <si>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</si>
  <si>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</si>
  <si>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</si>
  <si>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</si>
  <si>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</si>
  <si>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</si>
  <si>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</si>
  <si>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</si>
  <si>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</si>
  <si>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</si>
  <si>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</si>
  <si>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</si>
  <si>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</si>
  <si>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</si>
  <si>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</si>
  <si>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</si>
  <si>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</si>
  <si>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</si>
  <si>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</si>
  <si>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</si>
  <si>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</si>
  <si>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</si>
  <si>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</si>
  <si>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</si>
  <si>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</si>
  <si>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</si>
  <si>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</si>
  <si>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</si>
  <si>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</si>
  <si>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</si>
  <si>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</si>
  <si>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</si>
  <si>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</si>
  <si>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</si>
  <si>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</si>
  <si>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</si>
  <si>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</si>
  <si>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</si>
  <si>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</si>
  <si>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</si>
  <si>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</si>
  <si>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</si>
  <si>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</si>
  <si>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</si>
  <si>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</si>
  <si>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</si>
  <si>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</si>
  <si>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</si>
  <si>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</si>
  <si>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</si>
  <si>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</si>
  <si>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</si>
  <si>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</si>
  <si>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</si>
  <si>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</si>
  <si>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</si>
  <si>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</si>
  <si>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</si>
  <si>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</si>
  <si>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</si>
  <si>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</si>
  <si>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</si>
  <si>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</si>
  <si>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</si>
  <si>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</si>
  <si>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</si>
  <si>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</si>
  <si>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</si>
  <si>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</si>
  <si>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</si>
  <si>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</si>
  <si>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</si>
  <si>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</si>
  <si>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</si>
  <si>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</si>
  <si>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</si>
  <si>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</si>
  <si>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</si>
  <si>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</si>
  <si>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</si>
  <si>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</si>
  <si>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</si>
  <si>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</si>
  <si>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</si>
  <si>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</si>
  <si>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</si>
  <si>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</si>
  <si>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</si>
  <si>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</si>
  <si>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</si>
  <si>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</si>
  <si>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</si>
  <si>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</si>
  <si>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</si>
  <si>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</si>
  <si>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</si>
  <si>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</si>
  <si>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</si>
  <si>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</si>
  <si>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</si>
  <si>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</si>
  <si>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</si>
  <si>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</si>
  <si>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</si>
  <si>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</si>
  <si>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</si>
  <si>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</si>
  <si>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</si>
  <si>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</si>
  <si>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</si>
  <si>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</si>
  <si>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</si>
  <si>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</si>
  <si>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</si>
  <si>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</si>
  <si>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</si>
  <si>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</si>
  <si>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</si>
  <si>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</si>
  <si>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</si>
  <si>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</si>
  <si>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</si>
  <si>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</si>
  <si>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</si>
  <si>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</si>
  <si>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</si>
  <si>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</si>
  <si>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</si>
  <si>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</si>
  <si>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</si>
  <si>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</si>
  <si>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</si>
  <si>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</si>
  <si>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</si>
  <si>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</si>
  <si>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</si>
  <si>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</si>
  <si>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</si>
  <si>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</si>
  <si>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</si>
  <si>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</si>
  <si>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</si>
  <si>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</si>
  <si>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</si>
  <si>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</si>
  <si>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</si>
  <si>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</si>
  <si>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</si>
  <si>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</si>
  <si>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</si>
  <si>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</si>
  <si>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</si>
  <si>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</si>
  <si>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</si>
  <si>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</si>
  <si>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</si>
  <si>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</si>
  <si>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</si>
  <si>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</si>
  <si>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</si>
  <si>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</si>
  <si>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</si>
  <si>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</si>
  <si>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</si>
  <si>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</si>
  <si>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</si>
  <si>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</si>
  <si>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</si>
  <si>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</si>
  <si>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</si>
  <si>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</si>
  <si>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</si>
  <si>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</si>
  <si>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</si>
  <si>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</si>
  <si>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</si>
  <si>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</si>
  <si>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</si>
  <si>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</si>
  <si>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</si>
  <si>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</si>
  <si>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</si>
  <si>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</si>
  <si>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</si>
  <si>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</si>
  <si>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</si>
  <si>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</si>
  <si>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</si>
  <si>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</si>
  <si>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</si>
  <si>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</si>
  <si>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</si>
  <si>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</si>
  <si>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</si>
  <si>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</si>
  <si>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</si>
  <si>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</si>
  <si>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</si>
  <si>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</si>
  <si>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</si>
  <si>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</si>
  <si>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</si>
  <si>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</si>
  <si>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</si>
  <si>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</si>
  <si>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</si>
  <si>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</si>
  <si>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</si>
  <si>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</si>
  <si>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</si>
  <si>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</si>
  <si>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</si>
  <si>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</si>
  <si>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</si>
  <si>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</si>
  <si>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</si>
  <si>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</si>
  <si>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</si>
  <si>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</si>
  <si>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</si>
  <si>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</si>
  <si>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</si>
  <si>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</si>
  <si>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</si>
  <si>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</si>
  <si>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</si>
  <si>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</si>
  <si>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</si>
  <si>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</si>
  <si>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</si>
  <si>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</si>
  <si>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</si>
  <si>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</si>
  <si>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</si>
  <si>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</si>
  <si>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</si>
  <si>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</si>
  <si>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</si>
  <si>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</si>
  <si>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</si>
  <si>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</si>
  <si>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</si>
  <si>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</si>
  <si>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</si>
  <si>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</si>
  <si>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</si>
  <si>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</si>
  <si>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</si>
  <si>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</si>
  <si>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</si>
  <si>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</si>
  <si>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</si>
  <si>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</si>
  <si>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</si>
  <si>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</si>
  <si>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</si>
  <si>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</si>
  <si>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</si>
  <si>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</si>
  <si>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</si>
  <si>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</si>
  <si>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</si>
  <si>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</si>
  <si>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</si>
  <si>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</si>
  <si>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</si>
  <si>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</si>
  <si>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</si>
  <si>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</si>
  <si>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</si>
  <si>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</si>
  <si>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</si>
  <si>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</si>
  <si>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</si>
  <si>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</si>
  <si>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</si>
  <si>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</si>
  <si>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</si>
  <si>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</si>
  <si>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</si>
  <si>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</si>
  <si>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</si>
  <si>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</si>
  <si>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</si>
  <si>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</si>
  <si>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</si>
  <si>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</si>
  <si>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</si>
  <si>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</si>
  <si>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</si>
  <si>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</si>
  <si>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</si>
  <si>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</si>
  <si>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</si>
  <si>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</si>
  <si>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</si>
  <si>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</si>
  <si>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</si>
  <si>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</si>
  <si>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</si>
  <si>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</si>
  <si>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</si>
  <si>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</si>
  <si>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</si>
  <si>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</si>
  <si>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</si>
  <si>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</si>
  <si>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</si>
  <si>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</si>
  <si>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</si>
  <si>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</si>
  <si>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</si>
  <si>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</si>
  <si>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</si>
  <si>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</si>
  <si>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</si>
  <si>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</si>
  <si>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</si>
  <si>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</si>
  <si>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</si>
  <si>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</si>
  <si>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</si>
  <si>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</si>
  <si>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</si>
  <si>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</si>
  <si>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</si>
  <si>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</si>
  <si>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</si>
  <si>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</si>
  <si>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</si>
  <si>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</si>
  <si>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</si>
  <si>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</si>
  <si>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</si>
  <si>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</si>
  <si>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</si>
  <si>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</si>
  <si>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</si>
  <si>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</si>
  <si>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</si>
  <si>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</si>
  <si>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</si>
  <si>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</si>
  <si>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</si>
  <si>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</si>
  <si>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</si>
  <si>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</si>
  <si>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</si>
  <si>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</si>
  <si>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</si>
  <si>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</si>
  <si>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</si>
  <si>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</si>
  <si>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</si>
  <si>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</si>
  <si>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</si>
  <si>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</si>
  <si>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</si>
  <si>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</si>
  <si>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</si>
  <si>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</si>
  <si>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</si>
  <si>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</si>
  <si>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</si>
  <si>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</si>
  <si>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</si>
  <si>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</si>
  <si>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</si>
  <si>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</si>
  <si>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</si>
  <si>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</si>
  <si>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</si>
  <si>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</si>
  <si>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</si>
  <si>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</si>
  <si>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</si>
  <si>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</si>
  <si>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</si>
  <si>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</si>
  <si>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</si>
  <si>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</si>
  <si>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</si>
  <si>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</si>
  <si>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</si>
  <si>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</si>
  <si>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</si>
  <si>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</si>
  <si>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</si>
  <si>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</si>
  <si>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</si>
  <si>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</si>
  <si>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</si>
  <si>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</si>
  <si>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</si>
  <si>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</si>
  <si>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</si>
  <si>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</si>
  <si>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</si>
  <si>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</si>
  <si>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</si>
  <si>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</si>
  <si>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</si>
  <si>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</si>
  <si>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</si>
  <si>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</si>
  <si>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</si>
  <si>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</si>
  <si>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</si>
  <si>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</si>
  <si>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</si>
  <si>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</si>
  <si>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</si>
  <si>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</si>
  <si>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</si>
  <si>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</si>
  <si>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</si>
  <si>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</si>
  <si>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</si>
  <si>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</si>
  <si>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</si>
  <si>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</si>
  <si>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</si>
  <si>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</si>
  <si>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</si>
  <si>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</si>
  <si>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</si>
  <si>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</si>
  <si>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</si>
  <si>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</si>
  <si>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</si>
  <si>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</si>
  <si>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</si>
  <si>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</si>
  <si>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</si>
  <si>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</si>
  <si>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</si>
  <si>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</si>
  <si>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</si>
  <si>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</si>
  <si>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</si>
  <si>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</si>
  <si>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</si>
  <si>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</si>
  <si>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</si>
  <si>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</si>
  <si>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</si>
  <si>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</si>
  <si>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</si>
  <si>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</si>
  <si>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</si>
  <si>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</si>
  <si>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</si>
  <si>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</si>
  <si>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</si>
  <si>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</si>
  <si>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</si>
  <si>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</si>
  <si>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</si>
  <si>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</si>
  <si>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</si>
  <si>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</si>
  <si>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</si>
  <si>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</si>
  <si>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</si>
  <si>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</si>
  <si>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</si>
  <si>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</si>
  <si>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</si>
  <si>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</si>
  <si>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</si>
  <si>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</si>
  <si>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</si>
  <si>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</si>
  <si>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</si>
  <si>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</si>
  <si>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</si>
  <si>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</si>
  <si>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</si>
  <si>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</si>
  <si>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</si>
  <si>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</si>
  <si>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</si>
  <si>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</si>
  <si>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</si>
  <si>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</si>
  <si>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</si>
  <si>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</si>
  <si>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</si>
  <si>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</si>
  <si>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</si>
  <si>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</si>
  <si>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</si>
  <si>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</si>
  <si>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</si>
  <si>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</si>
  <si>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</si>
  <si>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</si>
  <si>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</si>
  <si>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</si>
  <si>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</si>
  <si>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</si>
  <si>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</si>
  <si>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</si>
  <si>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</si>
  <si>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</si>
  <si>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</si>
  <si>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</si>
  <si>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</si>
  <si>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</si>
  <si>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</si>
  <si>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</si>
  <si>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</si>
  <si>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</si>
  <si>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</si>
  <si>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</si>
  <si>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</si>
  <si>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</si>
  <si>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</si>
  <si>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</si>
  <si>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</si>
  <si>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</si>
  <si>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</si>
  <si>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</si>
  <si>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</si>
  <si>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</si>
  <si>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</si>
  <si>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</si>
  <si>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</si>
  <si>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</si>
  <si>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</si>
  <si>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</si>
  <si>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</si>
  <si>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</si>
  <si>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</si>
  <si>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</si>
  <si>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</si>
  <si>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</si>
  <si>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</si>
  <si>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</si>
  <si>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</si>
  <si>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</si>
  <si>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</si>
  <si>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</si>
  <si>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</si>
  <si>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</si>
  <si>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</si>
  <si>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</si>
  <si>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</si>
  <si>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</si>
  <si>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</si>
  <si>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</si>
  <si>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</si>
  <si>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</si>
  <si>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</si>
  <si>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</si>
  <si>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</si>
  <si>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</si>
  <si>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</si>
  <si>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</si>
  <si>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</si>
  <si>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</si>
  <si>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</si>
  <si>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</si>
  <si>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</si>
  <si>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</si>
  <si>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</si>
  <si>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</si>
  <si>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</si>
  <si>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</si>
  <si>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</si>
  <si>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</si>
  <si>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</si>
  <si>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</si>
  <si>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</si>
  <si>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</si>
  <si>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</si>
  <si>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</si>
  <si>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</si>
  <si>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</si>
  <si>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</si>
  <si>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</si>
  <si>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</si>
  <si>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</si>
  <si>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</si>
  <si>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</si>
  <si>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</si>
  <si>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</si>
  <si>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</si>
  <si>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</si>
  <si>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</si>
  <si>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</si>
  <si>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</si>
  <si>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</si>
  <si>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</si>
  <si>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</si>
  <si>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</si>
  <si>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</si>
  <si>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</si>
  <si>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</si>
  <si>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</si>
  <si>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</si>
  <si>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</si>
  <si>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</si>
  <si>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</si>
  <si>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</si>
  <si>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</si>
  <si>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</si>
  <si>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</si>
  <si>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</si>
  <si>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</si>
  <si>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</si>
  <si>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</si>
  <si>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</si>
  <si>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</si>
  <si>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</si>
  <si>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</si>
  <si>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</si>
  <si>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</si>
  <si>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</si>
  <si>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</si>
  <si>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</si>
  <si>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</si>
  <si>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</si>
  <si>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</si>
  <si>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</si>
  <si>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</si>
  <si>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</si>
  <si>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</si>
  <si>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</si>
  <si>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</si>
  <si>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</si>
  <si>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</si>
  <si>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</si>
  <si>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</si>
  <si>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</si>
  <si>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</si>
  <si>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</si>
  <si>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</si>
  <si>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</si>
  <si>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</si>
  <si>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</si>
  <si>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</si>
  <si>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</si>
  <si>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</si>
  <si>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</si>
  <si>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</si>
  <si>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</si>
  <si>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</si>
  <si>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</si>
  <si>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</si>
  <si>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</si>
  <si>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</si>
  <si>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</si>
  <si>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</si>
  <si>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</si>
  <si>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</si>
  <si>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</si>
  <si>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</si>
  <si>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</si>
  <si>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</si>
  <si>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</si>
  <si>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</si>
  <si>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</si>
  <si>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</si>
  <si>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</si>
  <si>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</si>
  <si>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</si>
  <si>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</si>
  <si>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</si>
  <si>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</si>
  <si>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</si>
  <si>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</si>
  <si>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</si>
  <si>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</si>
  <si>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</si>
  <si>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</si>
  <si>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</si>
  <si>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</si>
  <si>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</si>
  <si>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</si>
  <si>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</si>
  <si>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</si>
  <si>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</si>
  <si>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</si>
  <si>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</si>
  <si>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</si>
  <si>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</si>
  <si>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</si>
  <si>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</si>
  <si>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</si>
  <si>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</si>
  <si>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</si>
  <si>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</si>
  <si>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</si>
  <si>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</si>
  <si>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</si>
  <si>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</si>
  <si>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</si>
  <si>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</si>
  <si>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</si>
  <si>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</si>
  <si>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</si>
  <si>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</si>
  <si>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</si>
  <si>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</si>
  <si>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</si>
  <si>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</si>
  <si>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</si>
  <si>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</si>
  <si>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</si>
  <si>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</si>
  <si>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</si>
  <si>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</si>
  <si>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</si>
  <si>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</si>
  <si>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</si>
  <si>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</si>
  <si>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</si>
  <si>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</si>
  <si>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</si>
  <si>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</si>
  <si>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</si>
  <si>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</si>
  <si>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</si>
  <si>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</si>
  <si>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</si>
  <si>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</si>
  <si>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</si>
  <si>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</si>
  <si>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</si>
  <si>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</si>
  <si>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</si>
  <si>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</si>
  <si>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</si>
  <si>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</si>
  <si>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</si>
  <si>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</si>
  <si>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</si>
  <si>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</si>
  <si>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</si>
  <si>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</si>
  <si>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</si>
  <si>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</si>
  <si>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</si>
  <si>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</si>
  <si>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</si>
  <si>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</si>
  <si>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</si>
  <si>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</si>
  <si>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</si>
  <si>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</si>
  <si>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</si>
  <si>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</si>
  <si>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</si>
  <si>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</si>
  <si>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</si>
  <si>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</si>
  <si>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</si>
  <si>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</si>
  <si>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</si>
  <si>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</si>
  <si>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</si>
  <si>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</si>
  <si>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</si>
  <si>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</si>
  <si>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</si>
  <si>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</si>
  <si>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</si>
  <si>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</si>
  <si>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</si>
  <si>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</si>
  <si>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</si>
  <si>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</si>
  <si>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</si>
  <si>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</si>
  <si>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</si>
  <si>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</si>
  <si>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</si>
  <si>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</si>
  <si>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</si>
  <si>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</si>
  <si>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</si>
  <si>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</si>
  <si>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</si>
  <si>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</si>
  <si>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</si>
  <si>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</si>
  <si>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</si>
  <si>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</si>
  <si>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</si>
  <si>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</si>
  <si>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</si>
  <si>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</si>
  <si>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</si>
  <si>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</si>
  <si>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</si>
  <si>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</si>
  <si>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</si>
  <si>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</si>
  <si>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</si>
  <si>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</si>
  <si>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</si>
  <si>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</si>
  <si>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</si>
  <si>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</si>
  <si>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</si>
  <si>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</si>
  <si>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</si>
  <si>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</si>
  <si>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</si>
  <si>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</si>
  <si>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</si>
  <si>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</si>
  <si>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</si>
  <si>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</si>
  <si>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</si>
  <si>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</si>
  <si>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</si>
  <si>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</si>
  <si>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</si>
  <si>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</si>
  <si>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</si>
  <si>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</si>
  <si>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</si>
  <si>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</si>
  <si>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</si>
  <si>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</si>
  <si>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</si>
  <si>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</si>
  <si>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</si>
  <si>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</si>
  <si>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</si>
  <si>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</si>
  <si>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</si>
  <si>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</si>
  <si>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</si>
  <si>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</si>
  <si>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</si>
  <si>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</si>
  <si>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</si>
  <si>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</si>
  <si>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</si>
  <si>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</si>
  <si>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</si>
  <si>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</si>
  <si>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</si>
  <si>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</si>
  <si>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</si>
  <si>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</si>
  <si>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</si>
  <si>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</si>
  <si>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</si>
  <si>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</si>
  <si>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</si>
  <si>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</si>
  <si>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</si>
  <si>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</si>
  <si>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</si>
  <si>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</si>
  <si>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</si>
  <si>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</si>
  <si>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</si>
  <si>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</si>
  <si>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</si>
  <si>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</si>
  <si>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</si>
  <si>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</si>
  <si>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</si>
  <si>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</si>
  <si>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</si>
  <si>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</si>
  <si>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</si>
  <si>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</si>
  <si>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</si>
  <si>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</si>
  <si>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</si>
  <si>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</si>
  <si>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</si>
  <si>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</si>
  <si>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</si>
  <si>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</si>
  <si>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</si>
  <si>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</si>
  <si>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</si>
  <si>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</si>
  <si>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</si>
  <si>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</si>
  <si>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</si>
  <si>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</si>
  <si>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</si>
  <si>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</si>
  <si>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</si>
  <si>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</si>
  <si>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</si>
  <si>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</si>
  <si>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</si>
  <si>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</si>
  <si>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</si>
  <si>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</si>
  <si>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</si>
  <si>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</si>
  <si>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</si>
  <si>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</si>
  <si>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</si>
  <si>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</si>
  <si>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</si>
  <si>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</si>
  <si>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</si>
  <si>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</si>
  <si>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</si>
  <si>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</si>
  <si>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</si>
  <si>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</si>
  <si>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</si>
  <si>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</si>
  <si>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</si>
  <si>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</si>
  <si>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</si>
  <si>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</si>
  <si>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</si>
  <si>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</si>
  <si>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</si>
  <si>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</si>
  <si>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</si>
  <si>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</si>
  <si>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</si>
  <si>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</si>
  <si>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</si>
  <si>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</si>
  <si>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</si>
  <si>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</si>
  <si>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</si>
  <si>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</si>
  <si>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</si>
  <si>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</si>
  <si>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</si>
  <si>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</si>
  <si>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</si>
  <si>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</si>
  <si>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</si>
  <si>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</si>
  <si>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</si>
  <si>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</si>
  <si>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</si>
  <si>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</si>
  <si>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</si>
  <si>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</si>
  <si>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</si>
  <si>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</si>
  <si>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</si>
  <si>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</si>
  <si>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</si>
  <si>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</si>
  <si>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</si>
  <si>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</si>
  <si>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</si>
  <si>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</si>
  <si>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</si>
  <si>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</si>
  <si>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</si>
  <si>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</si>
  <si>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</si>
  <si>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</si>
  <si>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</si>
  <si>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</si>
  <si>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</si>
  <si>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</si>
  <si>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</si>
  <si>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</si>
  <si>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</si>
  <si>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</si>
  <si>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</si>
  <si>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</si>
  <si>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</si>
  <si>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</si>
  <si>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</si>
  <si>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</si>
  <si>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</si>
  <si>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</si>
  <si>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</si>
  <si>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</si>
  <si>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</si>
  <si>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</si>
  <si>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</si>
  <si>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</si>
  <si>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</si>
  <si>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</si>
  <si>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</si>
  <si>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</si>
  <si>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</si>
  <si>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</si>
  <si>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</si>
  <si>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</si>
  <si>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</si>
  <si>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</si>
  <si>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</si>
  <si>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</si>
  <si>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</si>
  <si>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</si>
  <si>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</si>
  <si>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</si>
  <si>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</si>
  <si>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</si>
  <si>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</si>
  <si>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</si>
  <si>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</si>
  <si>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</si>
  <si>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</si>
  <si>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</si>
  <si>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</si>
  <si>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</si>
  <si>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</si>
  <si>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</si>
  <si>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</si>
  <si>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</si>
  <si>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</si>
  <si>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</si>
  <si>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</si>
  <si>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</si>
  <si>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</si>
  <si>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</si>
  <si>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</si>
  <si>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</si>
  <si>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</si>
  <si>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</si>
  <si>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</si>
  <si>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</si>
  <si>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</si>
  <si>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</si>
  <si>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</si>
  <si>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</si>
  <si>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</si>
  <si>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</si>
  <si>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</si>
  <si>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</si>
  <si>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</si>
  <si>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</si>
  <si>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</si>
  <si>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</si>
  <si>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</si>
  <si>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</si>
  <si>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</si>
  <si>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</si>
  <si>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</si>
  <si>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</si>
  <si>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</si>
  <si>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</si>
  <si>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</si>
  <si>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</si>
  <si>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</si>
  <si>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</si>
  <si>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</si>
  <si>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</si>
  <si>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</si>
  <si>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</si>
  <si>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</si>
  <si>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</si>
  <si>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</si>
  <si>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</si>
  <si>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</si>
  <si>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</si>
  <si>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</si>
  <si>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</si>
  <si>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</si>
  <si>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</si>
  <si>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</si>
  <si>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</si>
  <si>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</si>
  <si>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</si>
  <si>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</si>
  <si>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</si>
  <si>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</si>
  <si>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</si>
  <si>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</si>
  <si>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</si>
  <si>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</si>
  <si>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</si>
  <si>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</si>
  <si>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</si>
  <si>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</si>
  <si>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</si>
  <si>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</si>
  <si>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</si>
  <si>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</si>
  <si>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</si>
  <si>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</si>
  <si>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</si>
  <si>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</si>
  <si>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</si>
  <si>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</si>
  <si>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</si>
  <si>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</si>
  <si>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</si>
  <si>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</si>
  <si>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</si>
  <si>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</si>
  <si>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</si>
  <si>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</si>
  <si>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</si>
  <si>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</si>
  <si>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</si>
  <si>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</si>
  <si>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</si>
  <si>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</si>
  <si>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</si>
  <si>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</si>
  <si>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</si>
  <si>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</si>
  <si>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</si>
  <si>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</si>
  <si>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</si>
  <si>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</si>
  <si>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</si>
  <si>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</si>
  <si>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</si>
  <si>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</si>
  <si>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</si>
  <si>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</si>
  <si>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</si>
  <si>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</si>
  <si>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</si>
  <si>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</si>
  <si>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</si>
  <si>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</si>
  <si>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</si>
  <si>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</si>
  <si>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</si>
  <si>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</si>
  <si>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</si>
  <si>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</si>
  <si>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</si>
  <si>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</si>
  <si>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</si>
  <si>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</si>
  <si>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</si>
  <si>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</si>
  <si>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</si>
  <si>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</si>
  <si>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</si>
  <si>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</si>
  <si>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</si>
  <si>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</si>
  <si>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</si>
  <si>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</si>
  <si>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</si>
  <si>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</si>
  <si>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</si>
  <si>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</si>
  <si>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</si>
  <si>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</si>
  <si>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</si>
  <si>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</si>
  <si>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</si>
  <si>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</si>
  <si>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</si>
  <si>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</si>
  <si>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</si>
  <si>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</si>
  <si>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</si>
  <si>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</si>
  <si>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</si>
  <si>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</si>
  <si>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</si>
  <si>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</si>
  <si>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</si>
  <si>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</si>
  <si>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</si>
  <si>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</si>
  <si>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</si>
  <si>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</si>
  <si>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</si>
  <si>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</si>
  <si>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</si>
  <si>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</si>
  <si>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</si>
  <si>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</si>
  <si>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</si>
  <si>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</si>
  <si>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</si>
  <si>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</si>
  <si>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</si>
  <si>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</si>
  <si>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</si>
  <si>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</si>
  <si>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</si>
  <si>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</si>
  <si>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</si>
  <si>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</si>
  <si>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</si>
  <si>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</si>
  <si>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</si>
  <si>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</si>
  <si>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</si>
  <si>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</si>
  <si>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</si>
  <si>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</si>
  <si>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</si>
  <si>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</si>
  <si>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</si>
  <si>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</si>
  <si>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</si>
  <si>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</si>
  <si>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</si>
  <si>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</si>
  <si>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</si>
  <si>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</si>
  <si>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</si>
  <si>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</si>
  <si>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</si>
  <si>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</si>
  <si>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</si>
  <si>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</si>
  <si>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</si>
  <si>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</si>
  <si>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</si>
  <si>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</si>
  <si>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</si>
  <si>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</si>
  <si>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</si>
  <si>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</si>
  <si>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</si>
  <si>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</si>
  <si>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</si>
  <si>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</si>
  <si>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</si>
  <si>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</si>
  <si>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</si>
  <si>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</si>
  <si>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</si>
  <si>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</si>
  <si>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</si>
  <si>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</si>
  <si>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</si>
  <si>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</si>
  <si>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</si>
  <si>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</si>
  <si>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</si>
  <si>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</si>
  <si>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</si>
  <si>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</si>
  <si>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</si>
  <si>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</si>
  <si>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</si>
  <si>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</si>
  <si>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</si>
  <si>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</si>
  <si>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</si>
  <si>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</si>
  <si>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</si>
  <si>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</si>
  <si>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</si>
  <si>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</si>
  <si>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</si>
  <si>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</si>
  <si>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</si>
  <si>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</si>
  <si>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</si>
  <si>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</si>
  <si>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</si>
  <si>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</si>
  <si>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</si>
  <si>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</si>
  <si>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</si>
  <si>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</si>
  <si>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</si>
  <si>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</si>
  <si>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</si>
  <si>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</si>
  <si>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</si>
  <si>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</si>
  <si>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</si>
  <si>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</si>
  <si>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</si>
  <si>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</si>
  <si>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</si>
  <si>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</si>
  <si>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</si>
  <si>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</si>
  <si>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</si>
  <si>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</si>
  <si>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</si>
  <si>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</si>
  <si>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</si>
  <si>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</si>
  <si>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</si>
  <si>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</si>
  <si>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</si>
  <si>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</si>
  <si>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</si>
  <si>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</si>
  <si>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</si>
  <si>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</si>
  <si>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</si>
  <si>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</si>
  <si>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</si>
  <si>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</si>
  <si>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</si>
  <si>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</si>
  <si>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</si>
  <si>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</si>
  <si>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</si>
  <si>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</si>
  <si>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</si>
  <si>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</si>
  <si>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</si>
  <si>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</si>
  <si>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</si>
  <si>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</si>
  <si>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</si>
  <si>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</si>
  <si>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</si>
  <si>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</si>
  <si>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</si>
  <si>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</si>
  <si>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</si>
  <si>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</si>
  <si>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</si>
  <si>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</si>
  <si>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</si>
  <si>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</si>
  <si>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</si>
  <si>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</si>
  <si>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</si>
  <si>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</si>
  <si>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</si>
  <si>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</si>
  <si>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</si>
  <si>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</si>
  <si>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</si>
  <si>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</si>
  <si>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</si>
  <si>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</si>
  <si>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</si>
  <si>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</si>
  <si>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</si>
  <si>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</si>
  <si>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</si>
  <si>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</si>
  <si>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</si>
  <si>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</si>
  <si>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</si>
  <si>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</si>
  <si>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</si>
  <si>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</si>
  <si>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</si>
  <si>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</si>
  <si>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</si>
  <si>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</si>
  <si>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</si>
  <si>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</si>
  <si>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</si>
  <si>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</si>
  <si>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</si>
  <si>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</si>
  <si>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</si>
  <si>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</si>
  <si>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</si>
  <si>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</si>
  <si>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</si>
  <si>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</si>
  <si>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</si>
  <si>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</si>
  <si>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</si>
  <si>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</si>
  <si>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</si>
  <si>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</si>
  <si>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</si>
  <si>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</si>
  <si>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</si>
  <si>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</si>
  <si>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</si>
  <si>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</si>
  <si>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</si>
  <si>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</si>
  <si>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</si>
  <si>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</si>
  <si>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</si>
  <si>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</si>
  <si>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</si>
  <si>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</si>
  <si>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</si>
  <si>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</si>
  <si>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</si>
  <si>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</si>
  <si>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</si>
  <si>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</si>
  <si>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</si>
  <si>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</si>
  <si>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</si>
  <si>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</si>
  <si>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</si>
  <si>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</si>
  <si>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</si>
  <si>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</si>
  <si>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</si>
  <si>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</si>
  <si>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</si>
  <si>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</si>
  <si>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</si>
  <si>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</si>
  <si>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</si>
  <si>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</si>
  <si>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</si>
  <si>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</si>
  <si>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</si>
  <si>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</si>
  <si>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</si>
  <si>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</si>
  <si>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</si>
  <si>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</si>
  <si>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</si>
  <si>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</si>
  <si>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</si>
  <si>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</si>
  <si>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</si>
  <si>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</si>
  <si>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</si>
  <si>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</si>
  <si>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</si>
  <si>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</si>
  <si>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</si>
  <si>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</si>
  <si>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</si>
  <si>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</si>
  <si>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</si>
  <si>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</si>
  <si>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</si>
  <si>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</si>
  <si>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</si>
  <si>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</si>
  <si>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</si>
  <si>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</si>
  <si>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</si>
  <si>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</si>
  <si>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</si>
  <si>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</si>
  <si>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</si>
  <si>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</si>
  <si>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</si>
  <si>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</si>
  <si>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</si>
  <si>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</si>
  <si>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</si>
  <si>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</si>
  <si>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</si>
  <si>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</si>
  <si>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</si>
  <si>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</si>
  <si>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</si>
  <si>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</si>
  <si>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</si>
  <si>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</si>
  <si>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</si>
  <si>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</si>
  <si>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</si>
  <si>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</si>
  <si>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</si>
  <si>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</si>
  <si>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</si>
  <si>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</si>
  <si>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</si>
  <si>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</si>
  <si>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</si>
  <si>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</si>
  <si>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</si>
  <si>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</si>
  <si>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</si>
  <si>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</si>
  <si>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</si>
  <si>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</si>
  <si>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</si>
  <si>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</si>
  <si>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</si>
  <si>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</si>
  <si>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</si>
  <si>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</si>
  <si>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</si>
  <si>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</si>
  <si>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</si>
  <si>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</si>
  <si>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</si>
  <si>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</si>
  <si>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</si>
  <si>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</si>
  <si>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</si>
  <si>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</si>
  <si>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</si>
  <si>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</si>
  <si>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</si>
  <si>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</si>
  <si>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</si>
  <si>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</si>
  <si>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</si>
  <si>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</si>
  <si>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</si>
  <si>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</si>
  <si>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</si>
  <si>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</si>
  <si>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</si>
  <si>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</si>
  <si>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</si>
  <si>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</si>
  <si>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</si>
  <si>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</si>
  <si>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</si>
  <si>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</si>
  <si>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</si>
  <si>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</si>
  <si>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</si>
  <si>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</si>
  <si>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</si>
  <si>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</si>
  <si>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</si>
  <si>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</si>
  <si>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</si>
  <si>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</si>
  <si>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</si>
  <si>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</si>
  <si>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</si>
  <si>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</si>
  <si>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</si>
  <si>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</si>
  <si>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</si>
  <si>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</si>
  <si>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</si>
  <si>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</si>
  <si>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</si>
  <si>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</si>
  <si>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</si>
  <si>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</si>
  <si>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</si>
  <si>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</si>
  <si>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</si>
  <si>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</si>
  <si>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</si>
  <si>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</si>
  <si>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</si>
  <si>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</si>
  <si>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</si>
  <si>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</si>
  <si>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</si>
  <si>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</si>
  <si>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</si>
  <si>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</si>
  <si>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</si>
  <si>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</si>
  <si>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</si>
  <si>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</si>
  <si>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</si>
  <si>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</si>
  <si>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</si>
  <si>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</si>
  <si>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</si>
  <si>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</si>
  <si>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</si>
  <si>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</si>
  <si>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</si>
  <si>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</si>
  <si>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</si>
  <si>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</si>
  <si>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</si>
  <si>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</si>
  <si>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</si>
  <si>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</si>
  <si>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</si>
  <si>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</si>
  <si>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</si>
  <si>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</si>
  <si>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</si>
  <si>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</si>
  <si>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</si>
  <si>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</si>
  <si>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</si>
  <si>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</si>
  <si>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</si>
  <si>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</si>
  <si>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</si>
  <si>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</si>
  <si>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</si>
  <si>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</si>
  <si>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</si>
  <si>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</si>
  <si>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</si>
  <si>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</si>
  <si>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</si>
  <si>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</si>
  <si>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</si>
  <si>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</si>
  <si>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</si>
  <si>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</si>
  <si>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</si>
  <si>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</si>
  <si>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</si>
  <si>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</si>
  <si>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</si>
  <si>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</si>
  <si>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</si>
  <si>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</si>
  <si>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</si>
  <si>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</si>
  <si>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</si>
  <si>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</si>
  <si>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</si>
  <si>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</si>
  <si>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</si>
  <si>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</si>
  <si>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</si>
  <si>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</si>
  <si>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</si>
  <si>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</si>
  <si>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</si>
  <si>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</si>
  <si>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</si>
  <si>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</si>
  <si>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</si>
  <si>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</si>
  <si>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</si>
  <si>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</si>
  <si>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</si>
  <si>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</si>
  <si>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</si>
  <si>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</si>
  <si>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</si>
  <si>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</si>
  <si>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</si>
  <si>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</si>
  <si>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</si>
  <si>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</si>
  <si>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</si>
  <si>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</si>
  <si>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</si>
  <si>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</si>
  <si>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</si>
  <si>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</si>
  <si>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</si>
  <si>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</si>
  <si>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</si>
  <si>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</si>
  <si>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</si>
  <si>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</si>
  <si>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</si>
  <si>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</si>
  <si>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</si>
  <si>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</si>
  <si>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</si>
  <si>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</si>
  <si>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</si>
  <si>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</si>
  <si>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</si>
  <si>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</si>
  <si>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</si>
  <si>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</si>
  <si>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</si>
  <si>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</si>
  <si>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</si>
  <si>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</si>
  <si>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</si>
  <si>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</si>
  <si>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</si>
  <si>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</si>
  <si>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</si>
  <si>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</si>
  <si>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</si>
  <si>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</si>
  <si>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</si>
  <si>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</si>
  <si>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</si>
  <si>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</si>
  <si>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</si>
  <si>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</si>
  <si>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</si>
  <si>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</si>
  <si>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</si>
  <si>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</si>
  <si>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</si>
  <si>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</si>
  <si>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</si>
  <si>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</si>
  <si>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</si>
  <si>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</si>
  <si>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</si>
  <si>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</si>
  <si>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</si>
  <si>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</si>
  <si>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</si>
  <si>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</si>
  <si>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</si>
  <si>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</si>
  <si>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</si>
  <si>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</si>
  <si>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</si>
  <si>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</si>
  <si>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</si>
  <si>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</si>
  <si>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</si>
  <si>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</si>
  <si>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</si>
  <si>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</si>
  <si>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</si>
  <si>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</si>
  <si>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</si>
  <si>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</si>
  <si>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</si>
  <si>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</si>
  <si>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</si>
  <si>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</si>
  <si>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</si>
  <si>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</si>
  <si>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</si>
  <si>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</si>
  <si>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</si>
  <si>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</si>
  <si>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</si>
  <si>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</si>
  <si>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</si>
  <si>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</si>
  <si>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</si>
  <si>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</si>
  <si>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</si>
  <si>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</si>
  <si>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</si>
  <si>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</si>
  <si>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</si>
  <si>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</si>
  <si>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</si>
  <si>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</si>
  <si>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</si>
  <si>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</si>
  <si>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</si>
  <si>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</si>
  <si>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</si>
  <si>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</si>
  <si>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</si>
  <si>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</si>
  <si>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</si>
  <si>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</si>
  <si>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</si>
  <si>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</si>
  <si>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</si>
  <si>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</si>
  <si>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</si>
  <si>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</si>
  <si>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</si>
  <si>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</si>
  <si>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</si>
  <si>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</si>
  <si>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</si>
  <si>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</si>
  <si>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</si>
  <si>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</si>
  <si>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</si>
  <si>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</si>
  <si>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</si>
  <si>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</si>
  <si>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</si>
  <si>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</si>
  <si>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</si>
  <si>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</si>
  <si>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</si>
  <si>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</si>
  <si>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</si>
  <si>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</si>
  <si>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</si>
  <si>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</si>
  <si>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</si>
  <si>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</si>
  <si>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</si>
  <si>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</si>
  <si>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</si>
  <si>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</si>
  <si>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</si>
  <si>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</si>
  <si>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</si>
  <si>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</si>
  <si>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</si>
  <si>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</si>
  <si>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</si>
  <si>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</si>
  <si>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</si>
  <si>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</si>
  <si>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</si>
  <si>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</si>
  <si>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</si>
  <si>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</si>
  <si>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</si>
  <si>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</si>
  <si>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</si>
  <si>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</si>
  <si>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</si>
  <si>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</si>
  <si>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</si>
  <si>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</si>
  <si>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</si>
  <si>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</si>
  <si>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</si>
  <si>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</si>
  <si>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</si>
  <si>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</si>
  <si>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</si>
  <si>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</si>
  <si>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</si>
  <si>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</si>
  <si>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</si>
  <si>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</si>
  <si>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</si>
  <si>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</si>
  <si>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</si>
  <si>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</si>
  <si>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</si>
  <si>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</si>
  <si>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</si>
  <si>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</si>
  <si>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</si>
  <si>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</si>
  <si>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</si>
  <si>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</si>
  <si>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</si>
  <si>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</si>
  <si>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</si>
  <si>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</si>
  <si>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</si>
  <si>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</si>
  <si>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</si>
  <si>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</si>
  <si>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</si>
  <si>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</si>
  <si>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</si>
  <si>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</si>
  <si>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</si>
  <si>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</si>
  <si>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</si>
  <si>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</si>
  <si>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</si>
  <si>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</si>
  <si>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</si>
  <si>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</si>
  <si>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</si>
  <si>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</si>
  <si>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</si>
  <si>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</si>
  <si>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</si>
  <si>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</si>
  <si>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</si>
  <si>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</si>
  <si>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</si>
  <si>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</si>
  <si>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</si>
  <si>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</si>
  <si>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</si>
  <si>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</si>
  <si>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</si>
  <si>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</si>
  <si>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</si>
  <si>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</si>
  <si>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</si>
  <si>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</si>
  <si>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</si>
  <si>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</si>
  <si>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</si>
  <si>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</si>
  <si>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</si>
  <si>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</si>
  <si>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</si>
  <si>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</si>
  <si>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</si>
  <si>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</si>
  <si>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</si>
  <si>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</si>
  <si>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</si>
  <si>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</si>
  <si>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</si>
  <si>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</si>
  <si>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</si>
  <si>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</si>
  <si>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</si>
  <si>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</si>
  <si>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</si>
  <si>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</si>
  <si>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</si>
  <si>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</si>
  <si>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</si>
  <si>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</si>
  <si>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</si>
  <si>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</si>
  <si>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</si>
  <si>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</si>
  <si>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</si>
  <si>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</si>
  <si>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</si>
  <si>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</si>
  <si>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</si>
  <si>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</si>
  <si>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</si>
  <si>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</si>
  <si>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</si>
  <si>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</si>
  <si>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</si>
  <si>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</si>
  <si>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</si>
  <si>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</si>
  <si>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</si>
  <si>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</si>
  <si>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</si>
  <si>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</si>
  <si>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</si>
  <si>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</si>
  <si>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</si>
  <si>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</si>
  <si>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</si>
  <si>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</si>
  <si>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</si>
  <si>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</si>
  <si>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</si>
  <si>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</si>
  <si>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</si>
  <si>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</si>
  <si>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</si>
  <si>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</si>
  <si>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</si>
  <si>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</si>
  <si>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</si>
  <si>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</si>
  <si>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</si>
  <si>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</si>
  <si>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</si>
  <si>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</si>
  <si>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</si>
  <si>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</si>
  <si>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</si>
  <si>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</si>
  <si>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</si>
  <si>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</si>
  <si>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</si>
  <si>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</si>
  <si>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</si>
  <si>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</si>
  <si>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</si>
  <si>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</si>
  <si>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</si>
  <si>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</si>
  <si>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</si>
  <si>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</si>
  <si>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</si>
  <si>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</si>
  <si>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</si>
  <si>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</si>
  <si>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</si>
  <si>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</si>
  <si>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</si>
  <si>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</si>
  <si>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</si>
  <si>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</si>
  <si>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</si>
  <si>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</si>
  <si>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</si>
  <si>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</si>
  <si>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</si>
  <si>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</si>
  <si>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</si>
  <si>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</si>
  <si>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</si>
  <si>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</si>
  <si>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</si>
  <si>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</si>
  <si>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</si>
  <si>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</si>
  <si>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</si>
  <si>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</si>
  <si>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</si>
  <si>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</si>
  <si>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</si>
  <si>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</si>
  <si>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</si>
  <si>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</si>
  <si>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</si>
  <si>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</si>
  <si>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</si>
  <si>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</si>
  <si>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</si>
  <si>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</si>
  <si>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</si>
  <si>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</si>
  <si>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</si>
  <si>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</si>
  <si>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</si>
  <si>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</si>
  <si>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</si>
  <si>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</si>
  <si>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</si>
  <si>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</si>
  <si>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</si>
  <si>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</si>
  <si>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</si>
  <si>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</si>
  <si>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</si>
  <si>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</si>
  <si>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</si>
  <si>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</si>
  <si>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</si>
  <si>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</si>
  <si>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</si>
  <si>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</si>
  <si>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</si>
  <si>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</si>
  <si>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</si>
  <si>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</si>
  <si>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</si>
  <si>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</si>
  <si>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</si>
  <si>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</si>
  <si>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</si>
  <si>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</si>
  <si>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</si>
  <si>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</si>
  <si>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</si>
  <si>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</si>
  <si>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</si>
  <si>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</si>
  <si>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</si>
  <si>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</si>
  <si>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</si>
  <si>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</si>
  <si>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</si>
  <si>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</si>
  <si>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</si>
  <si>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</si>
  <si>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</si>
  <si>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</si>
  <si>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</si>
  <si>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</si>
  <si>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</si>
  <si>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</si>
  <si>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</si>
  <si>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</si>
  <si>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</si>
  <si>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</si>
  <si>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</si>
  <si>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</si>
  <si>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</si>
  <si>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</si>
  <si>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</si>
  <si>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</si>
  <si>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</si>
  <si>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</si>
  <si>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</si>
  <si>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</si>
  <si>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</si>
  <si>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</si>
  <si>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</si>
  <si>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</si>
  <si>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</si>
  <si>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</si>
  <si>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</si>
  <si>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</si>
  <si>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</si>
  <si>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</si>
  <si>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</si>
  <si>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</si>
  <si>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</si>
  <si>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</si>
  <si>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</si>
  <si>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</si>
  <si>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</si>
  <si>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</si>
  <si>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</si>
  <si>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</si>
  <si>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</si>
  <si>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</si>
  <si>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</si>
  <si>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</si>
  <si>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</si>
  <si>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</si>
  <si>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</si>
  <si>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</si>
  <si>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</si>
  <si>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</si>
  <si>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</si>
  <si>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</si>
  <si>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</si>
  <si>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</si>
  <si>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</si>
  <si>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</si>
  <si>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</si>
  <si>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</si>
  <si>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</si>
  <si>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</si>
  <si>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</si>
  <si>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</si>
  <si>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</si>
  <si>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</si>
  <si>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</si>
  <si>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</si>
  <si>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</si>
  <si>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</si>
  <si>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</si>
  <si>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</si>
  <si>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</si>
  <si>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</si>
  <si>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</si>
  <si>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</si>
  <si>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</si>
  <si>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</si>
  <si>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</si>
  <si>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</si>
  <si>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</si>
  <si>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</si>
  <si>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</si>
  <si>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</si>
  <si>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</si>
  <si>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</si>
  <si>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</si>
  <si>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</si>
  <si>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</si>
  <si>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</si>
  <si>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</si>
  <si>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</si>
  <si>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</si>
  <si>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</si>
  <si>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</si>
  <si>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</si>
  <si>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</si>
  <si>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</si>
  <si>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</si>
  <si>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</si>
  <si>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</si>
  <si>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</si>
  <si>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</si>
  <si>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</si>
  <si>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</si>
  <si>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</si>
  <si>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</si>
  <si>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</si>
  <si>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</si>
  <si>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</si>
  <si>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</si>
  <si>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</si>
  <si>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</si>
  <si>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</si>
  <si>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</si>
  <si>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</si>
  <si>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</si>
  <si>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</si>
  <si>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</si>
  <si>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</si>
  <si>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</si>
  <si>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</si>
  <si>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</si>
  <si>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</si>
  <si>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</si>
  <si>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</si>
  <si>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</si>
  <si>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</si>
  <si>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</si>
  <si>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</si>
  <si>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</si>
  <si>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</si>
  <si>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</si>
  <si>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</si>
  <si>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</si>
  <si>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</si>
  <si>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</si>
  <si>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</si>
  <si>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</si>
  <si>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</si>
  <si>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</si>
  <si>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</si>
  <si>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</si>
  <si>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</si>
  <si>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</si>
  <si>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</si>
  <si>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</si>
  <si>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</si>
  <si>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</si>
  <si>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</si>
  <si>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</si>
  <si>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</si>
  <si>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</si>
  <si>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</si>
  <si>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</si>
  <si>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</si>
  <si>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</si>
  <si>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</si>
  <si>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</si>
  <si>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</si>
  <si>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</si>
  <si>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</si>
  <si>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</si>
  <si>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</si>
  <si>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</si>
  <si>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</si>
  <si>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</si>
  <si>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</si>
  <si>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</si>
  <si>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</si>
  <si>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</si>
  <si>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</si>
  <si>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</si>
  <si>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</si>
  <si>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</si>
  <si>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</si>
  <si>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</si>
  <si>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</si>
  <si>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</si>
  <si>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</si>
  <si>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</si>
  <si>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</si>
  <si>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</si>
  <si>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</si>
  <si>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</si>
  <si>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</si>
  <si>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</si>
  <si>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</si>
  <si>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</si>
  <si>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</si>
  <si>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</si>
  <si>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</si>
  <si>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</si>
  <si>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</si>
  <si>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</si>
  <si>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</si>
  <si>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</si>
  <si>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</si>
  <si>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</si>
  <si>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</si>
  <si>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</si>
  <si>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</si>
  <si>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</si>
  <si>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</si>
  <si>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</si>
  <si>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</si>
  <si>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</si>
  <si>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</si>
  <si>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</si>
  <si>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</si>
  <si>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</si>
  <si>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</si>
  <si>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</si>
  <si>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</si>
  <si>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</si>
  <si>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</si>
  <si>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</si>
  <si>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</si>
  <si>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</si>
  <si>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</si>
  <si>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</si>
  <si>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</si>
  <si>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</si>
  <si>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</si>
  <si>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</si>
  <si>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</si>
  <si>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</si>
  <si>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</si>
  <si>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</si>
  <si>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</si>
  <si>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</si>
  <si>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</si>
  <si>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</si>
  <si>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</si>
  <si>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</si>
  <si>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</si>
  <si>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</si>
  <si>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</si>
  <si>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</si>
  <si>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</si>
  <si>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</si>
  <si>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</si>
  <si>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</si>
  <si>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</si>
  <si>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</si>
  <si>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</si>
  <si>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</si>
  <si>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</si>
  <si>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</si>
  <si>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</si>
  <si>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</si>
  <si>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</si>
  <si>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</si>
  <si>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</si>
  <si>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</si>
  <si>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</si>
  <si>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</si>
  <si>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</si>
  <si>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</si>
  <si>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</si>
  <si>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</si>
  <si>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</si>
  <si>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</si>
  <si>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</si>
  <si>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</si>
  <si>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</si>
  <si>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</si>
  <si>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</si>
  <si>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</si>
  <si>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</si>
  <si>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</si>
  <si>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</si>
  <si>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</si>
  <si>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</si>
  <si>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</si>
  <si>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</si>
  <si>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</si>
  <si>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</si>
  <si>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</si>
  <si>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</si>
  <si>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</si>
  <si>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</si>
  <si>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</si>
  <si>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</si>
  <si>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</si>
  <si>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</si>
  <si>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</si>
  <si>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</si>
  <si>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</si>
  <si>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</si>
  <si>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</si>
  <si>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</si>
  <si>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</si>
  <si>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</si>
  <si>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</si>
  <si>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</si>
  <si>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</si>
  <si>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</si>
  <si>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</si>
  <si>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</si>
  <si>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</si>
  <si>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</si>
  <si>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</si>
  <si>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</si>
  <si>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</si>
  <si>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</si>
  <si>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</si>
  <si>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</si>
  <si>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</si>
  <si>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</si>
  <si>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</si>
  <si>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</si>
  <si>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</si>
  <si>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</si>
  <si>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</si>
  <si>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</si>
  <si>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</si>
  <si>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</si>
  <si>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</si>
  <si>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</si>
  <si>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</si>
  <si>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</si>
  <si>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</si>
  <si>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</si>
  <si>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</si>
  <si>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</si>
  <si>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</si>
  <si>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</si>
  <si>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</si>
  <si>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</si>
  <si>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</si>
  <si>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</si>
  <si>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</si>
  <si>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</si>
  <si>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</si>
  <si>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</si>
  <si>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</si>
  <si>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</si>
  <si>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</si>
  <si>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</si>
  <si>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</si>
  <si>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</si>
  <si>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</si>
  <si>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</si>
  <si>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</si>
  <si>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</si>
  <si>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</si>
  <si>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</si>
  <si>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</si>
  <si>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</si>
  <si>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</si>
  <si>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</si>
  <si>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</si>
  <si>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</si>
  <si>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</si>
  <si>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</si>
  <si>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</si>
  <si>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</si>
  <si>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</si>
  <si>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</si>
  <si>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</si>
  <si>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</si>
  <si>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</si>
  <si>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</si>
  <si>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</si>
  <si>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</si>
  <si>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</si>
  <si>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</si>
  <si>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</si>
  <si>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</si>
  <si>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</si>
  <si>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</si>
  <si>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</si>
  <si>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</si>
  <si>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</si>
  <si>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</si>
  <si>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</si>
  <si>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</si>
  <si>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</si>
  <si>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</si>
  <si>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</si>
  <si>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</si>
  <si>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</si>
  <si>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</si>
  <si>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</si>
  <si>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</si>
  <si>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</si>
  <si>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</si>
  <si>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</si>
  <si>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</si>
  <si>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</si>
  <si>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</si>
  <si>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</si>
  <si>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</si>
  <si>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</si>
  <si>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</si>
  <si>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</si>
  <si>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</si>
  <si>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</si>
  <si>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</si>
  <si>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</si>
  <si>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</si>
  <si>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</si>
  <si>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</si>
  <si>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</si>
  <si>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</si>
  <si>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</si>
  <si>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</si>
  <si>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</si>
  <si>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</si>
  <si>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</si>
  <si>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</si>
  <si>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</si>
  <si>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</si>
  <si>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</si>
  <si>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</si>
  <si>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</si>
  <si>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</si>
  <si>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</si>
  <si>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</si>
  <si>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</si>
  <si>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</si>
  <si>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</si>
  <si>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</si>
  <si>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</si>
  <si>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</si>
  <si>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</si>
  <si>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</si>
  <si>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</si>
  <si>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</si>
  <si>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</si>
  <si>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</si>
  <si>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</si>
  <si>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</si>
  <si>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</si>
  <si>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</si>
  <si>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</si>
  <si>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</si>
  <si>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</si>
  <si>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</si>
  <si>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</si>
  <si>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</si>
  <si>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</si>
  <si>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</si>
  <si>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</si>
  <si>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</si>
  <si>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</si>
  <si>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</si>
  <si>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</si>
  <si>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</si>
  <si>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</si>
  <si>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</si>
  <si>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</si>
  <si>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</si>
  <si>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</si>
  <si>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</si>
  <si>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</si>
  <si>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</si>
  <si>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</si>
  <si>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</si>
  <si>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</si>
  <si>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</si>
  <si>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</si>
  <si>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</si>
  <si>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</si>
  <si>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</si>
  <si>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</si>
  <si>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</si>
  <si>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</si>
  <si>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</si>
  <si>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</si>
  <si>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</si>
  <si>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</si>
  <si>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</si>
  <si>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</si>
  <si>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</si>
  <si>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</si>
  <si>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</si>
  <si>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</si>
  <si>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</si>
  <si>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</si>
  <si>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</si>
  <si>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</si>
  <si>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</si>
  <si>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</si>
  <si>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</si>
  <si>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</si>
  <si>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</si>
  <si>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</si>
  <si>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</si>
  <si>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</si>
  <si>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</si>
  <si>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</si>
  <si>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</si>
  <si>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</si>
  <si>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</si>
  <si>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</si>
  <si>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</si>
  <si>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</si>
  <si>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</si>
  <si>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</si>
  <si>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</si>
  <si>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</si>
  <si>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</si>
  <si>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</si>
  <si>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</si>
  <si>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</si>
  <si>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</si>
  <si>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</si>
  <si>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</si>
  <si>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</si>
  <si>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</si>
  <si>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</si>
  <si>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</si>
  <si>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</si>
  <si>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</si>
  <si>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</si>
  <si>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</si>
  <si>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</si>
  <si>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</si>
  <si>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</si>
  <si>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</si>
  <si>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</si>
  <si>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</si>
  <si>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</si>
  <si>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</si>
  <si>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</si>
  <si>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</si>
  <si>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</si>
  <si>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</si>
  <si>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</si>
  <si>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</si>
  <si>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</si>
  <si>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</si>
  <si>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</si>
  <si>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</si>
  <si>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</si>
  <si>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</si>
  <si>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</si>
  <si>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</si>
  <si>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</si>
  <si>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</si>
  <si>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</si>
  <si>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</si>
  <si>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</si>
  <si>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</si>
  <si>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</si>
  <si>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</si>
  <si>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</si>
  <si>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</si>
  <si>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</si>
  <si>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</si>
  <si>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</si>
  <si>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</si>
  <si>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</si>
  <si>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</si>
  <si>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</si>
  <si>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</si>
  <si>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</si>
  <si>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</si>
  <si>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</si>
  <si>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</si>
  <si>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</si>
  <si>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</si>
  <si>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</si>
  <si>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</si>
  <si>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</si>
  <si>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</si>
  <si>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</si>
  <si>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</si>
  <si>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</si>
  <si>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</si>
  <si>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</si>
  <si>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</si>
  <si>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</si>
  <si>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</si>
  <si>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</si>
  <si>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</si>
  <si>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</si>
  <si>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</si>
  <si>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</si>
  <si>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</si>
  <si>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</si>
  <si>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</si>
  <si>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</si>
  <si>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</si>
  <si>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</si>
  <si>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</si>
  <si>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</si>
  <si>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</si>
  <si>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</si>
  <si>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</si>
  <si>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</si>
  <si>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</si>
  <si>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</si>
  <si>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</si>
  <si>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</si>
  <si>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</si>
  <si>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</si>
  <si>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</si>
  <si>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</si>
  <si>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</si>
  <si>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</si>
  <si>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</si>
  <si>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</si>
  <si>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</si>
  <si>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</si>
  <si>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</si>
  <si>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</si>
  <si>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</si>
  <si>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</si>
  <si>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</si>
  <si>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</si>
  <si>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</si>
  <si>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</si>
  <si>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</si>
  <si>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</si>
  <si>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</si>
  <si>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</si>
  <si>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</si>
  <si>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</si>
  <si>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</si>
  <si>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</si>
  <si>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</si>
  <si>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</si>
  <si>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</si>
  <si>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</si>
  <si>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</si>
  <si>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</si>
  <si>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</si>
  <si>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</si>
  <si>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</si>
  <si>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</si>
  <si>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</si>
  <si>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</si>
  <si>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</si>
  <si>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</si>
  <si>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</si>
  <si>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</si>
  <si>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</si>
  <si>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</si>
  <si>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</si>
  <si>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</si>
  <si>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</si>
  <si>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</si>
  <si>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</si>
  <si>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</si>
  <si>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</si>
  <si>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</si>
  <si>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</si>
  <si>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</si>
  <si>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</si>
  <si>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</si>
  <si>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</si>
  <si>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</si>
  <si>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</si>
  <si>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</si>
  <si>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</si>
  <si>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</si>
  <si>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</si>
  <si>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</si>
  <si>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</si>
  <si>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</si>
  <si>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</si>
  <si>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</si>
  <si>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</si>
  <si>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</si>
  <si>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</si>
  <si>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</si>
  <si>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</si>
  <si>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</si>
  <si>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</si>
  <si>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</si>
  <si>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</si>
  <si>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</si>
  <si>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</si>
  <si>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</si>
  <si>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</si>
  <si>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</si>
  <si>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</si>
  <si>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</si>
  <si>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</si>
  <si>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</si>
  <si>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</si>
  <si>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</si>
  <si>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</si>
  <si>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</si>
  <si>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</si>
  <si>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</si>
  <si>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</si>
  <si>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</si>
  <si>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</si>
  <si>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</si>
  <si>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</si>
  <si>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</si>
  <si>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</si>
  <si>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</si>
  <si>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</si>
  <si>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</si>
  <si>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</si>
  <si>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</si>
  <si>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</si>
  <si>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</si>
  <si>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</si>
  <si>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</si>
  <si>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</si>
  <si>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</si>
  <si>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</si>
  <si>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</si>
  <si>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</si>
  <si>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</si>
  <si>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</si>
  <si>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</si>
  <si>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</si>
  <si>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</si>
  <si>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</si>
  <si>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</si>
  <si>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</si>
  <si>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</si>
  <si>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</si>
  <si>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</si>
  <si>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</si>
  <si>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</si>
  <si>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</si>
  <si>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</si>
  <si>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</si>
  <si>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</si>
  <si>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</si>
  <si>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</si>
  <si>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</si>
  <si>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</si>
  <si>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</si>
  <si>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</si>
  <si>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</si>
  <si>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</si>
  <si>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</si>
  <si>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</si>
  <si>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</si>
  <si>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</si>
  <si>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</si>
  <si>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</si>
  <si>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</si>
  <si>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</si>
  <si>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</si>
  <si>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</si>
  <si>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</si>
  <si>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</si>
  <si>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</si>
  <si>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</si>
  <si>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</si>
  <si>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</si>
  <si>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</si>
  <si>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</si>
  <si>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</si>
  <si>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</si>
  <si>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</si>
  <si>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</si>
  <si>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</si>
  <si>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</si>
  <si>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</si>
  <si>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</si>
  <si>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</si>
  <si>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</si>
  <si>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</si>
  <si>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</si>
  <si>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</si>
  <si>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</si>
  <si>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</si>
  <si>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</si>
  <si>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</si>
  <si>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</si>
  <si>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</si>
  <si>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</si>
  <si>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</si>
  <si>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</si>
  <si>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</si>
  <si>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</si>
  <si>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</si>
  <si>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</si>
  <si>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</si>
  <si>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</si>
  <si>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</si>
  <si>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</si>
  <si>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</si>
  <si>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</si>
  <si>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</si>
  <si>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</si>
  <si>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</si>
  <si>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</si>
  <si>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</si>
  <si>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</si>
  <si>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</si>
  <si>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</si>
  <si>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</si>
  <si>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</si>
  <si>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</si>
  <si>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</si>
  <si>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</si>
  <si>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</si>
  <si>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</si>
  <si>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</si>
  <si>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</si>
  <si>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</si>
  <si>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</si>
  <si>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</si>
  <si>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</si>
  <si>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</si>
  <si>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</si>
  <si>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</si>
  <si>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</si>
  <si>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</si>
  <si>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</si>
  <si>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</si>
  <si>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</si>
  <si>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</si>
  <si>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</si>
  <si>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</si>
  <si>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</si>
  <si>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</si>
  <si>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</si>
  <si>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</si>
  <si>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</si>
  <si>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</si>
  <si>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</si>
  <si>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</si>
  <si>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</si>
  <si>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</si>
  <si>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</si>
  <si>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</si>
  <si>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</si>
  <si>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</si>
  <si>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</si>
  <si>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</si>
  <si>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</si>
  <si>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</si>
  <si>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</si>
  <si>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</si>
  <si>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</si>
  <si>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</si>
  <si>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</si>
  <si>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</si>
  <si>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</si>
  <si>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</si>
  <si>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</si>
  <si>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</si>
  <si>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</si>
  <si>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</si>
  <si>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</si>
  <si>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</si>
  <si>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</si>
  <si>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</si>
  <si>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</si>
  <si>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</si>
  <si>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</si>
  <si>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</si>
  <si>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</si>
  <si>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</si>
  <si>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</si>
  <si>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</si>
  <si>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</si>
  <si>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</si>
  <si>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</si>
  <si>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</si>
  <si>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</si>
  <si>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</si>
  <si>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</si>
  <si>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</si>
  <si>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</si>
  <si>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</si>
  <si>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</si>
  <si>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</si>
  <si>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</si>
  <si>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</si>
  <si>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</si>
  <si>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</si>
  <si>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</si>
  <si>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</si>
  <si>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</si>
  <si>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</si>
  <si>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</si>
  <si>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</si>
  <si>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</si>
  <si>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</si>
  <si>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</si>
  <si>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</si>
  <si>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</si>
  <si>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</si>
  <si>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</si>
  <si>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</si>
  <si>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</si>
  <si>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</si>
  <si>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</si>
  <si>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</si>
  <si>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</si>
  <si>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</si>
  <si>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</si>
  <si>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</si>
  <si>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</si>
  <si>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</si>
  <si>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</si>
  <si>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</si>
  <si>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</si>
  <si>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</si>
  <si>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</si>
  <si>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</si>
  <si>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</si>
  <si>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</si>
  <si>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</si>
  <si>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</si>
  <si>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</si>
  <si>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</si>
  <si>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</si>
  <si>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</si>
  <si>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</si>
  <si>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</si>
  <si>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</si>
  <si>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</si>
  <si>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</si>
  <si>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</si>
  <si>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</si>
  <si>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</si>
  <si>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</si>
  <si>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</si>
  <si>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</si>
  <si>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</si>
  <si>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</si>
  <si>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</si>
  <si>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</si>
  <si>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</si>
  <si>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</si>
  <si>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</si>
  <si>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</si>
  <si>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</si>
  <si>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</si>
  <si>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</si>
  <si>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</si>
  <si>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</si>
  <si>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</si>
  <si>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</si>
  <si>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</si>
  <si>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</si>
  <si>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</si>
  <si>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</si>
  <si>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</si>
  <si>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</si>
  <si>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</si>
  <si>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</si>
  <si>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</si>
  <si>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</si>
  <si>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</si>
  <si>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</si>
  <si>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</si>
  <si>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</si>
  <si>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</si>
  <si>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</si>
  <si>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</si>
  <si>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</si>
  <si>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</si>
  <si>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</si>
  <si>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</si>
  <si>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</si>
  <si>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</si>
  <si>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</si>
  <si>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</si>
  <si>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</si>
  <si>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</si>
  <si>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</si>
  <si>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</si>
  <si>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</si>
  <si>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</si>
  <si>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</si>
  <si>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</si>
  <si>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</si>
  <si>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</si>
  <si>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</si>
  <si>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</si>
  <si>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</si>
  <si>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</si>
  <si>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</si>
  <si>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</si>
  <si>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</si>
  <si>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</si>
  <si>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</si>
  <si>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</si>
  <si>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</si>
  <si>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</si>
  <si>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</si>
  <si>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</si>
  <si>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</si>
  <si>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</si>
  <si>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</si>
  <si>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</si>
  <si>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</si>
  <si>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</si>
  <si>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</si>
  <si>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</si>
  <si>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</si>
  <si>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</si>
  <si>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</si>
  <si>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</si>
  <si>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</si>
  <si>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</si>
  <si>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</si>
  <si>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</si>
  <si>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</si>
  <si>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</si>
  <si>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</si>
  <si>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</si>
  <si>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</si>
  <si>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</si>
  <si>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</si>
  <si>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</si>
  <si>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</si>
  <si>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</si>
  <si>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</si>
  <si>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</si>
  <si>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</si>
  <si>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</si>
  <si>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</si>
  <si>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</si>
  <si>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</si>
  <si>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</si>
  <si>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</si>
  <si>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</si>
  <si>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</si>
  <si>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</si>
  <si>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</si>
  <si>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</si>
  <si>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</si>
  <si>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</si>
  <si>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</si>
  <si>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</si>
  <si>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</si>
  <si>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</si>
  <si>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</si>
  <si>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</si>
  <si>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</si>
  <si>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</si>
  <si>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</si>
  <si>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</si>
  <si>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</si>
  <si>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</si>
  <si>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</si>
  <si>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</si>
  <si>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</si>
  <si>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</si>
  <si>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</si>
  <si>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</si>
  <si>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</si>
  <si>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</si>
  <si>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</si>
  <si>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</si>
  <si>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</si>
  <si>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</si>
  <si>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</si>
  <si>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</si>
  <si>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</si>
  <si>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</si>
  <si>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</si>
  <si>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</si>
  <si>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</si>
  <si>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</si>
  <si>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</si>
  <si>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</si>
  <si>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</si>
  <si>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</si>
  <si>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</si>
  <si>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</si>
  <si>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</si>
  <si>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</si>
  <si>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</si>
  <si>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</si>
  <si>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</si>
  <si>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</si>
  <si>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</si>
  <si>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</si>
  <si>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</si>
  <si>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</si>
  <si>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</si>
  <si>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</si>
  <si>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</si>
  <si>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</si>
  <si>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</si>
  <si>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</si>
  <si>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</si>
  <si>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</si>
  <si>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</si>
  <si>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</si>
  <si>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</si>
  <si>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</si>
  <si>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</si>
  <si>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</si>
  <si>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</si>
  <si>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</si>
  <si>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</si>
  <si>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</si>
  <si>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</si>
  <si>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</si>
  <si>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</si>
  <si>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</si>
  <si>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</si>
  <si>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</si>
  <si>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</si>
  <si>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</si>
  <si>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</si>
  <si>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</si>
  <si>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</si>
  <si>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</si>
  <si>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</si>
  <si>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</si>
  <si>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</si>
  <si>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</si>
  <si>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</si>
  <si>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</si>
  <si>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</si>
  <si>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</si>
  <si>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</si>
  <si>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</si>
  <si>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</si>
  <si>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</si>
  <si>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</si>
  <si>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</si>
  <si>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</si>
  <si>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</si>
  <si>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</si>
  <si>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</si>
  <si>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</si>
  <si>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</si>
  <si>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</si>
  <si>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</si>
  <si>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</si>
  <si>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</si>
  <si>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</si>
  <si>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</si>
  <si>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</si>
  <si>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</si>
  <si>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</si>
  <si>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</si>
  <si>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</si>
  <si>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</si>
  <si>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</si>
  <si>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</si>
  <si>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</si>
  <si>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</si>
  <si>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</si>
  <si>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</si>
  <si>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</si>
  <si>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</si>
  <si>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</si>
  <si>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</si>
  <si>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</si>
  <si>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</si>
  <si>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</si>
  <si>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</si>
  <si>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</si>
  <si>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</si>
  <si>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</si>
  <si>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</si>
  <si>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</si>
  <si>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</si>
  <si>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</si>
  <si>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</si>
  <si>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</si>
  <si>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</si>
  <si>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</si>
  <si>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</si>
  <si>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</si>
  <si>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</si>
  <si>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</si>
  <si>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</si>
  <si>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</si>
  <si>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</si>
  <si>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</si>
  <si>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</si>
  <si>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</si>
  <si>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</si>
  <si>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</si>
  <si>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</si>
  <si>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</si>
  <si>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</si>
  <si>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</si>
  <si>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</si>
  <si>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</si>
  <si>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</si>
  <si>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</si>
  <si>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</si>
  <si>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</si>
  <si>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</si>
  <si>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</si>
  <si>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</si>
  <si>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</si>
  <si>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</si>
  <si>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</si>
  <si>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</si>
  <si>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</si>
  <si>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</si>
  <si>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</si>
  <si>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</si>
  <si>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</si>
  <si>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</si>
  <si>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</si>
  <si>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</si>
  <si>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</si>
  <si>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</si>
  <si>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</si>
  <si>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</si>
  <si>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</si>
  <si>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</si>
  <si>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</si>
  <si>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</si>
  <si>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</si>
  <si>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</si>
  <si>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</si>
  <si>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</si>
  <si>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</si>
  <si>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</si>
  <si>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</si>
  <si>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</si>
  <si>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</si>
  <si>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</si>
  <si>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</si>
  <si>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</si>
  <si>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</si>
  <si>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</si>
  <si>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</si>
  <si>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</si>
  <si>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</si>
  <si>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</si>
  <si>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</si>
  <si>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</si>
  <si>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</si>
  <si>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</si>
  <si>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</si>
  <si>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</si>
  <si>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</si>
  <si>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</si>
  <si>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</si>
  <si>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</si>
  <si>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</si>
  <si>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</si>
  <si>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</si>
  <si>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</si>
  <si>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</si>
  <si>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</si>
  <si>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</si>
  <si>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</si>
  <si>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</si>
  <si>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</si>
  <si>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</si>
  <si>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</si>
  <si>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</si>
  <si>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</si>
  <si>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</si>
  <si>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</si>
  <si>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</si>
  <si>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</si>
  <si>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</si>
  <si>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</si>
  <si>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</si>
  <si>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</si>
  <si>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</si>
  <si>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</si>
  <si>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</si>
  <si>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</si>
  <si>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</si>
  <si>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</si>
  <si>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</si>
  <si>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</si>
  <si>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</si>
  <si>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</si>
  <si>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</si>
  <si>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</si>
  <si>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</si>
  <si>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</si>
  <si>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</si>
  <si>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</si>
  <si>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</si>
  <si>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</si>
  <si>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</si>
  <si>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</si>
  <si>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</si>
  <si>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</si>
  <si>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</si>
  <si>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</si>
  <si>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</si>
  <si>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</si>
  <si>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</si>
  <si>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</si>
  <si>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</si>
  <si>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</si>
  <si>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</si>
  <si>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</si>
  <si>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</si>
  <si>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</si>
  <si>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</si>
  <si>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</si>
  <si>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</si>
  <si>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</si>
  <si>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</si>
  <si>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</si>
  <si>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</si>
  <si>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</si>
  <si>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</si>
  <si>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</si>
  <si>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</si>
  <si>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</si>
  <si>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</si>
  <si>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</si>
  <si>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</si>
  <si>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</si>
  <si>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</si>
  <si>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</si>
  <si>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</si>
  <si>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</si>
  <si>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</si>
  <si>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</si>
  <si>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</si>
  <si>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</si>
  <si>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</si>
  <si>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</si>
  <si>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</si>
  <si>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</si>
  <si>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</si>
  <si>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</si>
  <si>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</si>
  <si>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</si>
  <si>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</si>
  <si>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</si>
  <si>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</si>
  <si>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</si>
  <si>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</si>
  <si>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</si>
  <si>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</si>
  <si>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</si>
  <si>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</si>
  <si>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</si>
  <si>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</si>
  <si>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</si>
  <si>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</si>
  <si>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</si>
  <si>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</si>
  <si>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</si>
  <si>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</si>
  <si>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</si>
  <si>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</si>
  <si>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</si>
  <si>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</si>
  <si>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</si>
  <si>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</si>
  <si>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</si>
  <si>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</si>
  <si>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</si>
  <si>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</si>
  <si>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</si>
  <si>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</si>
  <si>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</si>
  <si>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</si>
  <si>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</si>
  <si>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</si>
  <si>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</si>
  <si>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</si>
  <si>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</si>
  <si>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</si>
  <si>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</si>
  <si>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</si>
  <si>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</si>
  <si>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</si>
  <si>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</si>
  <si>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</si>
  <si>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</si>
  <si>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</si>
  <si>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</si>
  <si>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</si>
  <si>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</si>
  <si>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</si>
  <si>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</si>
  <si>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</si>
  <si>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</si>
  <si>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</si>
  <si>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</si>
  <si>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</si>
  <si>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</si>
  <si>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</si>
  <si>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</si>
  <si>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</si>
  <si>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</si>
  <si>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</si>
  <si>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</si>
  <si>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</si>
  <si>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</si>
  <si>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</si>
  <si>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</si>
  <si>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</si>
  <si>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</si>
  <si>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</si>
  <si>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</si>
  <si>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</si>
  <si>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</si>
  <si>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</si>
  <si>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</si>
  <si>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</si>
  <si>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</si>
  <si>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</si>
  <si>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</si>
  <si>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</si>
  <si>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</si>
  <si>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</si>
  <si>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</si>
  <si>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</si>
  <si>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</si>
  <si>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</si>
  <si>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</si>
  <si>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</si>
  <si>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</si>
  <si>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</si>
  <si>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</si>
  <si>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</si>
  <si>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</si>
  <si>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</si>
  <si>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</si>
  <si>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</si>
  <si>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</si>
  <si>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</si>
  <si>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</si>
  <si>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</si>
  <si>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</si>
  <si>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</si>
  <si>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</si>
  <si>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</si>
  <si>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</si>
  <si>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</si>
  <si>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</si>
  <si>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</si>
  <si>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</si>
  <si>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</si>
  <si>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</si>
  <si>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</si>
  <si>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</si>
  <si>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</si>
  <si>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</si>
  <si>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</si>
  <si>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</si>
  <si>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</si>
  <si>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</si>
  <si>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</si>
  <si>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</si>
  <si>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</si>
  <si>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</si>
  <si>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</si>
  <si>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</si>
  <si>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</si>
  <si>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</si>
  <si>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</si>
  <si>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</si>
  <si>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</si>
  <si>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</si>
  <si>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</si>
  <si>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</si>
  <si>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</si>
  <si>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</si>
  <si>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</si>
  <si>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</si>
  <si>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</si>
  <si>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</si>
  <si>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</si>
  <si>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</si>
  <si>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</si>
  <si>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</si>
  <si>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</si>
  <si>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</si>
  <si>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</si>
  <si>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</si>
  <si>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</si>
  <si>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</si>
  <si>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</si>
  <si>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</si>
  <si>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</si>
  <si>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</si>
  <si>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</si>
  <si>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</si>
  <si>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</si>
  <si>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</si>
  <si>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</si>
  <si>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</si>
  <si>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</si>
  <si>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</si>
  <si>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</si>
  <si>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</si>
  <si>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</si>
  <si>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</si>
  <si>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</si>
  <si>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</si>
  <si>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</si>
  <si>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</si>
  <si>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</si>
  <si>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</si>
  <si>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</si>
  <si>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</si>
  <si>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</si>
  <si>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</si>
  <si>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</si>
  <si>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</si>
  <si>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</si>
  <si>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</si>
  <si>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</si>
  <si>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</si>
  <si>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</si>
  <si>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</si>
  <si>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</si>
  <si>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</si>
  <si>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</si>
  <si>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</si>
  <si>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</si>
  <si>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</si>
  <si>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</si>
  <si>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</si>
  <si>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</si>
  <si>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</si>
  <si>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</si>
  <si>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</si>
  <si>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</si>
  <si>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</si>
  <si>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</si>
  <si>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</si>
  <si>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</si>
  <si>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</si>
  <si>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</si>
  <si>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</si>
  <si>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</si>
  <si>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</si>
  <si>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</si>
  <si>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</si>
  <si>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</si>
  <si>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</si>
  <si>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</si>
  <si>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</si>
  <si>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</si>
  <si>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</si>
  <si>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</si>
  <si>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</si>
  <si>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</si>
  <si>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</si>
  <si>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</si>
  <si>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</si>
  <si>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</si>
  <si>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</si>
  <si>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</si>
  <si>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</si>
  <si>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</si>
  <si>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</si>
  <si>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</si>
  <si>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</si>
  <si>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</si>
  <si>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</si>
  <si>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</si>
  <si>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</si>
  <si>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</si>
  <si>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</si>
  <si>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</si>
  <si>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</si>
  <si>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</si>
  <si>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</si>
  <si>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</si>
  <si>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</si>
  <si>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</si>
  <si>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</si>
  <si>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</si>
  <si>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</si>
  <si>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</si>
  <si>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</si>
  <si>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</si>
  <si>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</si>
  <si>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</si>
  <si>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</si>
  <si>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</si>
  <si>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</si>
  <si>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</si>
  <si>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</si>
  <si>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</si>
  <si>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</si>
  <si>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</si>
  <si>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</si>
  <si>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</si>
  <si>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</si>
  <si>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</si>
  <si>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</si>
  <si>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</si>
  <si>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</si>
  <si>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</si>
  <si>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</si>
  <si>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</si>
  <si>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</si>
  <si>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</si>
  <si>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</si>
  <si>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</si>
  <si>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</si>
  <si>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</si>
  <si>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</si>
  <si>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</si>
  <si>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</si>
  <si>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</si>
  <si>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</si>
  <si>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</si>
  <si>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</si>
  <si>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</si>
  <si>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</si>
  <si>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</si>
  <si>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</si>
  <si>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</si>
  <si>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</si>
  <si>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</si>
  <si>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</si>
  <si>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</si>
  <si>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</si>
  <si>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</si>
  <si>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</si>
  <si>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</si>
  <si>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</si>
  <si>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</si>
  <si>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</si>
  <si>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</si>
  <si>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</si>
  <si>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</si>
  <si>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</si>
  <si>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</si>
  <si>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</si>
  <si>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</si>
  <si>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</si>
  <si>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</si>
  <si>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</si>
  <si>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</si>
  <si>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</si>
  <si>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</si>
  <si>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</si>
  <si>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</si>
  <si>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</si>
  <si>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</si>
  <si>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</si>
  <si>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</si>
  <si>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</si>
  <si>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</si>
  <si>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</si>
  <si>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</si>
  <si>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</si>
  <si>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</si>
  <si>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</si>
  <si>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</si>
  <si>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</si>
  <si>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</si>
  <si>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</si>
  <si>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</si>
  <si>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</si>
  <si>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</si>
  <si>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</si>
  <si>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</si>
  <si>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</si>
  <si>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</si>
  <si>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</si>
  <si>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</si>
  <si>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</si>
  <si>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</si>
  <si>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</si>
  <si>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</si>
  <si>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</si>
  <si>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</si>
  <si>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</si>
  <si>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</si>
  <si>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</si>
  <si>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</si>
  <si>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</si>
  <si>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</si>
  <si>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</si>
  <si>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</si>
  <si>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</si>
  <si>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</si>
  <si>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</si>
  <si>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</si>
  <si>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</si>
  <si>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</si>
  <si>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</si>
  <si>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</si>
  <si>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</si>
  <si>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</si>
  <si>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</si>
  <si>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</si>
  <si>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</si>
  <si>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</si>
  <si>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</si>
  <si>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</si>
  <si>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</si>
  <si>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</si>
  <si>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</si>
  <si>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</si>
  <si>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</si>
  <si>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</si>
  <si>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</si>
  <si>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</si>
  <si>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</si>
  <si>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</si>
  <si>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</si>
  <si>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</si>
  <si>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</si>
  <si>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</si>
  <si>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</si>
  <si>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</si>
  <si>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</si>
  <si>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</si>
  <si>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</si>
  <si>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</si>
  <si>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</si>
  <si>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</si>
  <si>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</si>
  <si>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</si>
  <si>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</si>
  <si>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</si>
  <si>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</si>
  <si>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</si>
  <si>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</si>
  <si>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</si>
  <si>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</si>
  <si>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</si>
  <si>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</si>
  <si>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</si>
  <si>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</si>
  <si>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</si>
  <si>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</si>
  <si>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</si>
  <si>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</si>
  <si>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</si>
  <si>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</si>
  <si>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</si>
  <si>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</si>
  <si>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</si>
  <si>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</si>
  <si>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</si>
  <si>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</si>
  <si>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</si>
  <si>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</si>
  <si>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</si>
  <si>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</si>
  <si>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</si>
  <si>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</si>
  <si>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</si>
  <si>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</si>
  <si>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</si>
  <si>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</si>
  <si>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</si>
  <si>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</si>
  <si>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</si>
  <si>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</si>
  <si>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</si>
  <si>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</si>
  <si>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</si>
  <si>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</si>
  <si>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</si>
  <si>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</si>
  <si>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</si>
  <si>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</si>
  <si>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</si>
  <si>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</si>
  <si>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</si>
  <si>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</si>
  <si>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</si>
  <si>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</si>
  <si>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</si>
  <si>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</si>
  <si>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</si>
  <si>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</si>
  <si>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</si>
  <si>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</si>
  <si>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</si>
  <si>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</si>
  <si>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</si>
  <si>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</si>
  <si>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</si>
  <si>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</si>
  <si>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</si>
  <si>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</si>
  <si>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</si>
  <si>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</si>
  <si>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</si>
  <si>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</si>
  <si>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</si>
  <si>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</si>
  <si>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</si>
  <si>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</si>
  <si>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</si>
  <si>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</si>
  <si>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</si>
  <si>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</si>
  <si>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</si>
  <si>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</si>
  <si>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</si>
  <si>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</si>
  <si>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</si>
  <si>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</si>
  <si>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</si>
  <si>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</si>
  <si>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</si>
  <si>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</si>
  <si>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</si>
  <si>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</si>
  <si>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</si>
  <si>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</si>
  <si>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</si>
  <si>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</si>
  <si>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</si>
  <si>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</si>
  <si>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</si>
  <si>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</si>
  <si>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</si>
  <si>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</si>
  <si>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</si>
  <si>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</si>
  <si>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</si>
  <si>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</si>
  <si>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</si>
  <si>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</si>
  <si>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</si>
  <si>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</si>
  <si>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</si>
  <si>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</si>
  <si>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</si>
  <si>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</si>
  <si>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</si>
  <si>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</si>
  <si>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</si>
  <si>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</si>
  <si>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</si>
  <si>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</si>
  <si>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</si>
  <si>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</si>
  <si>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</si>
  <si>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</si>
  <si>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</si>
  <si>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</si>
  <si>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</si>
  <si>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</si>
  <si>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</si>
  <si>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</si>
  <si>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</si>
  <si>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</si>
  <si>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</si>
  <si>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</si>
  <si>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</si>
  <si>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</si>
  <si>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</si>
  <si>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</si>
  <si>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</si>
  <si>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</si>
  <si>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</si>
  <si>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</si>
  <si>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</si>
  <si>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</si>
  <si>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</si>
  <si>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</si>
  <si>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</si>
  <si>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</si>
  <si>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</si>
  <si>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</si>
  <si>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</si>
  <si>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</si>
  <si>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</si>
  <si>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</si>
  <si>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</si>
  <si>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</si>
  <si>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</si>
  <si>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</si>
  <si>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</si>
  <si>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</si>
  <si>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</si>
  <si>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</si>
  <si>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</si>
  <si>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</si>
  <si>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</si>
  <si>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</si>
  <si>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</si>
  <si>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</si>
  <si>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</si>
  <si>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</si>
  <si>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</si>
  <si>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</si>
  <si>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</si>
  <si>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</si>
  <si>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</si>
  <si>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</si>
  <si>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</si>
  <si>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</si>
  <si>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</si>
  <si>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</si>
  <si>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</si>
  <si>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</si>
  <si>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</si>
  <si>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</si>
  <si>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</si>
  <si>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</si>
  <si>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</si>
  <si>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</si>
  <si>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</si>
  <si>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</si>
  <si>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</si>
  <si>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</si>
  <si>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</si>
  <si>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</si>
  <si>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</si>
  <si>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</si>
  <si>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</si>
  <si>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</si>
  <si>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</si>
  <si>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</si>
  <si>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</si>
  <si>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</si>
  <si>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</si>
  <si>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</si>
  <si>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</si>
  <si>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</si>
  <si>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</si>
  <si>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</si>
  <si>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</si>
  <si>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</si>
  <si>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</si>
  <si>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</si>
  <si>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</si>
  <si>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</si>
  <si>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</si>
  <si>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</si>
  <si>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</si>
  <si>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</si>
  <si>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</si>
  <si>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</si>
  <si>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</si>
  <si>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</si>
  <si>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</si>
  <si>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</si>
  <si>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</si>
  <si>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</si>
  <si>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</si>
  <si>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</si>
  <si>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</si>
  <si>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</si>
  <si>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</si>
  <si>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</si>
  <si>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</si>
  <si>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</si>
  <si>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</si>
  <si>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</si>
  <si>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</si>
  <si>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</si>
  <si>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</si>
  <si>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</si>
  <si>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</si>
  <si>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</si>
  <si>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</si>
  <si>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</si>
  <si>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</si>
  <si>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</si>
  <si>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</si>
  <si>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</si>
  <si>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</si>
  <si>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</si>
  <si>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</si>
  <si>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</si>
  <si>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</si>
  <si>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</si>
  <si>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</si>
  <si>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</si>
  <si>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</si>
  <si>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</si>
  <si>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</si>
  <si>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</si>
  <si>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</si>
  <si>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</si>
  <si>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</si>
  <si>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</si>
  <si>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</si>
  <si>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</si>
  <si>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</si>
  <si>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</si>
  <si>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</si>
  <si>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</si>
  <si>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</si>
  <si>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</si>
  <si>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</si>
  <si>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</si>
  <si>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</si>
  <si>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</si>
  <si>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</si>
  <si>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</si>
  <si>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</si>
  <si>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</si>
  <si>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</si>
  <si>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</si>
  <si>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</si>
  <si>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</si>
  <si>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</si>
  <si>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</si>
  <si>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</si>
  <si>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</si>
  <si>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</si>
  <si>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</si>
  <si>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</si>
  <si>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</si>
  <si>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</si>
  <si>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</si>
  <si>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</si>
  <si>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</si>
  <si>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</si>
  <si>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</si>
  <si>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</si>
  <si>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</si>
  <si>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</si>
  <si>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</si>
  <si>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</si>
  <si>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</si>
  <si>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</si>
  <si>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</si>
  <si>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</si>
  <si>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</si>
  <si>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</si>
  <si>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</si>
  <si>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</si>
  <si>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</si>
  <si>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</si>
  <si>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</si>
  <si>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</si>
  <si>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</si>
  <si>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</si>
  <si>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</si>
  <si>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</si>
  <si>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</si>
  <si>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</si>
  <si>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</si>
  <si>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</si>
  <si>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</si>
  <si>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</si>
  <si>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</si>
  <si>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</si>
  <si>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</si>
  <si>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</si>
  <si>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</si>
  <si>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</si>
  <si>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</si>
  <si>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</si>
  <si>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</si>
  <si>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</si>
  <si>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</si>
  <si>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</si>
  <si>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</si>
  <si>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</si>
  <si>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</si>
  <si>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</si>
  <si>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</si>
  <si>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</si>
  <si>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</si>
  <si>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</si>
  <si>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</si>
  <si>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</si>
  <si>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</si>
  <si>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</si>
  <si>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</si>
  <si>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</si>
  <si>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</si>
  <si>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</si>
  <si>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</si>
  <si>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</si>
  <si>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</si>
  <si>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</si>
  <si>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</si>
  <si>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</si>
  <si>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</si>
  <si>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</si>
  <si>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</si>
  <si>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</si>
  <si>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</si>
  <si>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</si>
  <si>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</si>
  <si>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</si>
  <si>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</si>
  <si>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</si>
  <si>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</si>
  <si>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</si>
  <si>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</si>
  <si>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</si>
  <si>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</si>
  <si>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</si>
  <si>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</si>
  <si>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</si>
  <si>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</si>
  <si>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</si>
  <si>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</si>
  <si>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</si>
  <si>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</si>
  <si>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</si>
  <si>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</si>
  <si>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</si>
  <si>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</si>
  <si>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</si>
  <si>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</si>
  <si>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</si>
  <si>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</si>
  <si>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</si>
  <si>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</si>
  <si>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</si>
  <si>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</si>
  <si>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</si>
  <si>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</si>
  <si>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</si>
  <si>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</si>
  <si>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</si>
  <si>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</si>
  <si>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</si>
  <si>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</si>
  <si>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</si>
  <si>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</si>
  <si>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</si>
  <si>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</si>
  <si>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</si>
  <si>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</si>
  <si>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</si>
  <si>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</si>
  <si>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</si>
  <si>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</si>
  <si>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</si>
  <si>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</si>
  <si>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</si>
  <si>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</si>
  <si>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</si>
  <si>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</si>
  <si>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</si>
  <si>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</si>
  <si>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</si>
  <si>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</si>
  <si>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</si>
  <si>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</si>
  <si>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</si>
  <si>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</si>
  <si>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</si>
  <si>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</si>
  <si>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</si>
  <si>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</si>
  <si>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</si>
  <si>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</si>
  <si>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</si>
  <si>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</si>
  <si>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</si>
  <si>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</si>
  <si>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</si>
  <si>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</si>
  <si>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</si>
  <si>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</si>
  <si>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</si>
  <si>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</si>
  <si>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</si>
  <si>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</si>
  <si>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</si>
  <si>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</si>
  <si>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</si>
  <si>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</si>
  <si>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</si>
  <si>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</si>
  <si>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</si>
  <si>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</si>
  <si>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</si>
  <si>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</si>
  <si>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</si>
  <si>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</si>
  <si>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</si>
  <si>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</si>
  <si>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</si>
  <si>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</si>
  <si>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</si>
  <si>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</si>
  <si>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</si>
  <si>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</si>
  <si>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</si>
  <si>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</si>
  <si>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</si>
  <si>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</si>
  <si>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</si>
  <si>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</si>
  <si>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</si>
  <si>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</si>
  <si>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</si>
  <si>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</si>
  <si>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</si>
  <si>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</si>
  <si>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</si>
  <si>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</si>
  <si>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</si>
  <si>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</si>
  <si>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</si>
  <si>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</si>
  <si>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</si>
  <si>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</si>
  <si>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</si>
  <si>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</si>
  <si>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</si>
  <si>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</si>
  <si>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</si>
  <si>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</si>
  <si>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</si>
  <si>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</si>
  <si>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</si>
  <si>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</si>
  <si>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</si>
  <si>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</si>
  <si>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</si>
  <si>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</si>
  <si>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</si>
  <si>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</si>
  <si>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</si>
  <si>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</si>
  <si>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</si>
  <si>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</si>
  <si>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</si>
  <si>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</si>
  <si>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</si>
  <si>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</si>
  <si>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</si>
  <si>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</si>
  <si>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</si>
  <si>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</si>
  <si>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</si>
  <si>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</si>
  <si>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</si>
  <si>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</si>
  <si>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</si>
  <si>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</si>
  <si>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</si>
  <si>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</si>
  <si>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</si>
  <si>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</si>
  <si>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</si>
  <si>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</si>
  <si>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</si>
  <si>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</si>
  <si>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</si>
  <si>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</si>
  <si>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</si>
  <si>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</si>
  <si>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</si>
  <si>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</si>
  <si>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</si>
  <si>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</si>
  <si>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</si>
  <si>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</si>
  <si>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</si>
  <si>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</si>
  <si>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</si>
  <si>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</si>
  <si>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</si>
  <si>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</si>
  <si>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</si>
  <si>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</si>
  <si>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</si>
  <si>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</si>
  <si>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</si>
  <si>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</si>
  <si>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</si>
  <si>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</si>
  <si>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</si>
  <si>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</si>
  <si>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</si>
  <si>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</si>
  <si>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</si>
  <si>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</si>
  <si>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</si>
  <si>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</si>
  <si>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</si>
  <si>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</si>
  <si>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</si>
  <si>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</si>
  <si>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</si>
  <si>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</si>
  <si>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</si>
  <si>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</si>
  <si>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</si>
  <si>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</si>
  <si>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</si>
  <si>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</si>
  <si>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</si>
  <si>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</si>
  <si>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</si>
  <si>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</si>
  <si>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</si>
  <si>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</si>
  <si>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</si>
  <si>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</si>
  <si>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</si>
  <si>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</si>
  <si>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</si>
  <si>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</si>
  <si>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</si>
  <si>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</si>
  <si>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</si>
  <si>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</si>
  <si>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</si>
  <si>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</si>
  <si>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</si>
  <si>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</si>
  <si>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</si>
  <si>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</si>
  <si>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</si>
  <si>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</si>
  <si>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</si>
  <si>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</si>
  <si>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</si>
  <si>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</si>
  <si>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</si>
  <si>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</si>
  <si>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</si>
  <si>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</si>
  <si>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</si>
  <si>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</si>
  <si>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</si>
  <si>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</si>
  <si>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</si>
  <si>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</si>
  <si>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</si>
  <si>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</si>
  <si>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</si>
  <si>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</si>
  <si>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</si>
  <si>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</si>
  <si>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</si>
  <si>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</si>
  <si>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</si>
  <si>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</si>
  <si>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</si>
  <si>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</si>
  <si>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</si>
  <si>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</si>
  <si>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</si>
  <si>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</si>
  <si>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</si>
  <si>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</si>
  <si>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</si>
  <si>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</si>
  <si>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</si>
  <si>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</si>
  <si>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</si>
  <si>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</si>
  <si>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</si>
  <si>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</si>
  <si>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</si>
  <si>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</si>
  <si>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</si>
  <si>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</si>
  <si>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</si>
  <si>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</si>
  <si>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</si>
  <si>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</si>
  <si>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</si>
  <si>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</si>
  <si>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</si>
  <si>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</si>
  <si>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</si>
  <si>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</si>
  <si>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</si>
  <si>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</si>
  <si>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</si>
  <si>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</si>
  <si>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</si>
  <si>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</si>
  <si>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</si>
  <si>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</si>
  <si>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</si>
  <si>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</si>
  <si>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</si>
  <si>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</si>
  <si>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</si>
  <si>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</si>
  <si>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</si>
  <si>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</si>
  <si>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</si>
  <si>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</si>
  <si>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</si>
  <si>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</si>
  <si>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</si>
  <si>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</si>
  <si>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</si>
  <si>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</si>
  <si>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</si>
  <si>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</si>
  <si>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</si>
  <si>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</si>
  <si>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</si>
  <si>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</si>
  <si>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</si>
  <si>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</si>
  <si>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</si>
  <si>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</si>
  <si>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</si>
  <si>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</si>
  <si>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</si>
  <si>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</si>
  <si>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</si>
  <si>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</si>
  <si>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</si>
  <si>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</si>
  <si>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</si>
  <si>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</si>
  <si>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</si>
  <si>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</si>
  <si>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</si>
  <si>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</si>
  <si>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</si>
  <si>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</si>
  <si>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</si>
  <si>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</si>
  <si>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</si>
  <si>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</si>
  <si>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</si>
  <si>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</si>
  <si>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</si>
  <si>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</si>
  <si>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</si>
  <si>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</si>
  <si>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</si>
  <si>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</si>
  <si>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</si>
  <si>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</si>
  <si>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</si>
  <si>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</si>
  <si>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</si>
  <si>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</si>
  <si>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</si>
  <si>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</si>
  <si>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</si>
  <si>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</si>
  <si>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</si>
  <si>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</si>
  <si>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</si>
  <si>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</si>
  <si>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</si>
  <si>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</si>
  <si>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</si>
  <si>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</si>
  <si>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</si>
  <si>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</si>
  <si>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</si>
  <si>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</si>
  <si>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</si>
  <si>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</si>
  <si>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</si>
  <si>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</si>
  <si>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</si>
  <si>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</si>
  <si>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</si>
  <si>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</si>
  <si>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</si>
  <si>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</si>
  <si>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</si>
  <si>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</si>
  <si>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</si>
  <si>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</si>
  <si>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</si>
  <si>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</si>
  <si>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</si>
  <si>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</si>
  <si>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</si>
  <si>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</si>
  <si>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</si>
  <si>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</si>
  <si>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</si>
  <si>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</si>
  <si>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</si>
  <si>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</si>
  <si>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</si>
  <si>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</si>
  <si>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</si>
  <si>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</si>
  <si>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</si>
  <si>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</si>
  <si>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</si>
  <si>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</si>
  <si>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</si>
  <si>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</si>
  <si>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</si>
  <si>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</si>
  <si>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</si>
  <si>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</si>
  <si>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</si>
  <si>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</si>
  <si>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</si>
  <si>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</si>
  <si>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</si>
  <si>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</si>
  <si>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</si>
  <si>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</si>
  <si>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</si>
  <si>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</si>
  <si>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</si>
  <si>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</si>
  <si>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</si>
  <si>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</si>
  <si>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</si>
  <si>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</si>
  <si>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</si>
  <si>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</si>
  <si>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</si>
  <si>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</si>
  <si>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</si>
  <si>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</si>
  <si>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</si>
  <si>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</si>
  <si>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</si>
  <si>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</si>
  <si>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</si>
  <si>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</si>
  <si>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</si>
  <si>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</si>
  <si>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</si>
  <si>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</si>
  <si>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</si>
  <si>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</si>
  <si>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</si>
  <si>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</si>
  <si>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</si>
  <si>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</si>
  <si>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</si>
  <si>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</si>
  <si>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</si>
  <si>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</si>
  <si>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</si>
  <si>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</si>
  <si>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</si>
  <si>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</si>
  <si>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</si>
  <si>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</si>
  <si>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</si>
  <si>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</si>
  <si>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</si>
  <si>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</si>
  <si>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</si>
  <si>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</si>
  <si>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</si>
  <si>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</si>
  <si>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</si>
  <si>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</si>
  <si>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</si>
  <si>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</si>
  <si>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</si>
  <si>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</si>
  <si>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</si>
  <si>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</si>
  <si>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</si>
  <si>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</si>
  <si>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</si>
  <si>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</si>
  <si>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</si>
  <si>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</si>
  <si>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</si>
  <si>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</si>
  <si>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</si>
  <si>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</si>
  <si>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</si>
  <si>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</si>
  <si>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</si>
  <si>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</si>
  <si>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</si>
  <si>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</si>
  <si>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</si>
  <si>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</si>
  <si>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</si>
  <si>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</si>
  <si>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</si>
  <si>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</si>
  <si>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</si>
  <si>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</si>
  <si>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</si>
  <si>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</si>
  <si>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</si>
  <si>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</si>
  <si>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</si>
  <si>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</si>
  <si>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</si>
  <si>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</si>
  <si>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</si>
  <si>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</si>
  <si>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</si>
  <si>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</si>
  <si>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</si>
  <si>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</si>
  <si>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</si>
  <si>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</si>
  <si>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</si>
  <si>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</si>
  <si>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</si>
  <si>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</si>
  <si>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</si>
  <si>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</si>
  <si>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</si>
  <si>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</si>
  <si>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</si>
  <si>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</si>
  <si>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</si>
  <si>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</si>
  <si>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</si>
  <si>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</si>
  <si>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</si>
  <si>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</si>
  <si>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</si>
  <si>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</si>
  <si>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</si>
  <si>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</si>
  <si>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</si>
  <si>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</si>
  <si>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</si>
  <si>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</si>
  <si>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</si>
  <si>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</si>
  <si>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</si>
  <si>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</si>
  <si>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</si>
  <si>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</si>
  <si>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</si>
  <si>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</si>
  <si>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</si>
  <si>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</si>
  <si>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</si>
  <si>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</si>
  <si>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</si>
  <si>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</si>
  <si>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</si>
  <si>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</si>
  <si>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</si>
  <si>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</si>
  <si>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</si>
  <si>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</si>
  <si>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</si>
  <si>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</si>
  <si>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</si>
  <si>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</si>
  <si>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</si>
  <si>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</si>
  <si>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</si>
  <si>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</si>
  <si>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</si>
  <si>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</si>
  <si>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</si>
  <si>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</si>
  <si>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</si>
  <si>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</si>
  <si>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</si>
  <si>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</si>
  <si>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</si>
  <si>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</si>
  <si>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</si>
  <si>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</si>
  <si>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</si>
  <si>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</si>
  <si>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</si>
  <si>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</si>
  <si>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</si>
  <si>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</si>
  <si>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</si>
  <si>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</si>
  <si>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</si>
  <si>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</si>
  <si>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</si>
  <si>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</si>
  <si>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</si>
  <si>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</si>
  <si>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</si>
  <si>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</si>
  <si>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</si>
  <si>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</si>
  <si>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</si>
  <si>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</si>
  <si>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</si>
  <si>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</si>
  <si>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</si>
  <si>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</si>
  <si>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</si>
  <si>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</si>
  <si>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</si>
  <si>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</si>
  <si>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</si>
  <si>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</si>
  <si>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</si>
  <si>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</si>
  <si>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</si>
  <si>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</si>
  <si>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</si>
  <si>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</si>
  <si>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</si>
  <si>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</si>
  <si>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</si>
  <si>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</si>
  <si>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</si>
  <si>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</si>
  <si>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</si>
  <si>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</si>
  <si>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</si>
  <si>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</si>
  <si>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</si>
  <si>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</si>
  <si>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</si>
  <si>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</si>
  <si>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</si>
  <si>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</si>
  <si>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</si>
  <si>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</si>
  <si>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</si>
  <si>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</si>
  <si>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</si>
  <si>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</si>
  <si>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</si>
  <si>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</si>
  <si>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</si>
  <si>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</si>
  <si>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</si>
  <si>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</si>
  <si>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</si>
  <si>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</si>
  <si>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</si>
  <si>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</si>
  <si>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</si>
  <si>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</si>
  <si>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</si>
  <si>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</si>
  <si>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</si>
  <si>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</si>
  <si>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</si>
  <si>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</si>
  <si>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</si>
  <si>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</si>
  <si>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</si>
  <si>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</si>
  <si>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</si>
  <si>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</si>
  <si>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</si>
  <si>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</si>
  <si>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</si>
  <si>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</si>
  <si>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</si>
  <si>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</si>
  <si>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</si>
  <si>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</si>
  <si>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</si>
  <si>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</si>
  <si>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</si>
  <si>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</si>
  <si>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</si>
  <si>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</si>
  <si>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</si>
  <si>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</si>
  <si>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</si>
  <si>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</si>
  <si>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</si>
  <si>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</si>
  <si>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</si>
  <si>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</si>
  <si>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</si>
  <si>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</si>
  <si>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</si>
  <si>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</si>
  <si>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</si>
  <si>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</si>
  <si>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</si>
  <si>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</si>
  <si>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</si>
  <si>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</si>
  <si>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</si>
  <si>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</si>
  <si>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</si>
  <si>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</si>
  <si>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</si>
  <si>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</si>
  <si>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</si>
  <si>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</si>
  <si>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</si>
  <si>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</si>
  <si>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</si>
  <si>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</si>
  <si>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</si>
  <si>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</si>
  <si>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</si>
  <si>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</si>
  <si>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</si>
  <si>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</si>
  <si>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</si>
  <si>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</si>
  <si>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</si>
  <si>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</si>
  <si>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</si>
  <si>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</si>
  <si>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</si>
  <si>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</si>
  <si>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</si>
  <si>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</si>
  <si>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</si>
  <si>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</si>
  <si>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</si>
  <si>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</si>
  <si>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</si>
  <si>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</si>
  <si>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</si>
  <si>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</si>
  <si>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</si>
  <si>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</si>
  <si>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</si>
  <si>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</si>
  <si>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</si>
  <si>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</si>
  <si>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</si>
  <si>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</si>
  <si>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</si>
  <si>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</si>
  <si>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</si>
  <si>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</si>
  <si>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</si>
  <si>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</si>
  <si>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</si>
  <si>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</si>
  <si>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</si>
  <si>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</si>
  <si>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</si>
  <si>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</si>
  <si>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</si>
  <si>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</si>
  <si>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</si>
  <si>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</si>
  <si>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</si>
  <si>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</si>
  <si>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</si>
  <si>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</si>
  <si>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</si>
  <si>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</si>
  <si>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</si>
  <si>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</si>
  <si>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</si>
  <si>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</si>
  <si>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</si>
  <si>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</si>
  <si>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</si>
  <si>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</si>
  <si>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</si>
  <si>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</si>
  <si>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</si>
  <si>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</si>
  <si>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</si>
  <si>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</si>
  <si>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</si>
  <si>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</si>
  <si>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</si>
  <si>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</si>
  <si>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</si>
  <si>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</si>
  <si>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</si>
  <si>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</si>
  <si>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</si>
  <si>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</si>
  <si>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</si>
  <si>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</si>
  <si>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</si>
  <si>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</si>
  <si>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</si>
  <si>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</si>
  <si>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</si>
  <si>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</si>
  <si>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</si>
  <si>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</si>
  <si>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</si>
  <si>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</si>
  <si>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</si>
  <si>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</si>
  <si>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</si>
  <si>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</si>
  <si>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</si>
  <si>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</si>
  <si>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</si>
  <si>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</si>
  <si>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</si>
  <si>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</si>
  <si>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</si>
  <si>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</si>
  <si>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</si>
  <si>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</si>
  <si>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</si>
  <si>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</si>
  <si>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</si>
  <si>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</si>
  <si>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</si>
  <si>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</si>
  <si>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</si>
  <si>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</si>
  <si>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</si>
  <si>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</si>
  <si>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</si>
  <si>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</si>
  <si>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</si>
  <si>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</si>
  <si>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</si>
  <si>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</si>
  <si>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</si>
  <si>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</si>
  <si>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</si>
  <si>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</si>
  <si>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</si>
  <si>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</si>
  <si>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</si>
  <si>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</si>
  <si>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</si>
  <si>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</si>
  <si>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</si>
  <si>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</si>
  <si>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</si>
  <si>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</si>
  <si>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</si>
  <si>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</si>
  <si>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</si>
  <si>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</si>
  <si>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</si>
  <si>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</si>
  <si>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</si>
  <si>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</si>
  <si>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</si>
  <si>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</si>
  <si>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</si>
  <si>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</si>
  <si>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</si>
  <si>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</si>
  <si>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</si>
  <si>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</si>
  <si>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</si>
  <si>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</si>
  <si>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</si>
  <si>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</si>
  <si>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</si>
  <si>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</si>
  <si>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</si>
  <si>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</si>
  <si>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</si>
  <si>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</si>
  <si>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</si>
  <si>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</si>
  <si>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</si>
  <si>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</si>
  <si>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</si>
  <si>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</si>
  <si>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</si>
  <si>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</si>
  <si>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</si>
  <si>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</si>
  <si>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</si>
  <si>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</si>
  <si>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</si>
  <si>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</si>
  <si>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</si>
  <si>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</si>
  <si>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</si>
  <si>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</si>
  <si>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</si>
  <si>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</si>
  <si>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</si>
  <si>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</si>
  <si>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</si>
  <si>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</si>
  <si>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</si>
  <si>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</si>
  <si>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</si>
  <si>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</si>
  <si>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</si>
  <si>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</si>
  <si>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</si>
  <si>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</si>
  <si>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</si>
  <si>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</si>
  <si>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</si>
  <si>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</si>
  <si>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</si>
  <si>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</si>
  <si>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</si>
  <si>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</si>
  <si>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</si>
  <si>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</si>
  <si>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</si>
  <si>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</si>
  <si>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</si>
  <si>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</si>
  <si>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</si>
  <si>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</si>
  <si>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</si>
  <si>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</si>
  <si>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</si>
  <si>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</si>
  <si>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</si>
  <si>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</si>
  <si>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</si>
  <si>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</si>
  <si>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</si>
  <si>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</si>
  <si>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</si>
  <si>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</si>
  <si>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</si>
  <si>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</si>
  <si>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</si>
  <si>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</si>
  <si>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</si>
  <si>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</si>
  <si>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</si>
  <si>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</si>
  <si>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</si>
  <si>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</si>
  <si>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</si>
  <si>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</si>
  <si>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</si>
  <si>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</si>
  <si>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</si>
  <si>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</si>
  <si>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</si>
  <si>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</si>
  <si>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</si>
  <si>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</si>
  <si>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</si>
  <si>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</si>
  <si>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</si>
  <si>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</si>
  <si>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</si>
  <si>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</si>
  <si>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</si>
  <si>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</si>
  <si>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</si>
  <si>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</si>
  <si>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</si>
  <si>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</si>
  <si>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</si>
  <si>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</si>
  <si>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</si>
  <si>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</si>
  <si>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</si>
  <si>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</si>
  <si>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</si>
  <si>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</si>
  <si>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</si>
  <si>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</si>
  <si>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</si>
  <si>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</si>
  <si>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</si>
  <si>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</si>
  <si>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</si>
  <si>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</si>
  <si>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</si>
  <si>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</si>
  <si>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</si>
  <si>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</si>
  <si>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</si>
  <si>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</si>
  <si>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</si>
  <si>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</si>
  <si>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</si>
  <si>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</si>
  <si>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</si>
  <si>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</si>
  <si>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</si>
  <si>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</si>
  <si>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</si>
  <si>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</si>
  <si>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</si>
  <si>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</si>
  <si>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</si>
  <si>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</si>
  <si>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</si>
  <si>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</si>
  <si>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</si>
  <si>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</si>
  <si>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</si>
  <si>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</si>
  <si>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</si>
  <si>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</si>
  <si>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</si>
  <si>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</si>
  <si>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</si>
  <si>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</si>
  <si>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</si>
  <si>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</si>
  <si>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</si>
  <si>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</si>
  <si>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</si>
  <si>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</si>
  <si>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</si>
  <si>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</si>
  <si>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</si>
  <si>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</si>
  <si>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</si>
  <si>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</si>
  <si>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</si>
  <si>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</si>
  <si>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</si>
  <si>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</si>
  <si>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</si>
  <si>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</si>
  <si>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</si>
  <si>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</si>
  <si>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</si>
  <si>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</si>
  <si>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</si>
  <si>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</si>
  <si>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</si>
  <si>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</si>
  <si>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</si>
  <si>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</si>
  <si>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</si>
  <si>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</si>
  <si>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</si>
  <si>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</si>
  <si>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</si>
  <si>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</si>
  <si>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</si>
  <si>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</si>
  <si>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</si>
  <si>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</si>
  <si>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</si>
  <si>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</si>
  <si>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</si>
  <si>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</si>
  <si>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</si>
  <si>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</si>
  <si>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</si>
  <si>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</si>
  <si>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</si>
  <si>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</si>
  <si>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</si>
  <si>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</si>
  <si>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</si>
  <si>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</si>
  <si>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</si>
  <si>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</si>
  <si>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</si>
  <si>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</si>
  <si>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</si>
  <si>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</si>
  <si>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</si>
  <si>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</si>
  <si>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</si>
  <si>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</si>
  <si>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</si>
  <si>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</si>
  <si>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</si>
  <si>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</si>
  <si>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</si>
  <si>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</si>
  <si>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</si>
  <si>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</si>
  <si>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</si>
  <si>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</si>
  <si>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</si>
  <si>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</si>
  <si>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</si>
  <si>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</si>
  <si>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</si>
  <si>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</si>
  <si>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</si>
  <si>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</si>
  <si>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</si>
  <si>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</si>
  <si>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</si>
  <si>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</si>
  <si>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</si>
  <si>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</si>
  <si>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</si>
  <si>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</si>
  <si>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</si>
  <si>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</si>
  <si>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</si>
  <si>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</si>
  <si>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</si>
  <si>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</si>
  <si>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</si>
  <si>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</si>
  <si>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</si>
  <si>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</si>
  <si>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</si>
  <si>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</si>
  <si>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</si>
  <si>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</si>
  <si>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</si>
  <si>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</si>
  <si>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</si>
  <si>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</si>
  <si>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</si>
  <si>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</si>
  <si>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</si>
  <si>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</si>
  <si>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</si>
  <si>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</si>
  <si>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</si>
  <si>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</si>
  <si>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</si>
  <si>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</si>
  <si>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</si>
  <si>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</si>
  <si>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</si>
  <si>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</si>
  <si>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</si>
  <si>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</si>
  <si>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</si>
  <si>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</si>
  <si>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</si>
  <si>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</si>
  <si>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</si>
  <si>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</si>
  <si>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</si>
  <si>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</si>
  <si>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</si>
  <si>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</si>
  <si>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</si>
  <si>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</si>
  <si>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</si>
  <si>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</si>
  <si>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</si>
  <si>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</si>
  <si>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</si>
  <si>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</si>
  <si>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</si>
  <si>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</si>
  <si>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</si>
  <si>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</si>
  <si>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</si>
  <si>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</si>
  <si>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</si>
  <si>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</si>
  <si>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</si>
  <si>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</si>
  <si>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</si>
  <si>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</si>
  <si>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</si>
  <si>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</si>
  <si>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</si>
  <si>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</si>
  <si>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</si>
  <si>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</si>
  <si>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</si>
  <si>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</si>
  <si>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</si>
  <si>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</si>
  <si>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</si>
  <si>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</si>
  <si>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</si>
  <si>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</si>
  <si>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</si>
  <si>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</si>
  <si>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</si>
  <si>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</si>
  <si>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</si>
  <si>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</si>
  <si>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</si>
  <si>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</si>
  <si>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</si>
  <si>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</si>
  <si>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</si>
  <si>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</si>
  <si>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</si>
  <si>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</si>
  <si>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</si>
  <si>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</si>
  <si>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</si>
  <si>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</si>
  <si>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</si>
  <si>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</si>
  <si>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</si>
  <si>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</si>
  <si>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</si>
  <si>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</si>
  <si>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</si>
  <si>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</si>
  <si>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</si>
  <si>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</si>
  <si>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</si>
  <si>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</si>
  <si>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</si>
  <si>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</si>
  <si>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</si>
  <si>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</si>
  <si>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</si>
  <si>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</si>
  <si>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</si>
  <si>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</si>
  <si>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</si>
  <si>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</si>
  <si>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</si>
  <si>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</si>
  <si>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</si>
  <si>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</si>
  <si>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</si>
  <si>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</si>
  <si>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</si>
  <si>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</si>
  <si>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</si>
  <si>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</si>
  <si>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</si>
  <si>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</si>
  <si>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</si>
  <si>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</si>
  <si>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</si>
  <si>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</si>
  <si>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</si>
  <si>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</si>
  <si>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</si>
  <si>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</si>
  <si>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</si>
  <si>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</si>
  <si>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</si>
  <si>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</si>
  <si>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</si>
  <si>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</si>
  <si>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</si>
  <si>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</si>
  <si>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</si>
  <si>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</si>
  <si>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</si>
  <si>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</si>
  <si>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</si>
  <si>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</si>
  <si>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</si>
  <si>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</si>
  <si>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</si>
  <si>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</si>
  <si>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</si>
  <si>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</si>
  <si>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</si>
  <si>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</si>
  <si>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</si>
  <si>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</si>
  <si>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</si>
  <si>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</si>
  <si>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</si>
  <si>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</si>
  <si>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</si>
  <si>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</si>
  <si>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</si>
  <si>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</si>
  <si>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</si>
  <si>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</si>
  <si>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</si>
  <si>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</si>
  <si>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</si>
  <si>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</si>
  <si>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</si>
  <si>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</si>
  <si>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</si>
  <si>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</si>
  <si>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</si>
  <si>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</si>
  <si>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</si>
  <si>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</si>
  <si>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</si>
  <si>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</si>
  <si>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</si>
  <si>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</si>
  <si>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</si>
  <si>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</si>
  <si>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</si>
  <si>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</si>
  <si>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</si>
  <si>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</si>
  <si>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</si>
  <si>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</si>
  <si>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</si>
  <si>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</si>
  <si>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</si>
  <si>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</si>
  <si>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</si>
  <si>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</si>
  <si>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</si>
  <si>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</si>
  <si>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</si>
  <si>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</si>
  <si>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</si>
  <si>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</si>
  <si>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</si>
  <si>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</si>
  <si>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</si>
  <si>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</si>
  <si>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</si>
  <si>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</si>
  <si>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</si>
  <si>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</si>
  <si>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</si>
  <si>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</si>
  <si>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</si>
  <si>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</si>
  <si>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</si>
  <si>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</si>
  <si>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</si>
  <si>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</si>
  <si>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</si>
  <si>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</si>
  <si>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</si>
  <si>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</si>
  <si>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</si>
  <si>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</si>
  <si>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</si>
  <si>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</si>
  <si>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</si>
  <si>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</si>
  <si>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</si>
  <si>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</si>
  <si>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</si>
  <si>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</si>
  <si>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</si>
  <si>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</si>
  <si>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</si>
  <si>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</si>
  <si>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</si>
  <si>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</si>
  <si>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</si>
  <si>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</si>
  <si>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</si>
  <si>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</si>
  <si>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</si>
  <si>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</si>
  <si>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</si>
  <si>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</si>
  <si>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</si>
  <si>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</si>
  <si>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</si>
  <si>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</si>
  <si>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</si>
  <si>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</si>
  <si>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</si>
  <si>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</si>
  <si>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</si>
  <si>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</si>
  <si>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</si>
  <si>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</si>
  <si>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</si>
  <si>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</si>
  <si>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</si>
  <si>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</si>
  <si>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</si>
  <si>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</si>
  <si>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</si>
  <si>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</si>
  <si>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</si>
  <si>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</si>
  <si>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</si>
  <si>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</si>
  <si>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</si>
  <si>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</si>
  <si>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</si>
  <si>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</si>
  <si>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</si>
  <si>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</si>
  <si>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</si>
  <si>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</si>
  <si>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</si>
  <si>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</si>
  <si>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</si>
  <si>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</si>
  <si>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</si>
  <si>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</si>
  <si>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</si>
  <si>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</si>
  <si>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</si>
  <si>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</si>
  <si>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</si>
  <si>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</si>
  <si>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</si>
  <si>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</si>
  <si>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</si>
  <si>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</si>
  <si>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</si>
  <si>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</si>
  <si>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</si>
  <si>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</si>
  <si>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</si>
  <si>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</si>
  <si>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</si>
  <si>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</si>
  <si>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</si>
  <si>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</si>
  <si>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</si>
  <si>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</si>
  <si>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</si>
  <si>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</si>
  <si>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</si>
  <si>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</si>
  <si>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</si>
  <si>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</si>
  <si>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</si>
  <si>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</si>
  <si>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</si>
  <si>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</si>
  <si>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</si>
  <si>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</si>
  <si>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</si>
  <si>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</si>
  <si>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</si>
  <si>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</si>
  <si>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</si>
  <si>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</si>
  <si>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</si>
  <si>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</si>
  <si>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</si>
  <si>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</si>
  <si>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</si>
  <si>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</si>
  <si>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</si>
  <si>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</si>
  <si>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</si>
  <si>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</si>
  <si>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</si>
  <si>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</si>
  <si>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</si>
  <si>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</si>
  <si>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</si>
  <si>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</si>
  <si>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</si>
  <si>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</si>
  <si>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</si>
  <si>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</si>
  <si>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</si>
  <si>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</si>
  <si>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</si>
  <si>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</si>
  <si>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</si>
  <si>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</si>
  <si>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</si>
  <si>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</si>
  <si>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</si>
  <si>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</si>
  <si>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</si>
  <si>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</si>
  <si>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</si>
  <si>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</si>
  <si>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</si>
  <si>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</si>
  <si>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</si>
  <si>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</si>
  <si>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</si>
  <si>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</si>
  <si>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</si>
  <si>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</si>
  <si>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</si>
  <si>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</si>
  <si>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</si>
  <si>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</si>
  <si>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</si>
  <si>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</si>
  <si>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</si>
  <si>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</si>
  <si>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</si>
  <si>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</si>
  <si>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</si>
  <si>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</si>
  <si>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</si>
  <si>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</si>
  <si>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</si>
  <si>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</si>
  <si>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</si>
  <si>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</si>
  <si>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</si>
  <si>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</si>
  <si>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</si>
  <si>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</si>
  <si>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</si>
  <si>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</si>
  <si>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</si>
  <si>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</si>
  <si>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</si>
  <si>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</si>
  <si>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</si>
  <si>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</si>
  <si>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</si>
  <si>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</si>
  <si>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</si>
  <si>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</si>
  <si>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</si>
  <si>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</si>
  <si>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</si>
  <si>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</si>
  <si>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</si>
  <si>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</si>
  <si>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</si>
  <si>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</si>
  <si>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</si>
  <si>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</si>
  <si>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</si>
  <si>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</si>
  <si>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</si>
  <si>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</si>
  <si>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</si>
  <si>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</si>
  <si>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</si>
  <si>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</si>
  <si>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</si>
  <si>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</si>
  <si>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</si>
  <si>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</si>
  <si>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</si>
  <si>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</si>
  <si>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</si>
  <si>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</si>
  <si>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</si>
  <si>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</si>
  <si>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</si>
  <si>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</si>
  <si>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</si>
  <si>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</si>
  <si>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</si>
  <si>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</si>
  <si>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</si>
  <si>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</si>
  <si>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</si>
  <si>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</si>
  <si>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</si>
  <si>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</si>
  <si>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</si>
  <si>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</si>
  <si>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</si>
  <si>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</si>
  <si>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</si>
  <si>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</si>
  <si>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</si>
  <si>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</si>
  <si>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</si>
  <si>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</si>
  <si>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</si>
  <si>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</si>
  <si>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</si>
  <si>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</si>
  <si>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</si>
  <si>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</si>
  <si>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</si>
  <si>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</si>
  <si>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</si>
  <si>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</si>
  <si>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</si>
  <si>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</si>
  <si>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</si>
  <si>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</si>
  <si>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</si>
  <si>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</si>
  <si>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</si>
  <si>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</si>
  <si>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</si>
  <si>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</si>
  <si>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</si>
  <si>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</si>
  <si>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</si>
  <si>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</si>
  <si>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</si>
  <si>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</si>
  <si>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</si>
  <si>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</si>
  <si>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</si>
  <si>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</si>
  <si>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</si>
  <si>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</si>
  <si>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</si>
  <si>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</si>
  <si>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</si>
  <si>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</si>
  <si>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</si>
  <si>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</si>
  <si>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</si>
  <si>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</si>
  <si>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</si>
  <si>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</si>
  <si>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</si>
  <si>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</si>
  <si>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</si>
  <si>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</si>
  <si>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</si>
  <si>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</si>
  <si>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</si>
  <si>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</si>
  <si>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</si>
  <si>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</si>
  <si>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</si>
  <si>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</si>
  <si>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</si>
  <si>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</si>
  <si>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</si>
  <si>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</si>
  <si>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</si>
  <si>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</si>
  <si>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</si>
  <si>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</si>
  <si>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</si>
  <si>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</si>
  <si>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</si>
  <si>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</si>
  <si>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</si>
  <si>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</si>
  <si>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</si>
  <si>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</si>
  <si>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</si>
  <si>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</si>
  <si>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</si>
  <si>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</si>
  <si>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</si>
  <si>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</si>
  <si>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</si>
  <si>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</si>
  <si>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</si>
  <si>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</si>
  <si>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</si>
  <si>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</si>
  <si>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</si>
  <si>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</si>
  <si>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</si>
  <si>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</si>
  <si>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</si>
  <si>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</si>
  <si>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</si>
  <si>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</si>
  <si>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</si>
  <si>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</si>
  <si>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</si>
  <si>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</si>
  <si>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</si>
  <si>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</si>
  <si>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</si>
  <si>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</si>
  <si>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</si>
  <si>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</si>
  <si>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</si>
  <si>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</si>
  <si>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</si>
  <si>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</si>
  <si>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</si>
  <si>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</si>
  <si>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</si>
  <si>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</si>
  <si>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</si>
  <si>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</si>
  <si>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</si>
  <si>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</si>
  <si>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</si>
  <si>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</si>
  <si>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</si>
  <si>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</si>
  <si>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</si>
  <si>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</si>
  <si>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</si>
  <si>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</si>
  <si>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</si>
  <si>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</si>
  <si>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</si>
  <si>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</si>
  <si>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</si>
  <si>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</si>
  <si>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</si>
  <si>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</si>
  <si>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</si>
  <si>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</si>
  <si>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</si>
  <si>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</si>
  <si>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</si>
  <si>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</si>
  <si>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</si>
  <si>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</si>
  <si>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</si>
  <si>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</si>
  <si>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</si>
  <si>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</si>
  <si>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</si>
  <si>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</si>
  <si>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</si>
  <si>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</si>
  <si>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</si>
  <si>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</si>
  <si>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</si>
  <si>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</si>
  <si>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</si>
  <si>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</si>
  <si>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</si>
  <si>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</si>
  <si>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</si>
  <si>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</si>
  <si>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</si>
  <si>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</si>
  <si>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</si>
  <si>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</si>
  <si>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</si>
  <si>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</si>
  <si>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</si>
  <si>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</si>
  <si>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</si>
  <si>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</si>
  <si>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</si>
  <si>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</si>
  <si>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</si>
  <si>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</si>
  <si>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</si>
  <si>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</si>
  <si>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</si>
  <si>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</si>
  <si>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</si>
  <si>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</si>
  <si>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</si>
  <si>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</si>
  <si>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</si>
  <si>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</si>
  <si>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</si>
  <si>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</si>
  <si>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</si>
  <si>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</si>
  <si>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</si>
  <si>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</si>
  <si>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</si>
  <si>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</si>
  <si>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</si>
  <si>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</si>
  <si>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</si>
  <si>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</si>
  <si>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</si>
  <si>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</si>
  <si>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</si>
  <si>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</si>
  <si>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</si>
  <si>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</si>
  <si>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</si>
  <si>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</si>
  <si>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</si>
  <si>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</si>
  <si>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</si>
  <si>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</si>
  <si>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</si>
  <si>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</si>
  <si>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</si>
  <si>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Specialty Nameplate &amp; Manufacturing, Inc</t>
  </si>
  <si>
    <t>Tanya McClafferty</t>
  </si>
  <si>
    <t>tanya@specialtynp.com</t>
  </si>
  <si>
    <t>833.565.3346</t>
  </si>
  <si>
    <t>TC-006-187</t>
  </si>
  <si>
    <t>TC-006-375</t>
  </si>
  <si>
    <t>TC-012-187</t>
  </si>
  <si>
    <t>TC-012-375</t>
  </si>
  <si>
    <t>TC-012-500</t>
  </si>
  <si>
    <t>PB-006-187</t>
  </si>
  <si>
    <t>PB-006-375</t>
  </si>
  <si>
    <t>PB-012-375</t>
  </si>
  <si>
    <t>PB-012-500</t>
  </si>
  <si>
    <t>09-719-9018</t>
  </si>
  <si>
    <t>7018 E State St / Hermitage, Pa 16148</t>
  </si>
  <si>
    <t>President</t>
  </si>
  <si>
    <t>Relevant to product list phos bronze only</t>
  </si>
  <si>
    <t>Thaisarco (CID001898) declares within their 2016 Due Dillegence Report buying from some of these covered countries; notwithstanding the aforementioned Thaisarco still confirms its compliance with CMRT 5.12. Malaysia Smelting Company (MSC) (CID001105) reports within the 2019 Responsible Minerals Sourcing Policy Statement buying from some of these covered countries; notwithstanding the aforementioned MSC still confirms compliance with CMRT 5.12</t>
  </si>
  <si>
    <t>Tin coating</t>
  </si>
  <si>
    <t xml:space="preserve">Phosphorous Bronze </t>
  </si>
  <si>
    <t>seal_187x250</t>
  </si>
  <si>
    <t>seal_375x250</t>
  </si>
  <si>
    <t>seal_375x375</t>
  </si>
  <si>
    <t>seal_500x500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</si>
</sst>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459">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4"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5" fillId="0" borderId="0" xfId="0" applyFont="1"/>
    <xf numFmtId="164"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2"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9"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49" fontId="16" fillId="33" borderId="37" xfId="0" applyNumberFormat="1" applyFont="1" applyFill="1" applyBorder="1" applyAlignment="1" applyProtection="1">
      <alignment horizontal="left" vertical="center" wrapText="1"/>
      <protection locked="0"/>
    </xf>
    <xf numFmtId="0" fontId="16" fillId="33" borderId="22" xfId="0" applyFont="1" applyFill="1" applyBorder="1" applyAlignment="1" applyProtection="1">
      <alignment horizontal="left" vertical="center" wrapText="1"/>
      <protection locked="0"/>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49" fontId="16" fillId="0" borderId="61" xfId="0" applyNumberFormat="1" applyFont="1" applyFill="1" applyBorder="1" applyAlignment="1" applyProtection="1">
      <alignment horizontal="left" vertical="center" wrapText="1"/>
      <protection locked="0"/>
    </xf>
    <xf numFmtId="49" fontId="16" fillId="0" borderId="10" xfId="0" applyNumberFormat="1" applyFont="1" applyFill="1" applyBorder="1" applyAlignment="1" applyProtection="1">
      <alignment horizontal="left" vertical="center" wrapText="1"/>
      <protection locked="0"/>
    </xf>
    <xf numFmtId="49" fontId="16" fillId="0" borderId="37" xfId="0" applyNumberFormat="1"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487" applyNumberFormat="1" applyFont="1" applyFill="1" applyBorder="1" applyAlignment="1" applyProtection="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Border="1" applyAlignment="1" applyProtection="1">
      <alignment horizontal="center" wrapText="1"/>
    </xf>
    <xf numFmtId="0" fontId="15" fillId="33" borderId="10" xfId="0" applyFont="1" applyFill="1" applyBorder="1" applyAlignment="1" applyProtection="1">
      <alignment horizontal="left" wrapText="1"/>
      <protection hidden="1"/>
    </xf>
    <xf numFmtId="0" fontId="16" fillId="33" borderId="10" xfId="0" applyFont="1" applyFill="1" applyBorder="1" applyAlignment="1" applyProtection="1">
      <alignment horizontal="center" vertical="center"/>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7C8D3EB7-FC71-4BC9-903B-3BC799473154}"/>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anya@specialtynp.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anya@specialtynp.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5"/>
      <c r="B2" s="38" t="s">
        <v>847</v>
      </c>
      <c r="C2" s="36"/>
      <c r="D2" s="206"/>
      <c r="E2" s="3"/>
      <c r="F2" s="36"/>
      <c r="G2" s="34"/>
    </row>
    <row r="3" spans="1:7">
      <c r="A3" s="365"/>
      <c r="B3" s="5" t="s">
        <v>839</v>
      </c>
      <c r="C3" s="6"/>
      <c r="D3" s="207"/>
      <c r="E3" s="3"/>
      <c r="F3" s="6"/>
      <c r="G3" s="34"/>
    </row>
    <row r="4" spans="1:7" ht="15.75">
      <c r="A4" s="365"/>
      <c r="B4" s="41" t="s">
        <v>849</v>
      </c>
      <c r="C4" s="7"/>
      <c r="D4" s="208"/>
      <c r="E4" s="3"/>
      <c r="F4" s="7"/>
      <c r="G4" s="34"/>
    </row>
    <row r="5" spans="1:7">
      <c r="A5" s="365"/>
      <c r="B5" s="40" t="s">
        <v>1040</v>
      </c>
      <c r="C5" s="4"/>
      <c r="D5" s="209"/>
      <c r="E5" s="3"/>
      <c r="F5" s="4"/>
      <c r="G5" s="34"/>
    </row>
    <row r="6" spans="1:7">
      <c r="A6" s="365"/>
      <c r="B6" s="8"/>
      <c r="C6" s="8"/>
      <c r="D6" s="210"/>
      <c r="E6" s="8"/>
      <c r="F6" s="8"/>
      <c r="G6" s="34"/>
    </row>
    <row r="7" spans="1:7">
      <c r="A7" s="365"/>
      <c r="B7" s="8"/>
      <c r="C7" s="8"/>
      <c r="D7" s="210"/>
      <c r="E7" s="8"/>
      <c r="F7" s="8"/>
      <c r="G7" s="34"/>
    </row>
    <row r="8" spans="1:7">
      <c r="A8" s="365"/>
      <c r="B8" s="8"/>
      <c r="C8" s="8"/>
      <c r="D8" s="210"/>
      <c r="E8" s="8"/>
      <c r="F8" s="8"/>
      <c r="G8" s="34"/>
    </row>
    <row r="9" spans="1:7">
      <c r="A9" s="365"/>
      <c r="B9" s="368" t="s">
        <v>850</v>
      </c>
      <c r="C9" s="368"/>
      <c r="D9" s="368"/>
      <c r="E9" s="368"/>
      <c r="F9" s="368"/>
      <c r="G9" s="34"/>
    </row>
    <row r="10" spans="1:7" ht="27.2" customHeight="1">
      <c r="A10" s="365"/>
      <c r="B10" s="369" t="s">
        <v>438</v>
      </c>
      <c r="C10" s="369"/>
      <c r="D10" s="369"/>
      <c r="E10" s="369"/>
      <c r="F10" s="369"/>
      <c r="G10" s="34"/>
    </row>
    <row r="11" spans="1:7" ht="27.2" customHeight="1">
      <c r="A11" s="365"/>
      <c r="B11" s="370"/>
      <c r="C11" s="370"/>
      <c r="D11" s="370"/>
      <c r="E11" s="370"/>
      <c r="F11" s="370"/>
      <c r="G11" s="34"/>
    </row>
    <row r="12" spans="1:7">
      <c r="A12" s="365"/>
      <c r="B12" s="42" t="s">
        <v>848</v>
      </c>
      <c r="C12" s="43" t="s">
        <v>851</v>
      </c>
      <c r="D12" s="211" t="s">
        <v>852</v>
      </c>
      <c r="E12" s="43" t="s">
        <v>612</v>
      </c>
      <c r="F12" s="43" t="s">
        <v>613</v>
      </c>
      <c r="G12" s="34"/>
    </row>
    <row r="13" spans="1:7" ht="33.75">
      <c r="A13" s="365"/>
      <c r="B13" s="2">
        <v>1</v>
      </c>
      <c r="C13" s="37" t="s">
        <v>1088</v>
      </c>
      <c r="D13" s="39" t="s">
        <v>876</v>
      </c>
      <c r="E13" s="194" t="s">
        <v>853</v>
      </c>
      <c r="F13" s="194"/>
      <c r="G13" s="34"/>
    </row>
    <row r="14" spans="1:7" ht="33.75">
      <c r="A14" s="365"/>
      <c r="B14" s="2">
        <v>2</v>
      </c>
      <c r="C14" s="37" t="s">
        <v>1088</v>
      </c>
      <c r="D14" s="39" t="s">
        <v>1025</v>
      </c>
      <c r="E14" s="194" t="s">
        <v>530</v>
      </c>
      <c r="F14" s="194" t="s">
        <v>531</v>
      </c>
      <c r="G14" s="34"/>
    </row>
    <row r="15" spans="1:7" ht="89.1" customHeight="1">
      <c r="A15" s="365"/>
      <c r="B15" s="371">
        <v>2.0099999999999998</v>
      </c>
      <c r="C15" s="362" t="s">
        <v>1088</v>
      </c>
      <c r="D15" s="374" t="s">
        <v>2265</v>
      </c>
      <c r="E15" s="195" t="s">
        <v>614</v>
      </c>
      <c r="F15" s="195" t="s">
        <v>617</v>
      </c>
      <c r="G15" s="34"/>
    </row>
    <row r="16" spans="1:7" ht="99.2" customHeight="1">
      <c r="A16" s="365"/>
      <c r="B16" s="372"/>
      <c r="C16" s="363"/>
      <c r="D16" s="375"/>
      <c r="E16" s="196"/>
      <c r="F16" s="196" t="s">
        <v>615</v>
      </c>
      <c r="G16" s="34"/>
    </row>
    <row r="17" spans="1:7" ht="63.2" customHeight="1">
      <c r="A17" s="365"/>
      <c r="B17" s="373"/>
      <c r="C17" s="364"/>
      <c r="D17" s="376"/>
      <c r="E17" s="37"/>
      <c r="F17" s="37" t="s">
        <v>616</v>
      </c>
      <c r="G17" s="34"/>
    </row>
    <row r="18" spans="1:7" ht="117.2" customHeight="1">
      <c r="A18" s="365"/>
      <c r="B18" s="371">
        <v>2.02</v>
      </c>
      <c r="C18" s="362" t="s">
        <v>1088</v>
      </c>
      <c r="D18" s="374" t="s">
        <v>2266</v>
      </c>
      <c r="E18" s="195" t="s">
        <v>439</v>
      </c>
      <c r="F18" s="195" t="s">
        <v>525</v>
      </c>
      <c r="G18" s="34"/>
    </row>
    <row r="19" spans="1:7" ht="71.099999999999994" customHeight="1">
      <c r="A19" s="365"/>
      <c r="B19" s="372"/>
      <c r="C19" s="363"/>
      <c r="D19" s="375"/>
      <c r="E19" s="196" t="s">
        <v>529</v>
      </c>
      <c r="F19" s="196" t="s">
        <v>440</v>
      </c>
      <c r="G19" s="34"/>
    </row>
    <row r="20" spans="1:7" ht="90.75" customHeight="1">
      <c r="A20" s="365"/>
      <c r="B20" s="372"/>
      <c r="C20" s="363"/>
      <c r="D20" s="375"/>
      <c r="E20" s="196"/>
      <c r="F20" s="196" t="s">
        <v>619</v>
      </c>
      <c r="G20" s="34"/>
    </row>
    <row r="21" spans="1:7" ht="74.25" customHeight="1">
      <c r="A21" s="365"/>
      <c r="B21" s="373"/>
      <c r="C21" s="364"/>
      <c r="D21" s="376"/>
      <c r="E21" s="37"/>
      <c r="F21" s="37" t="s">
        <v>618</v>
      </c>
      <c r="G21" s="34"/>
    </row>
    <row r="22" spans="1:7" ht="90" customHeight="1">
      <c r="A22" s="365"/>
      <c r="B22" s="356">
        <v>2.0299999999999998</v>
      </c>
      <c r="C22" s="356" t="s">
        <v>822</v>
      </c>
      <c r="D22" s="359" t="s">
        <v>2267</v>
      </c>
      <c r="E22" s="362" t="s">
        <v>437</v>
      </c>
      <c r="F22" s="195" t="s">
        <v>460</v>
      </c>
      <c r="G22" s="34"/>
    </row>
    <row r="23" spans="1:7" ht="109.7" customHeight="1">
      <c r="A23" s="365"/>
      <c r="B23" s="357"/>
      <c r="C23" s="357"/>
      <c r="D23" s="360"/>
      <c r="E23" s="363"/>
      <c r="F23" s="196" t="s">
        <v>823</v>
      </c>
      <c r="G23" s="34"/>
    </row>
    <row r="24" spans="1:7" ht="74.25" customHeight="1">
      <c r="A24" s="365"/>
      <c r="B24" s="358"/>
      <c r="C24" s="358"/>
      <c r="D24" s="361"/>
      <c r="E24" s="364"/>
      <c r="F24" s="37" t="s">
        <v>436</v>
      </c>
      <c r="G24" s="34"/>
    </row>
    <row r="25" spans="1:7" ht="72" customHeight="1">
      <c r="A25" s="365"/>
      <c r="B25" s="2" t="s">
        <v>458</v>
      </c>
      <c r="C25" s="37" t="s">
        <v>459</v>
      </c>
      <c r="D25" s="39" t="s">
        <v>2268</v>
      </c>
      <c r="E25" s="37" t="s">
        <v>2263</v>
      </c>
      <c r="F25" s="37" t="s">
        <v>461</v>
      </c>
      <c r="G25" s="34"/>
    </row>
    <row r="26" spans="1:7" ht="98.1" customHeight="1">
      <c r="A26" s="365"/>
      <c r="B26" s="377">
        <v>3</v>
      </c>
      <c r="C26" s="371" t="s">
        <v>70</v>
      </c>
      <c r="D26" s="374" t="s">
        <v>2269</v>
      </c>
      <c r="E26" s="362" t="s">
        <v>0</v>
      </c>
      <c r="F26" s="195" t="s">
        <v>64</v>
      </c>
      <c r="G26" s="34"/>
    </row>
    <row r="27" spans="1:7" ht="90" customHeight="1">
      <c r="A27" s="365"/>
      <c r="B27" s="378"/>
      <c r="C27" s="372"/>
      <c r="D27" s="375"/>
      <c r="E27" s="363"/>
      <c r="F27" s="196" t="s">
        <v>59</v>
      </c>
      <c r="G27" s="34"/>
    </row>
    <row r="28" spans="1:7" ht="19.5" customHeight="1">
      <c r="A28" s="365"/>
      <c r="B28" s="378"/>
      <c r="C28" s="372"/>
      <c r="D28" s="375"/>
      <c r="E28" s="363"/>
      <c r="F28" s="196" t="s">
        <v>60</v>
      </c>
      <c r="G28" s="34"/>
    </row>
    <row r="29" spans="1:7" ht="74.45" customHeight="1">
      <c r="A29" s="365"/>
      <c r="B29" s="378"/>
      <c r="C29" s="372"/>
      <c r="D29" s="375"/>
      <c r="E29" s="363"/>
      <c r="F29" s="196" t="s">
        <v>61</v>
      </c>
      <c r="G29" s="34"/>
    </row>
    <row r="30" spans="1:7" ht="62.45" customHeight="1">
      <c r="A30" s="365"/>
      <c r="B30" s="378"/>
      <c r="C30" s="372"/>
      <c r="D30" s="375"/>
      <c r="E30" s="363"/>
      <c r="F30" s="196" t="s">
        <v>62</v>
      </c>
      <c r="G30" s="34"/>
    </row>
    <row r="31" spans="1:7" ht="81.2" customHeight="1">
      <c r="A31" s="365"/>
      <c r="B31" s="378"/>
      <c r="C31" s="372"/>
      <c r="D31" s="375"/>
      <c r="E31" s="363"/>
      <c r="F31" s="196" t="s">
        <v>63</v>
      </c>
      <c r="G31" s="34"/>
    </row>
    <row r="32" spans="1:7" ht="48.75" customHeight="1">
      <c r="A32" s="365"/>
      <c r="B32" s="378"/>
      <c r="C32" s="372"/>
      <c r="D32" s="375"/>
      <c r="E32" s="363"/>
      <c r="F32" s="196" t="s">
        <v>66</v>
      </c>
      <c r="G32" s="34"/>
    </row>
    <row r="33" spans="1:7" ht="98.45" customHeight="1">
      <c r="A33" s="365"/>
      <c r="B33" s="378"/>
      <c r="C33" s="372"/>
      <c r="D33" s="375"/>
      <c r="E33" s="363"/>
      <c r="F33" s="196" t="s">
        <v>65</v>
      </c>
      <c r="G33" s="34"/>
    </row>
    <row r="34" spans="1:7" ht="89.1" customHeight="1">
      <c r="A34" s="365"/>
      <c r="B34" s="378"/>
      <c r="C34" s="372"/>
      <c r="D34" s="375"/>
      <c r="E34" s="363"/>
      <c r="F34" s="196" t="s">
        <v>67</v>
      </c>
      <c r="G34" s="34"/>
    </row>
    <row r="35" spans="1:7" ht="29.1" customHeight="1">
      <c r="A35" s="365"/>
      <c r="B35" s="378"/>
      <c r="C35" s="372"/>
      <c r="D35" s="375"/>
      <c r="E35" s="363"/>
      <c r="F35" s="196" t="s">
        <v>68</v>
      </c>
      <c r="G35" s="34"/>
    </row>
    <row r="36" spans="1:7" ht="126.75">
      <c r="A36" s="365"/>
      <c r="B36" s="379"/>
      <c r="C36" s="373"/>
      <c r="D36" s="376"/>
      <c r="E36" s="364"/>
      <c r="F36" s="197" t="s">
        <v>69</v>
      </c>
      <c r="G36" s="34"/>
    </row>
    <row r="37" spans="1:7" ht="112.5">
      <c r="A37" s="365"/>
      <c r="B37" s="170">
        <v>3.01</v>
      </c>
      <c r="C37" s="171" t="s">
        <v>70</v>
      </c>
      <c r="D37" s="39" t="s">
        <v>2270</v>
      </c>
      <c r="E37" s="198" t="s">
        <v>1328</v>
      </c>
      <c r="F37" s="199" t="s">
        <v>1434</v>
      </c>
      <c r="G37" s="34"/>
    </row>
    <row r="38" spans="1:7" ht="101.25">
      <c r="A38" s="365"/>
      <c r="B38" s="170">
        <v>3.02</v>
      </c>
      <c r="C38" s="171" t="s">
        <v>1361</v>
      </c>
      <c r="D38" s="39" t="s">
        <v>2271</v>
      </c>
      <c r="E38" s="198" t="s">
        <v>1376</v>
      </c>
      <c r="F38" s="199" t="s">
        <v>1435</v>
      </c>
      <c r="G38" s="34"/>
    </row>
    <row r="39" spans="1:7" ht="101.25">
      <c r="A39" s="365"/>
      <c r="B39" s="180">
        <v>4</v>
      </c>
      <c r="C39" s="179" t="s">
        <v>1531</v>
      </c>
      <c r="D39" s="39" t="s">
        <v>2272</v>
      </c>
      <c r="E39" s="37" t="s">
        <v>2215</v>
      </c>
      <c r="F39" s="37" t="s">
        <v>1532</v>
      </c>
      <c r="G39" s="34"/>
    </row>
    <row r="40" spans="1:7" ht="56.25">
      <c r="A40" s="365"/>
      <c r="B40" s="170">
        <v>4.01</v>
      </c>
      <c r="C40" s="179" t="s">
        <v>1531</v>
      </c>
      <c r="D40" s="39" t="s">
        <v>2274</v>
      </c>
      <c r="E40" s="37" t="s">
        <v>2229</v>
      </c>
      <c r="F40" s="37" t="s">
        <v>2233</v>
      </c>
      <c r="G40" s="34"/>
    </row>
    <row r="41" spans="1:7" ht="56.25">
      <c r="A41" s="365"/>
      <c r="B41" s="170" t="s">
        <v>2261</v>
      </c>
      <c r="C41" s="179" t="s">
        <v>1531</v>
      </c>
      <c r="D41" s="39" t="s">
        <v>2273</v>
      </c>
      <c r="E41" s="37" t="s">
        <v>2264</v>
      </c>
      <c r="F41" s="37" t="s">
        <v>2262</v>
      </c>
      <c r="G41" s="34"/>
    </row>
    <row r="42" spans="1:7" ht="56.25">
      <c r="A42" s="365"/>
      <c r="B42" s="170" t="s">
        <v>2299</v>
      </c>
      <c r="C42" s="179" t="s">
        <v>1531</v>
      </c>
      <c r="D42" s="39" t="s">
        <v>2306</v>
      </c>
      <c r="E42" s="37" t="s">
        <v>2263</v>
      </c>
      <c r="F42" s="37" t="s">
        <v>2300</v>
      </c>
      <c r="G42" s="34"/>
    </row>
    <row r="43" spans="1:7" ht="123.75">
      <c r="A43" s="365"/>
      <c r="B43" s="191">
        <v>4.0999999999999996</v>
      </c>
      <c r="C43" s="179" t="s">
        <v>2305</v>
      </c>
      <c r="D43" s="192">
        <v>42867</v>
      </c>
      <c r="E43" s="200" t="s">
        <v>2308</v>
      </c>
      <c r="F43" s="37" t="s">
        <v>2307</v>
      </c>
      <c r="G43" s="34"/>
    </row>
    <row r="44" spans="1:7" ht="78.75">
      <c r="A44" s="365"/>
      <c r="B44" s="191">
        <v>4.2</v>
      </c>
      <c r="C44" s="179" t="s">
        <v>2305</v>
      </c>
      <c r="D44" s="192">
        <v>42704</v>
      </c>
      <c r="E44" s="200" t="s">
        <v>2510</v>
      </c>
      <c r="F44" s="37" t="s">
        <v>2485</v>
      </c>
      <c r="G44" s="34"/>
    </row>
    <row r="45" spans="1:7" ht="157.5">
      <c r="A45" s="365"/>
      <c r="B45" s="240">
        <v>5</v>
      </c>
      <c r="C45" s="179" t="s">
        <v>2305</v>
      </c>
      <c r="D45" s="192">
        <v>42867</v>
      </c>
      <c r="E45" s="200" t="s">
        <v>12917</v>
      </c>
      <c r="F45" s="37" t="s">
        <v>12639</v>
      </c>
      <c r="G45" s="34"/>
    </row>
    <row r="46" spans="1:7" ht="45">
      <c r="A46" s="365"/>
      <c r="B46" s="191">
        <v>5.01</v>
      </c>
      <c r="C46" s="179" t="s">
        <v>2305</v>
      </c>
      <c r="D46" s="192">
        <v>42907</v>
      </c>
      <c r="E46" s="200" t="s">
        <v>12935</v>
      </c>
      <c r="F46" s="37" t="s">
        <v>12639</v>
      </c>
      <c r="G46" s="34"/>
    </row>
    <row r="47" spans="1:7" ht="67.5">
      <c r="A47" s="365"/>
      <c r="B47" s="191">
        <v>5.0999999999999996</v>
      </c>
      <c r="C47" s="179" t="s">
        <v>2305</v>
      </c>
      <c r="D47" s="192">
        <v>43070</v>
      </c>
      <c r="E47" s="200" t="s">
        <v>13129</v>
      </c>
      <c r="F47" s="37" t="s">
        <v>13130</v>
      </c>
      <c r="G47" s="34"/>
    </row>
    <row r="48" spans="1:7" ht="56.25">
      <c r="A48" s="365"/>
      <c r="B48" s="191">
        <v>5.1100000000000003</v>
      </c>
      <c r="C48" s="179" t="s">
        <v>13371</v>
      </c>
      <c r="D48" s="192">
        <v>43217</v>
      </c>
      <c r="E48" s="200" t="s">
        <v>13499</v>
      </c>
      <c r="F48" s="37" t="s">
        <v>13405</v>
      </c>
      <c r="G48" s="34"/>
    </row>
    <row r="49" spans="1:7" ht="56.25">
      <c r="A49" s="365"/>
      <c r="B49" s="191">
        <v>5.12</v>
      </c>
      <c r="C49" s="179" t="s">
        <v>13371</v>
      </c>
      <c r="D49" s="192">
        <v>43581</v>
      </c>
      <c r="E49" s="200" t="s">
        <v>13499</v>
      </c>
      <c r="F49" s="37" t="s">
        <v>14064</v>
      </c>
      <c r="G49" s="34"/>
    </row>
    <row r="50" spans="1:7" ht="78.75">
      <c r="A50" s="365"/>
      <c r="B50" s="240">
        <v>6</v>
      </c>
      <c r="C50" s="179" t="s">
        <v>13371</v>
      </c>
      <c r="D50" s="192">
        <v>43964</v>
      </c>
      <c r="E50" s="200" t="s">
        <v>14291</v>
      </c>
      <c r="F50" s="37" t="s">
        <v>14074</v>
      </c>
      <c r="G50" s="34"/>
    </row>
    <row r="51" spans="1:7" ht="45">
      <c r="A51" s="365"/>
      <c r="B51" s="191">
        <v>6.01</v>
      </c>
      <c r="C51" s="179" t="s">
        <v>13371</v>
      </c>
      <c r="D51" s="192">
        <v>43970</v>
      </c>
      <c r="E51" s="200" t="s">
        <v>15309</v>
      </c>
      <c r="F51" s="200" t="s">
        <v>14074</v>
      </c>
      <c r="G51" s="34"/>
    </row>
    <row r="52" spans="1:7" ht="45">
      <c r="A52" s="365"/>
      <c r="B52" s="191">
        <v>6.1</v>
      </c>
      <c r="C52" s="179" t="s">
        <v>13371</v>
      </c>
      <c r="D52" s="192">
        <v>44314</v>
      </c>
      <c r="E52" s="200" t="s">
        <v>15314</v>
      </c>
      <c r="F52" s="200" t="s">
        <v>15319</v>
      </c>
      <c r="G52" s="34"/>
    </row>
    <row r="53" spans="1:7" ht="13.5" thickBot="1">
      <c r="A53" s="366"/>
      <c r="B53" s="367" t="str">
        <f ca="1">OFFSET(L!$C$1,MATCH("General"&amp;"Cpy",L!$A:$A,0)-1,SL,,)</f>
        <v>© 2021 Responsible Minerals Initiative. All rights reserved.</v>
      </c>
      <c r="C53" s="367"/>
      <c r="D53" s="367"/>
      <c r="E53" s="367"/>
      <c r="F53" s="367"/>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7"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950000000000003"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950000000000003"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19999999999999"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2"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0"/>
      <c r="B1" s="381"/>
      <c r="C1" s="381"/>
      <c r="D1" s="382"/>
    </row>
    <row r="2" spans="1:5" ht="71.25" customHeight="1">
      <c r="A2" s="87"/>
      <c r="B2" s="166" t="str">
        <f ca="1">OFFSET(L!$C$1,MATCH("Definitions"&amp;ADDRESS(ROW(),COLUMN(),4),L!$A:$A,0)-1,SL,,)</f>
        <v>ITEM</v>
      </c>
      <c r="C2" s="166" t="str">
        <f ca="1">OFFSET(L!$C$1,MATCH("Definitions"&amp;ADDRESS(ROW(),COLUMN(),4),L!$A:$A,0)-1,SL,,)</f>
        <v>DEFINITION</v>
      </c>
      <c r="D2" s="384"/>
      <c r="E2" s="127"/>
    </row>
    <row r="3" spans="1:5" ht="64.150000000000006" customHeight="1">
      <c r="A3" s="87"/>
      <c r="B3" s="74" t="str">
        <f ca="1">OFFSET(L!$C$1,MATCH("Definitions"&amp;ADDRESS(ROW(),COLUMN(),4),L!$A:$A,0)-1,SL,,)</f>
        <v>3TG</v>
      </c>
      <c r="C3" s="74" t="str">
        <f ca="1">OFFSET(L!$C$1,MATCH("Definitions"&amp;ADDRESS(ROW(),COLUMN(),4),L!$A:$A,0)-1,SL,,)</f>
        <v>Tantalum, tin, tungsten, gold</v>
      </c>
      <c r="D3" s="384"/>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8"/>
    </row>
    <row r="6" spans="1:5" ht="109.7"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4"/>
      <c r="E9" s="128" t="s">
        <v>1313</v>
      </c>
    </row>
    <row r="10" spans="1:5" ht="45">
      <c r="A10" s="87"/>
      <c r="B10" s="74" t="str">
        <f ca="1">OFFSET(L!$C$1,MATCH("Definitions"&amp;ADDRESS(ROW(),COLUMN(),4),L!$A:$A,0)-1,SL,,)</f>
        <v>DRC</v>
      </c>
      <c r="C10" s="74" t="str">
        <f ca="1">OFFSET(L!$C$1,MATCH("Definitions"&amp;ADDRESS(ROW(),COLUMN(),4),L!$A:$A,0)-1,SL,,)</f>
        <v>Democratic Republic of Congo</v>
      </c>
      <c r="D10" s="384"/>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8" t="s">
        <v>1314</v>
      </c>
    </row>
    <row r="14" spans="1:5" ht="303.9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4"/>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4"/>
      <c r="E20" s="128"/>
    </row>
    <row r="21" spans="1:5" ht="15">
      <c r="A21" s="87"/>
      <c r="B21" s="74" t="str">
        <f ca="1">OFFSET(L!$C$1,MATCH("Definitions"&amp;ADDRESS(ROW(),COLUMN(),4),L!$A:$A,0)-1,SL,,)</f>
        <v>RBA</v>
      </c>
      <c r="C21" s="74" t="str">
        <f ca="1">OFFSET(L!$C$1,MATCH("Definitions"&amp;ADDRESS(ROW(),COLUMN(),4),L!$A:$A,0)-1,SL,,)</f>
        <v>Responsible Business Alliance (www.responsiblebusiness.org)</v>
      </c>
      <c r="D21" s="384"/>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8"/>
    </row>
    <row r="25" spans="1:5" ht="154.15"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4"/>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8"/>
    </row>
    <row r="32" spans="1:5" ht="15">
      <c r="A32" s="87"/>
      <c r="B32" s="383" t="str">
        <f ca="1">OFFSET(L!$C$1,MATCH("General"&amp;"Cpy",L!$A:$A,0)-1,SL,,)</f>
        <v>© 2021 Responsible Minerals Initiative. All rights reserved.</v>
      </c>
      <c r="C32" s="383"/>
      <c r="D32" s="384"/>
      <c r="E32" s="128"/>
    </row>
    <row r="33" spans="1:4" ht="13.5" thickBot="1">
      <c r="A33" s="88"/>
      <c r="B33" s="183"/>
      <c r="C33" s="183"/>
      <c r="D33" s="385"/>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11" zoomScalePageLayoutView="70" workbookViewId="0">
      <selection activeCell="G37" sqref="G3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1" t="str">
        <f ca="1">OFFSET(L!$C$1,MATCH("Declaration"&amp;ADDRESS(ROW(),COLUMN(),4),L!$A:$A,0)-1,SL,,)</f>
        <v>Conflict Minerals Reporting Template (CMRT)</v>
      </c>
      <c r="E2" s="412"/>
      <c r="F2" s="412"/>
      <c r="G2" s="412"/>
      <c r="H2" s="412"/>
      <c r="I2" s="412"/>
      <c r="J2" s="413"/>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1"/>
      <c r="G3" s="421"/>
      <c r="H3" s="421"/>
      <c r="I3" s="182"/>
      <c r="J3" s="167" t="s">
        <v>15318</v>
      </c>
      <c r="K3" s="47"/>
      <c r="L3" s="139"/>
      <c r="M3" s="130"/>
      <c r="N3" s="130"/>
      <c r="O3" s="131"/>
      <c r="P3" s="144">
        <f>MATCH($D$3,LN,0)</f>
        <v>1</v>
      </c>
    </row>
    <row r="4" spans="1:34" ht="15.75">
      <c r="A4" s="45"/>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6" t="str">
        <f ca="1">OFFSET(L!$C$1,MATCH("Declaration"&amp;ADDRESS(ROW(),COLUMN(),4),L!$A:$A,0)-1,SL,,)</f>
        <v>Company Information</v>
      </c>
      <c r="C7" s="426"/>
      <c r="D7" s="426"/>
      <c r="E7" s="426"/>
      <c r="F7" s="426"/>
      <c r="G7" s="426"/>
      <c r="H7" s="426"/>
      <c r="I7" s="426"/>
      <c r="J7" s="426"/>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4" t="s">
        <v>15606</v>
      </c>
      <c r="E8" s="415"/>
      <c r="F8" s="415"/>
      <c r="G8" s="415"/>
      <c r="H8" s="415"/>
      <c r="I8" s="415"/>
      <c r="J8" s="416"/>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3" t="s">
        <v>495</v>
      </c>
      <c r="E9" s="424"/>
      <c r="F9" s="424"/>
      <c r="G9" s="425"/>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7" t="str">
        <f ca="1">OFFSET(L!$C$1,MATCH("Declaration"&amp;ADDRESS(ROW(),COLUMN(),4)&amp;LEFT($D$9,1),L!$A:$A,0)-1,SL,,)</f>
        <v>Go to Product List tab to enter products this declaration applies to</v>
      </c>
      <c r="C10" s="151"/>
      <c r="D10" s="418"/>
      <c r="E10" s="419"/>
      <c r="F10" s="419"/>
      <c r="G10" s="419"/>
      <c r="H10" s="419"/>
      <c r="I10" s="419"/>
      <c r="J10" s="420"/>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8"/>
      <c r="C11" s="151"/>
      <c r="D11" s="437" t="str">
        <f ca="1">IF(D9=Q9,OFFSET(L!$C$1,MATCH("Declaration"&amp;ADDRESS(ROW(),COLUMN(),4),L!$A:$A,0)-1,SL,,),"")</f>
        <v>Click here to enter the products this declaration applies to</v>
      </c>
      <c r="E11" s="438"/>
      <c r="F11" s="438"/>
      <c r="G11" s="438"/>
      <c r="H11" s="438"/>
      <c r="I11" s="438"/>
      <c r="J11" s="439"/>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0" t="s">
        <v>15619</v>
      </c>
      <c r="E12" s="401"/>
      <c r="F12" s="401"/>
      <c r="G12" s="401"/>
      <c r="H12" s="401"/>
      <c r="I12" s="401"/>
      <c r="J12" s="402"/>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0"/>
      <c r="E13" s="401"/>
      <c r="F13" s="401"/>
      <c r="G13" s="401"/>
      <c r="H13" s="401"/>
      <c r="I13" s="401"/>
      <c r="J13" s="402"/>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0" t="s">
        <v>15620</v>
      </c>
      <c r="E14" s="401"/>
      <c r="F14" s="401"/>
      <c r="G14" s="401"/>
      <c r="H14" s="401"/>
      <c r="I14" s="401"/>
      <c r="J14" s="402"/>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0" t="s">
        <v>15607</v>
      </c>
      <c r="E15" s="401"/>
      <c r="F15" s="401"/>
      <c r="G15" s="401"/>
      <c r="H15" s="401"/>
      <c r="I15" s="401"/>
      <c r="J15" s="402"/>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9" t="s">
        <v>15608</v>
      </c>
      <c r="E16" s="430"/>
      <c r="F16" s="430"/>
      <c r="G16" s="430"/>
      <c r="H16" s="430"/>
      <c r="I16" s="430"/>
      <c r="J16" s="431"/>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0" t="s">
        <v>15609</v>
      </c>
      <c r="E17" s="401"/>
      <c r="F17" s="401"/>
      <c r="G17" s="401"/>
      <c r="H17" s="401"/>
      <c r="I17" s="401"/>
      <c r="J17" s="402"/>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0" t="s">
        <v>15607</v>
      </c>
      <c r="E18" s="401"/>
      <c r="F18" s="401"/>
      <c r="G18" s="401"/>
      <c r="H18" s="401"/>
      <c r="I18" s="401"/>
      <c r="J18" s="402"/>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0" t="s">
        <v>15621</v>
      </c>
      <c r="E19" s="401"/>
      <c r="F19" s="401"/>
      <c r="G19" s="401"/>
      <c r="H19" s="401"/>
      <c r="I19" s="401"/>
      <c r="J19" s="402"/>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9" t="s">
        <v>15608</v>
      </c>
      <c r="E20" s="430"/>
      <c r="F20" s="430"/>
      <c r="G20" s="430"/>
      <c r="H20" s="430"/>
      <c r="I20" s="430"/>
      <c r="J20" s="431"/>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4" t="s">
        <v>15609</v>
      </c>
      <c r="E21" s="395"/>
      <c r="F21" s="395"/>
      <c r="G21" s="395"/>
      <c r="H21" s="395"/>
      <c r="I21" s="395"/>
      <c r="J21" s="396"/>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7">
        <v>44500</v>
      </c>
      <c r="E22" s="398"/>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4"/>
      <c r="E23" s="43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9" t="str">
        <f ca="1">OFFSET(L!$C$1,MATCH("Declaration"&amp;ADDRESS(ROW(),COLUMN(),4),L!$A:$A,0)-1,SL,,)</f>
        <v>Answer the following questions 1 - 8 based on the declaration scope indicated above</v>
      </c>
      <c r="C24" s="399"/>
      <c r="D24" s="399"/>
      <c r="E24" s="399"/>
      <c r="F24" s="399"/>
      <c r="G24" s="399"/>
      <c r="H24" s="399"/>
      <c r="I24" s="399"/>
      <c r="J24" s="39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75" customHeight="1">
      <c r="A25" s="52"/>
      <c r="B25" s="55" t="str">
        <f ca="1">OFFSET(L!$C$1,MATCH("Declaration"&amp;ADDRESS(ROW(),COLUMN(),4),L!$A:$A,0)-1,SL,,)</f>
        <v>1) Is any 3TG intentionally added or used in the product(s) or in the production process? (*)</v>
      </c>
      <c r="C25" s="20"/>
      <c r="D25" s="435" t="str">
        <f ca="1">OFFSET(L!$C$1,MATCH("Declaration"&amp;ADDRESS(ROW(),COLUMN(),4),L!$A:$A,0)-1,SL,,)</f>
        <v>Answer</v>
      </c>
      <c r="E25" s="435"/>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6" t="s">
        <v>489</v>
      </c>
      <c r="E26" s="387"/>
      <c r="F26" s="15"/>
      <c r="G26" s="388"/>
      <c r="H26" s="389"/>
      <c r="I26" s="389"/>
      <c r="J26" s="390"/>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6" t="s">
        <v>488</v>
      </c>
      <c r="E27" s="387"/>
      <c r="F27" s="15"/>
      <c r="G27" s="388"/>
      <c r="H27" s="389"/>
      <c r="I27" s="389"/>
      <c r="J27" s="390"/>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6" t="s">
        <v>489</v>
      </c>
      <c r="E28" s="387"/>
      <c r="F28" s="15"/>
      <c r="G28" s="388"/>
      <c r="H28" s="389"/>
      <c r="I28" s="389"/>
      <c r="J28" s="390"/>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6" t="s">
        <v>489</v>
      </c>
      <c r="E29" s="387"/>
      <c r="F29" s="15"/>
      <c r="G29" s="388"/>
      <c r="H29" s="389"/>
      <c r="I29" s="389"/>
      <c r="J29" s="390"/>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75" customHeight="1">
      <c r="A31" s="52"/>
      <c r="B31" s="55" t="str">
        <f ca="1">OFFSET(L!$C$1,MATCH("Declaration"&amp;ADDRESS(ROW(),COLUMN(),4),L!$A:$A,0)-1,SL,,)&amp;Q$37</f>
        <v>2) Does any 3TG remain in the product(s)? (*)</v>
      </c>
      <c r="C31" s="13"/>
      <c r="D31" s="393" t="str">
        <f ca="1">D25</f>
        <v>Answer</v>
      </c>
      <c r="E31" s="393"/>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3"/>
      <c r="E32" s="404"/>
      <c r="F32" s="58"/>
      <c r="G32" s="388"/>
      <c r="H32" s="389"/>
      <c r="I32" s="389"/>
      <c r="J32" s="390"/>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6" t="s">
        <v>488</v>
      </c>
      <c r="E33" s="387"/>
      <c r="F33" s="58"/>
      <c r="G33" s="388"/>
      <c r="H33" s="389"/>
      <c r="I33" s="389"/>
      <c r="J33" s="390"/>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6"/>
      <c r="E34" s="387"/>
      <c r="F34" s="58"/>
      <c r="G34" s="388"/>
      <c r="H34" s="389"/>
      <c r="I34" s="389"/>
      <c r="J34" s="390"/>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6"/>
      <c r="E35" s="387"/>
      <c r="F35" s="58"/>
      <c r="G35" s="388"/>
      <c r="H35" s="389"/>
      <c r="I35" s="389"/>
      <c r="J35" s="390"/>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75" customHeight="1">
      <c r="A37" s="52"/>
      <c r="B37" s="55" t="str">
        <f ca="1">OFFSET(L!$C$1,MATCH("Declaration"&amp;ADDRESS(ROW(),COLUMN(),4),L!$A:$A,0)-1,SL,,)&amp;Q$37</f>
        <v>3) Do any of the smelters in your supply chain source the 3TG from the covered countries? (SEC term, see definitions tab) (*)</v>
      </c>
      <c r="C37" s="13"/>
      <c r="D37" s="393" t="str">
        <f ca="1">D25</f>
        <v>Answer</v>
      </c>
      <c r="E37" s="393"/>
      <c r="F37" s="21"/>
      <c r="G37" s="55" t="str">
        <f ca="1">G25</f>
        <v>Comments</v>
      </c>
      <c r="H37" s="433"/>
      <c r="I37" s="433"/>
      <c r="J37" s="433"/>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6"/>
      <c r="E38" s="387"/>
      <c r="F38" s="58"/>
      <c r="G38" s="388" t="s">
        <v>15622</v>
      </c>
      <c r="H38" s="389"/>
      <c r="I38" s="389"/>
      <c r="J38" s="390"/>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6" t="s">
        <v>488</v>
      </c>
      <c r="E39" s="387"/>
      <c r="F39" s="58"/>
      <c r="G39" s="388" t="s">
        <v>15623</v>
      </c>
      <c r="H39" s="389"/>
      <c r="I39" s="389"/>
      <c r="J39" s="390"/>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6"/>
      <c r="E40" s="387"/>
      <c r="F40" s="58"/>
      <c r="G40" s="388"/>
      <c r="H40" s="389"/>
      <c r="I40" s="389"/>
      <c r="J40" s="390"/>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6"/>
      <c r="E41" s="387"/>
      <c r="F41" s="58"/>
      <c r="G41" s="388"/>
      <c r="H41" s="389"/>
      <c r="I41" s="389"/>
      <c r="J41" s="390"/>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 any of the smelters in your supply chain source the 3TG from conflict-affected and high-risk areas? (*)</v>
      </c>
      <c r="C43" s="13"/>
      <c r="D43" s="393" t="str">
        <f ca="1">D25</f>
        <v>Answer</v>
      </c>
      <c r="E43" s="393"/>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25" customHeight="1">
      <c r="A44" s="52"/>
      <c r="B44" s="51" t="str">
        <f ca="1">OFFSET(L!$C$1,MATCH("Declaration"&amp;ADDRESS(ROW(),COLUMN(),4),L!$A:$A,0)-1,SL,,)&amp;P44</f>
        <v xml:space="preserve">Tantalum  </v>
      </c>
      <c r="C44" s="13"/>
      <c r="D44" s="386"/>
      <c r="E44" s="387"/>
      <c r="F44" s="58"/>
      <c r="G44" s="388" t="s">
        <v>15622</v>
      </c>
      <c r="H44" s="389"/>
      <c r="I44" s="389"/>
      <c r="J44" s="390"/>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25" customHeight="1">
      <c r="A45" s="52"/>
      <c r="B45" s="51" t="str">
        <f ca="1">OFFSET(L!$C$1,MATCH("Declaration"&amp;ADDRESS(ROW(),COLUMN(),4),L!$A:$A,0)-1,SL,,)&amp;P45</f>
        <v>Tin  (*)</v>
      </c>
      <c r="C45" s="13"/>
      <c r="D45" s="386" t="s">
        <v>488</v>
      </c>
      <c r="E45" s="387"/>
      <c r="F45" s="58"/>
      <c r="G45" s="388" t="s">
        <v>15623</v>
      </c>
      <c r="H45" s="389"/>
      <c r="I45" s="389"/>
      <c r="J45" s="390"/>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25" customHeight="1">
      <c r="A46" s="52"/>
      <c r="B46" s="51" t="str">
        <f ca="1">OFFSET(L!$C$1,MATCH("Declaration"&amp;ADDRESS(ROW(),COLUMN(),4),L!$A:$A,0)-1,SL,,)&amp;P46</f>
        <v xml:space="preserve">Gold  </v>
      </c>
      <c r="C46" s="13"/>
      <c r="D46" s="386"/>
      <c r="E46" s="387"/>
      <c r="F46" s="58"/>
      <c r="G46" s="388"/>
      <c r="H46" s="389"/>
      <c r="I46" s="389"/>
      <c r="J46" s="390"/>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25" customHeight="1">
      <c r="A47" s="52"/>
      <c r="B47" s="51" t="str">
        <f ca="1">OFFSET(L!$C$1,MATCH("Declaration"&amp;ADDRESS(ROW(),COLUMN(),4),L!$A:$A,0)-1,SL,,)&amp;P47</f>
        <v xml:space="preserve">Tungsten  </v>
      </c>
      <c r="C47" s="13"/>
      <c r="D47" s="386"/>
      <c r="E47" s="387"/>
      <c r="F47" s="58"/>
      <c r="G47" s="388"/>
      <c r="H47" s="389"/>
      <c r="I47" s="389"/>
      <c r="J47" s="390"/>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2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3" t="str">
        <f ca="1">D25</f>
        <v>Answer</v>
      </c>
      <c r="E49" s="393"/>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6"/>
      <c r="E50" s="387"/>
      <c r="F50" s="58"/>
      <c r="G50" s="388"/>
      <c r="H50" s="389"/>
      <c r="I50" s="389"/>
      <c r="J50" s="390"/>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6" t="s">
        <v>490</v>
      </c>
      <c r="E51" s="387"/>
      <c r="F51" s="58"/>
      <c r="G51" s="388"/>
      <c r="H51" s="389"/>
      <c r="I51" s="389"/>
      <c r="J51" s="390"/>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6"/>
      <c r="E52" s="387"/>
      <c r="F52" s="58"/>
      <c r="G52" s="388"/>
      <c r="H52" s="389"/>
      <c r="I52" s="389"/>
      <c r="J52" s="390"/>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6"/>
      <c r="E53" s="387"/>
      <c r="F53" s="58"/>
      <c r="G53" s="388"/>
      <c r="H53" s="389"/>
      <c r="I53" s="389"/>
      <c r="J53" s="390"/>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75" customHeight="1">
      <c r="A55" s="52"/>
      <c r="B55" s="340" t="str">
        <f ca="1">OFFSET(L!$C$1,MATCH("Declaration"&amp;ADDRESS(ROW(),COLUMN(),4),L!$A:$A,0)-1,SL,,)&amp;Q$37</f>
        <v>6) What percentage of relevant suppliers have provided a response to your supply chain survey?  (*)</v>
      </c>
      <c r="C55" s="13"/>
      <c r="D55" s="393" t="str">
        <f ca="1">D25</f>
        <v>Answer</v>
      </c>
      <c r="E55" s="393"/>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1"/>
      <c r="E56" s="392"/>
      <c r="F56" s="58"/>
      <c r="G56" s="388"/>
      <c r="H56" s="389"/>
      <c r="I56" s="389"/>
      <c r="J56" s="390"/>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1">
        <v>1</v>
      </c>
      <c r="E57" s="392"/>
      <c r="F57" s="58"/>
      <c r="G57" s="388"/>
      <c r="H57" s="389"/>
      <c r="I57" s="389"/>
      <c r="J57" s="390"/>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91"/>
      <c r="E58" s="392"/>
      <c r="F58" s="58"/>
      <c r="G58" s="388"/>
      <c r="H58" s="389"/>
      <c r="I58" s="389"/>
      <c r="J58" s="390"/>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1"/>
      <c r="E59" s="392"/>
      <c r="F59" s="58"/>
      <c r="G59" s="388"/>
      <c r="H59" s="389"/>
      <c r="I59" s="389"/>
      <c r="J59" s="390"/>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75" customHeight="1">
      <c r="A61" s="52"/>
      <c r="B61" s="340" t="str">
        <f ca="1">OFFSET(L!$C$1,MATCH("Declaration"&amp;ADDRESS(ROW(),COLUMN(),4),L!$A:$A,0)-1,SL,,)&amp;Q$37</f>
        <v>7) Have you identified all of the smelters supplying the 3TG to your supply chain?  (*)</v>
      </c>
      <c r="C61" s="13"/>
      <c r="D61" s="393" t="str">
        <f ca="1">D25</f>
        <v>Answer</v>
      </c>
      <c r="E61" s="393"/>
      <c r="F61" s="21"/>
      <c r="G61" s="55" t="str">
        <f ca="1">G25</f>
        <v>Comments</v>
      </c>
      <c r="H61" s="432"/>
      <c r="I61" s="432"/>
      <c r="J61" s="432"/>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3"/>
      <c r="E62" s="404"/>
      <c r="F62" s="58"/>
      <c r="G62" s="388"/>
      <c r="H62" s="389"/>
      <c r="I62" s="389"/>
      <c r="J62" s="390"/>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6" t="s">
        <v>488</v>
      </c>
      <c r="E63" s="387"/>
      <c r="F63" s="58"/>
      <c r="G63" s="388"/>
      <c r="H63" s="389"/>
      <c r="I63" s="389"/>
      <c r="J63" s="390"/>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6"/>
      <c r="E64" s="387"/>
      <c r="F64" s="58"/>
      <c r="G64" s="388"/>
      <c r="H64" s="389"/>
      <c r="I64" s="389"/>
      <c r="J64" s="390"/>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6"/>
      <c r="E65" s="387"/>
      <c r="F65" s="58"/>
      <c r="G65" s="388"/>
      <c r="H65" s="389"/>
      <c r="I65" s="389"/>
      <c r="J65" s="390"/>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75" customHeight="1">
      <c r="A67" s="52"/>
      <c r="B67" s="55" t="str">
        <f ca="1">OFFSET(L!$C$1,MATCH("Declaration"&amp;ADDRESS(ROW(),COLUMN(),4),L!$A:$A,0)-1,SL,,)&amp;Q$37</f>
        <v>8) Has all applicable smelter information received by your company been reported in this declaration?  (*)</v>
      </c>
      <c r="C67" s="13"/>
      <c r="D67" s="393" t="str">
        <f ca="1">D25</f>
        <v>Answer</v>
      </c>
      <c r="E67" s="393"/>
      <c r="F67" s="21"/>
      <c r="G67" s="55" t="str">
        <f ca="1">G25</f>
        <v>Comments</v>
      </c>
      <c r="H67" s="432" t="str">
        <f>IF(Q75="(*)","Click here to enter smelter names","")</f>
        <v/>
      </c>
      <c r="I67" s="432"/>
      <c r="J67" s="432"/>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6"/>
      <c r="E68" s="387"/>
      <c r="F68" s="59"/>
      <c r="G68" s="388"/>
      <c r="H68" s="389"/>
      <c r="I68" s="389"/>
      <c r="J68" s="390"/>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6" t="s">
        <v>488</v>
      </c>
      <c r="E69" s="387"/>
      <c r="F69" s="59"/>
      <c r="G69" s="388"/>
      <c r="H69" s="389"/>
      <c r="I69" s="389"/>
      <c r="J69" s="390"/>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6"/>
      <c r="E70" s="387"/>
      <c r="F70" s="59"/>
      <c r="G70" s="388"/>
      <c r="H70" s="389"/>
      <c r="I70" s="389"/>
      <c r="J70" s="390"/>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6"/>
      <c r="E71" s="387"/>
      <c r="F71" s="61"/>
      <c r="G71" s="388"/>
      <c r="H71" s="389"/>
      <c r="I71" s="389"/>
      <c r="J71" s="390"/>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6" t="str">
        <f ca="1">OFFSET(L!$C$1,MATCH("Declaration"&amp;ADDRESS(ROW(),COLUMN(),4),L!$A:$A,0)-1,SL,,)</f>
        <v>Answer the Following Questions at a Company Level</v>
      </c>
      <c r="C73" s="446"/>
      <c r="D73" s="446"/>
      <c r="E73" s="446"/>
      <c r="F73" s="446"/>
      <c r="G73" s="446"/>
      <c r="H73" s="446"/>
      <c r="I73" s="446"/>
      <c r="J73" s="446"/>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5" t="str">
        <f ca="1">D25</f>
        <v>Answer</v>
      </c>
      <c r="E74" s="435"/>
      <c r="F74" s="64"/>
      <c r="G74" s="435" t="str">
        <f ca="1">G25</f>
        <v>Comments</v>
      </c>
      <c r="H74" s="435" t="e">
        <f>HLOOKUP(SL,LT,$O74,0)</f>
        <v>#NAME?</v>
      </c>
      <c r="I74" s="435"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6" t="s">
        <v>488</v>
      </c>
      <c r="E75" s="387"/>
      <c r="F75" s="68"/>
      <c r="G75" s="388"/>
      <c r="H75" s="389"/>
      <c r="I75" s="389"/>
      <c r="J75" s="390"/>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6"/>
      <c r="H76" s="436"/>
      <c r="I76" s="436"/>
      <c r="J76" s="43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6" t="s">
        <v>489</v>
      </c>
      <c r="E77" s="387"/>
      <c r="F77" s="68"/>
      <c r="G77" s="405"/>
      <c r="H77" s="406"/>
      <c r="I77" s="406"/>
      <c r="J77" s="407"/>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6" t="s">
        <v>488</v>
      </c>
      <c r="E79" s="387"/>
      <c r="F79" s="68"/>
      <c r="G79" s="388"/>
      <c r="H79" s="389"/>
      <c r="I79" s="389"/>
      <c r="J79" s="390"/>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6" t="s">
        <v>488</v>
      </c>
      <c r="E81" s="387"/>
      <c r="F81" s="68"/>
      <c r="G81" s="388"/>
      <c r="H81" s="389"/>
      <c r="I81" s="389"/>
      <c r="J81" s="390"/>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6" t="s">
        <v>15250</v>
      </c>
      <c r="E83" s="387"/>
      <c r="F83" s="68"/>
      <c r="G83" s="388"/>
      <c r="H83" s="389"/>
      <c r="I83" s="389"/>
      <c r="J83" s="390"/>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3" t="s">
        <v>488</v>
      </c>
      <c r="E85" s="444"/>
      <c r="F85" s="68"/>
      <c r="G85" s="388"/>
      <c r="H85" s="389"/>
      <c r="I85" s="389"/>
      <c r="J85" s="390"/>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6"/>
      <c r="H86" s="436"/>
      <c r="I86" s="436"/>
      <c r="J86" s="43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5" customHeight="1">
      <c r="A87" s="52"/>
      <c r="B87" s="67" t="str">
        <f ca="1">OFFSET(L!$C$1,MATCH("Declaration"&amp;ADDRESS(ROW(),COLUMN(),4),L!$A:$A,0)-1,SL,,)&amp;$Q$37</f>
        <v>G. Does your review process include corrective action management? (*)</v>
      </c>
      <c r="C87" s="68"/>
      <c r="D87" s="386" t="s">
        <v>488</v>
      </c>
      <c r="E87" s="387"/>
      <c r="F87" s="68"/>
      <c r="G87" s="388"/>
      <c r="H87" s="389"/>
      <c r="I87" s="389"/>
      <c r="J87" s="390"/>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5"/>
      <c r="H88" s="445"/>
      <c r="I88" s="445"/>
      <c r="J88" s="44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6" t="s">
        <v>489</v>
      </c>
      <c r="E89" s="387"/>
      <c r="F89" s="68"/>
      <c r="G89" s="388"/>
      <c r="H89" s="389"/>
      <c r="I89" s="389"/>
      <c r="J89" s="390"/>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2" t="str">
        <f>IF(OR($D$8="",$I$3=""),"","Click here to check required fields completion")</f>
        <v/>
      </c>
      <c r="C90" s="442"/>
      <c r="D90" s="442"/>
      <c r="E90" s="442"/>
      <c r="F90" s="442"/>
      <c r="G90" s="442"/>
      <c r="H90" s="442"/>
      <c r="I90" s="442"/>
      <c r="J90" s="44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40" t="str">
        <f ca="1">OFFSET(L!$C$1,MATCH("General"&amp;"Cpy",L!$A:$A,0)-1,SL,,)</f>
        <v>© 2021 Responsible Minerals Initiative. All rights reserved.</v>
      </c>
      <c r="B91" s="441"/>
      <c r="C91" s="441"/>
      <c r="D91" s="441"/>
      <c r="E91" s="441"/>
      <c r="F91" s="441"/>
      <c r="G91" s="441"/>
      <c r="H91" s="441"/>
      <c r="I91" s="441"/>
      <c r="J91" s="44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6" priority="63" stopIfTrue="1">
      <formula>AND(OR($D$26="No",AND($D$26="Yes",$D$32="No")),OR($D$27="No",AND($D$27="Yes",$D$33="No")),OR($D$28="No",AND($D$28="Yes",$D$34="No")),OR($D$29="No",AND($D$29="Yes",$D$35="No")))</formula>
    </cfRule>
    <cfRule type="expression" dxfId="105" priority="64" stopIfTrue="1">
      <formula>IF(D75="",TRUE)</formula>
    </cfRule>
  </conditionalFormatting>
  <conditionalFormatting sqref="G77:J77">
    <cfRule type="expression" dxfId="104" priority="35" stopIfTrue="1">
      <formula>IF(AND($D$77="Yes",$G$77=""),TRUE)</formula>
    </cfRule>
  </conditionalFormatting>
  <conditionalFormatting sqref="D26:E26">
    <cfRule type="expression" dxfId="103" priority="115" stopIfTrue="1">
      <formula>IF($D$26="",TRUE)</formula>
    </cfRule>
  </conditionalFormatting>
  <conditionalFormatting sqref="D27:E27">
    <cfRule type="expression" dxfId="102" priority="122" stopIfTrue="1">
      <formula>IF($D$27="",TRUE)</formula>
    </cfRule>
  </conditionalFormatting>
  <conditionalFormatting sqref="D28:E28">
    <cfRule type="expression" dxfId="101" priority="123" stopIfTrue="1">
      <formula>IF($D$28="",TRUE)</formula>
    </cfRule>
  </conditionalFormatting>
  <conditionalFormatting sqref="D29:E29">
    <cfRule type="expression" dxfId="100" priority="124" stopIfTrue="1">
      <formula>IF($D$29="",TRUE)</formula>
    </cfRule>
  </conditionalFormatting>
  <conditionalFormatting sqref="D8:J8">
    <cfRule type="expression" dxfId="99" priority="129" stopIfTrue="1">
      <formula>IF($D$8="",TRUE)</formula>
    </cfRule>
  </conditionalFormatting>
  <conditionalFormatting sqref="D9:G9">
    <cfRule type="expression" dxfId="98" priority="130" stopIfTrue="1">
      <formula>IF($D$9="",TRUE)</formula>
    </cfRule>
  </conditionalFormatting>
  <conditionalFormatting sqref="D15:J15">
    <cfRule type="expression" dxfId="97" priority="131" stopIfTrue="1">
      <formula>IF($D$15="",TRUE)</formula>
    </cfRule>
  </conditionalFormatting>
  <conditionalFormatting sqref="D16:J16">
    <cfRule type="expression" dxfId="96" priority="132" stopIfTrue="1">
      <formula>IF($D$16="",TRUE)</formula>
    </cfRule>
  </conditionalFormatting>
  <conditionalFormatting sqref="D17:J17">
    <cfRule type="expression" dxfId="95" priority="133" stopIfTrue="1">
      <formula>IF($D$17="",TRUE)</formula>
    </cfRule>
  </conditionalFormatting>
  <conditionalFormatting sqref="D18:J18">
    <cfRule type="expression" dxfId="94" priority="134" stopIfTrue="1">
      <formula>IF($D$18="",TRUE)</formula>
    </cfRule>
  </conditionalFormatting>
  <conditionalFormatting sqref="D22:E22">
    <cfRule type="expression" dxfId="93" priority="137" stopIfTrue="1">
      <formula>IF($D$22="",TRUE)</formula>
    </cfRule>
  </conditionalFormatting>
  <conditionalFormatting sqref="D10:J10">
    <cfRule type="expression" dxfId="92" priority="34" stopIfTrue="1">
      <formula>IF($D$9=$Q$9,TRUE)</formula>
    </cfRule>
    <cfRule type="expression" dxfId="91" priority="144" stopIfTrue="1">
      <formula>IF(AND($D$10="",$D$9=$R$9),TRUE)</formula>
    </cfRule>
  </conditionalFormatting>
  <conditionalFormatting sqref="D34:E34 D40:E40 D52:E52 D58:E58 D64:E64 D70:E70">
    <cfRule type="expression" dxfId="90" priority="27" stopIfTrue="1">
      <formula>$P$28=""</formula>
    </cfRule>
  </conditionalFormatting>
  <conditionalFormatting sqref="D35:E35 D41:E41 D53:E53 D59:E59 D65:E65 D71:E71">
    <cfRule type="expression" dxfId="89" priority="142" stopIfTrue="1">
      <formula>$P$29=""</formula>
    </cfRule>
  </conditionalFormatting>
  <conditionalFormatting sqref="D32:E32">
    <cfRule type="expression" dxfId="88" priority="120" stopIfTrue="1">
      <formula>$P$26=""</formula>
    </cfRule>
  </conditionalFormatting>
  <conditionalFormatting sqref="D32:E32">
    <cfRule type="expression" dxfId="87" priority="33" stopIfTrue="1">
      <formula>IF(AND(OR($D$26="Yes",$D$26=""),$D$32=""),1,0)</formula>
    </cfRule>
  </conditionalFormatting>
  <conditionalFormatting sqref="D38 D50 D56 D62 D68">
    <cfRule type="expression" dxfId="86" priority="29" stopIfTrue="1">
      <formula>$P$32=""</formula>
    </cfRule>
  </conditionalFormatting>
  <conditionalFormatting sqref="D39:E39 D51 D57 D63 D69">
    <cfRule type="expression" dxfId="85" priority="28" stopIfTrue="1">
      <formula>$P$33=""</formula>
    </cfRule>
  </conditionalFormatting>
  <conditionalFormatting sqref="D40 D52 D58 D64 D70">
    <cfRule type="expression" dxfId="84" priority="18" stopIfTrue="1">
      <formula>$P$34=""</formula>
    </cfRule>
    <cfRule type="expression" dxfId="83" priority="140" stopIfTrue="1">
      <formula>IF(AND(OR($D$28="Yes",$D$28=""),D40=""),1,0)</formula>
    </cfRule>
  </conditionalFormatting>
  <conditionalFormatting sqref="D41 D53 D59 D65 D71">
    <cfRule type="expression" dxfId="82" priority="26" stopIfTrue="1">
      <formula>$P$35=""</formula>
    </cfRule>
  </conditionalFormatting>
  <conditionalFormatting sqref="D38:E38 D50:E50 D56:E56 D62:E62 D68:E68">
    <cfRule type="expression" dxfId="81" priority="31" stopIfTrue="1">
      <formula>$P$26=""</formula>
    </cfRule>
    <cfRule type="expression" dxfId="80" priority="32" stopIfTrue="1">
      <formula>IF(AND(OR($D$26="Yes",$D$26=""),D38=""),1,0)</formula>
    </cfRule>
  </conditionalFormatting>
  <conditionalFormatting sqref="G85:J85">
    <cfRule type="expression" dxfId="79" priority="25" stopIfTrue="1">
      <formula>IF(AND($D$85="Yes, using other format (describe)",$G$85=""),TRUE)</formula>
    </cfRule>
  </conditionalFormatting>
  <conditionalFormatting sqref="D39:E39 D51:E51 D57:E57 D63:E63 D69:E69">
    <cfRule type="expression" dxfId="78" priority="138" stopIfTrue="1">
      <formula>$P$39=""</formula>
    </cfRule>
    <cfRule type="expression" dxfId="77" priority="139" stopIfTrue="1">
      <formula>IF(AND(OR($D$27="Yes",$D$27=""),D39=""),1,0)</formula>
    </cfRule>
  </conditionalFormatting>
  <conditionalFormatting sqref="D33:E33">
    <cfRule type="expression" dxfId="76" priority="20" stopIfTrue="1">
      <formula>IF(AND(OR($D$27="Yes",$D$27=""),$D$33=""),1,0)</formula>
    </cfRule>
    <cfRule type="expression" dxfId="75" priority="21" stopIfTrue="1">
      <formula>$P$27=""</formula>
    </cfRule>
  </conditionalFormatting>
  <conditionalFormatting sqref="D34:E34">
    <cfRule type="expression" dxfId="74" priority="141" stopIfTrue="1">
      <formula>IF(AND(OR($D$28="Yes",$D$28=""),$D$34=""),1,0)</formula>
    </cfRule>
  </conditionalFormatting>
  <conditionalFormatting sqref="D41:E41 D53:E53 D59:E59 D65:E65 D71:E71">
    <cfRule type="expression" dxfId="73" priority="143" stopIfTrue="1">
      <formula>IF(AND(OR($D$29="Yes",$D$29=""),D41=""),1,0)</formula>
    </cfRule>
  </conditionalFormatting>
  <conditionalFormatting sqref="D35:E35">
    <cfRule type="expression" dxfId="72" priority="17" stopIfTrue="1">
      <formula>IF(AND(OR($D$29="Yes",$D$29=""),$D$35=""),1,0)</formula>
    </cfRule>
  </conditionalFormatting>
  <conditionalFormatting sqref="D20:J20">
    <cfRule type="expression" dxfId="71" priority="13" stopIfTrue="1">
      <formula>IF($D$20="",TRUE)</formula>
    </cfRule>
  </conditionalFormatting>
  <conditionalFormatting sqref="D46:E46">
    <cfRule type="expression" dxfId="70" priority="3" stopIfTrue="1">
      <formula>$P$28=""</formula>
    </cfRule>
  </conditionalFormatting>
  <conditionalFormatting sqref="D47:E47">
    <cfRule type="expression" dxfId="69" priority="11" stopIfTrue="1">
      <formula>$P$29=""</formula>
    </cfRule>
  </conditionalFormatting>
  <conditionalFormatting sqref="D44">
    <cfRule type="expression" dxfId="68" priority="5" stopIfTrue="1">
      <formula>$P$32=""</formula>
    </cfRule>
  </conditionalFormatting>
  <conditionalFormatting sqref="D45">
    <cfRule type="expression" dxfId="67" priority="4" stopIfTrue="1">
      <formula>$P$33=""</formula>
    </cfRule>
  </conditionalFormatting>
  <conditionalFormatting sqref="D46">
    <cfRule type="expression" dxfId="66" priority="1" stopIfTrue="1">
      <formula>$P$34=""</formula>
    </cfRule>
    <cfRule type="expression" dxfId="65" priority="10" stopIfTrue="1">
      <formula>IF(AND(OR($D$28="Yes",$D$28=""),D46=""),1,0)</formula>
    </cfRule>
  </conditionalFormatting>
  <conditionalFormatting sqref="D47">
    <cfRule type="expression" dxfId="64" priority="2" stopIfTrue="1">
      <formula>$P$35=""</formula>
    </cfRule>
  </conditionalFormatting>
  <conditionalFormatting sqref="D44:E44">
    <cfRule type="expression" dxfId="63" priority="6" stopIfTrue="1">
      <formula>$P$26=""</formula>
    </cfRule>
    <cfRule type="expression" dxfId="62" priority="7" stopIfTrue="1">
      <formula>IF(AND(OR($D$26="Yes",$D$26=""),D44=""),1,0)</formula>
    </cfRule>
  </conditionalFormatting>
  <conditionalFormatting sqref="D45:E45">
    <cfRule type="expression" dxfId="61" priority="8" stopIfTrue="1">
      <formula>$P$39=""</formula>
    </cfRule>
    <cfRule type="expression" dxfId="60" priority="9" stopIfTrue="1">
      <formula>IF(AND(OR($D$27="Yes",$D$27=""),D45=""),1,0)</formula>
    </cfRule>
  </conditionalFormatting>
  <conditionalFormatting sqref="D47:E47">
    <cfRule type="expression" dxfId="59"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6307BC4-5802-4FE8-AA01-3D94CBA60577}"/>
    <hyperlink ref="D20" r:id="rId4" xr:uid="{91373411-7A40-442F-A891-C997C17E0B25}"/>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0" sqref="A50"/>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7" t="str">
        <f ca="1">OFFSET(L!$C$1,MATCH("Smelter List"&amp;ADDRESS(ROW(),COLUMN(),4),L!$A:$A,0)-1,SL,,)</f>
        <v>Link to "RMAP Conformant Smelter List"</v>
      </c>
      <c r="K2" s="448"/>
      <c r="L2" s="448"/>
      <c r="M2" s="448"/>
      <c r="N2" s="448"/>
      <c r="O2" s="448"/>
      <c r="P2" s="231"/>
      <c r="Q2" s="232"/>
      <c r="R2" s="233"/>
      <c r="S2" s="233"/>
      <c r="T2" s="233"/>
      <c r="U2" s="262"/>
      <c r="V2" s="262"/>
      <c r="W2" s="263"/>
      <c r="X2" s="262"/>
      <c r="Y2" s="262"/>
      <c r="Z2" s="262"/>
      <c r="AH2" s="174" t="s">
        <v>488</v>
      </c>
    </row>
    <row r="3" spans="1:34" s="264" customFormat="1" ht="273.95" customHeight="1">
      <c r="A3" s="202"/>
      <c r="B3" s="44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9"/>
      <c r="D3" s="449"/>
      <c r="E3" s="449"/>
      <c r="F3" s="265"/>
      <c r="G3" s="450" t="str">
        <f ca="1">OFFSET(L!$C$1,MATCH("General"&amp;"Cpy",L!$A:$A,0)-1,SL,,)</f>
        <v>© 2021 Responsible Minerals Initiative. All rights reserved.</v>
      </c>
      <c r="H3" s="450"/>
      <c r="I3" s="451"/>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t="s">
        <v>774</v>
      </c>
      <c r="B5" s="215" t="str">
        <f ca="1">IF(LEN(A5)=0,"",INDEX('Smelter Look-up'!$A:$A,MATCH($A5,'Smelter Look-up'!$E:$E,0)))</f>
        <v>Tin</v>
      </c>
      <c r="C5" s="219" t="str">
        <f ca="1">IF(LEN(A5)=0,"",INDEX('Smelter Look-up'!$C:$C,MATCH($A5,'Smelter Look-up'!$E:$E,0)))</f>
        <v>Malaysia Smelting Corporation (MSC)</v>
      </c>
      <c r="D5" s="278"/>
      <c r="E5" s="215" t="str">
        <f ca="1">IF(ISERROR($V5),"",OFFSET('Smelter Look-up'!$D$4,$V5-4,0)&amp;"")</f>
        <v>MALAYSIA</v>
      </c>
      <c r="F5" s="215" t="str">
        <f ca="1">IF(ISERROR($V5),"",OFFSET('Smelter Look-up'!$E$4,$V5-4,0))</f>
        <v>CID001105</v>
      </c>
      <c r="G5" s="215" t="str">
        <f ca="1">IF(C5=$X$4,"Enter smelter details",IF(ISERROR($V5),"",OFFSET('Smelter Look-up'!$F$4,$V5-4,0)))</f>
        <v>RMI</v>
      </c>
      <c r="H5" s="216">
        <f ca="1">IF(ISERROR($V5),"",OFFSET('Smelter Look-up'!$G$4,$V5-4,0))</f>
        <v>0</v>
      </c>
      <c r="I5" s="217" t="str">
        <f ca="1">IF(ISERROR($V5),"",OFFSET('Smelter Look-up'!$H$4,$V5-4,0))</f>
        <v>Butterworth</v>
      </c>
      <c r="J5" s="217" t="str">
        <f ca="1">IF(ISERROR($V5),"",OFFSET('Smelter Look-up'!$I$4,$V5-4,0))</f>
        <v>Pulau Pinang</v>
      </c>
      <c r="K5" s="268"/>
      <c r="L5" s="268"/>
      <c r="M5" s="268"/>
      <c r="N5" s="268"/>
      <c r="O5" s="268"/>
      <c r="P5" s="218"/>
      <c r="Q5" s="269"/>
      <c r="R5" s="215" t="str">
        <f ca="1">IF(ISERROR($V5),"",OFFSET('Smelter Look-up'!$C$4,$V5-4,0)&amp;"")</f>
        <v>Malaysia Smelting Corporation (MSC)</v>
      </c>
      <c r="S5" s="222" t="str">
        <f t="shared" ref="S5" ca="1" si="0">IF(B5="","",IF(ISERROR(MATCH($E5,CL,0)),"Unknown",INDIRECT("'C'!$A$"&amp;MATCH($E5,CL,0)+1)))</f>
        <v>MY</v>
      </c>
      <c r="T5" s="222" t="str">
        <f ca="1">IF(B5="","",IF(ISERROR(MATCH($J5,SorP!$B$1:$B$6230,0)),"",INDIRECT("'SorP'!$A$"&amp;MATCH($J5,SorP!$B$1:$B$6230,0))))</f>
        <v>MY-07</v>
      </c>
      <c r="U5" s="238"/>
      <c r="V5" s="270">
        <f ca="1">IF(C5="",NA(),MATCH($B5&amp;$C5,'Smelter Look-up'!$J:$J,0))</f>
        <v>449</v>
      </c>
      <c r="W5" s="271"/>
      <c r="X5" s="271">
        <f t="shared" ref="X5" ca="1" si="1">IF(AND(C5="Smelter not listed",OR(LEN(D5)=0,LEN(E5)=0)),1,0)</f>
        <v>0</v>
      </c>
      <c r="Y5" s="271"/>
      <c r="Z5" s="271"/>
      <c r="AB5" s="273" t="str">
        <f t="shared" ref="AB5" ca="1" si="2">B5&amp;C5</f>
        <v>TinMalaysia Smelting Corporation (MSC)</v>
      </c>
    </row>
    <row r="6" spans="1:34" s="272" customFormat="1" ht="20.100000000000001" customHeight="1">
      <c r="A6" s="324" t="s">
        <v>775</v>
      </c>
      <c r="B6" s="215" t="str">
        <f ca="1">IF(LEN(A6)=0,"",INDEX('Smelter Look-up'!$A:$A,MATCH($A6,'Smelter Look-up'!$E:$E,0)))</f>
        <v>Tin</v>
      </c>
      <c r="C6" s="219" t="str">
        <f ca="1">IF(LEN(A6)=0,"",INDEX('Smelter Look-up'!$C:$C,MATCH($A6,'Smelter Look-up'!$E:$E,0)))</f>
        <v>Mineracao Taboca S.A.</v>
      </c>
      <c r="D6" s="278"/>
      <c r="E6" s="215" t="str">
        <f ca="1">IF(ISERROR($V6),"",OFFSET('Smelter Look-up'!$D$4,$V6-4,0)&amp;"")</f>
        <v>BRAZIL</v>
      </c>
      <c r="F6" s="215" t="str">
        <f ca="1">IF(ISERROR($V6),"",OFFSET('Smelter Look-up'!$E$4,$V6-4,0))</f>
        <v>CID001173</v>
      </c>
      <c r="G6" s="215" t="str">
        <f ca="1">IF(C6=$X$4,"Enter smelter details",IF(ISERROR($V6),"",OFFSET('Smelter Look-up'!$F$4,$V6-4,0)))</f>
        <v>RMI</v>
      </c>
      <c r="H6" s="216">
        <f ca="1">IF(ISERROR($V6),"",OFFSET('Smelter Look-up'!$G$4,$V6-4,0))</f>
        <v>0</v>
      </c>
      <c r="I6" s="217" t="str">
        <f ca="1">IF(ISERROR($V6),"",OFFSET('Smelter Look-up'!$H$4,$V6-4,0))</f>
        <v>Bairro Guarapiranga</v>
      </c>
      <c r="J6" s="217" t="str">
        <f ca="1">IF(ISERROR($V6),"",OFFSET('Smelter Look-up'!$I$4,$V6-4,0))</f>
        <v>São Paulo</v>
      </c>
      <c r="K6" s="268"/>
      <c r="L6" s="268"/>
      <c r="M6" s="268"/>
      <c r="N6" s="268"/>
      <c r="O6" s="268"/>
      <c r="P6" s="218"/>
      <c r="Q6" s="269"/>
      <c r="R6" s="215" t="str">
        <f ca="1">IF(ISERROR($V6),"",OFFSET('Smelter Look-up'!$C$4,$V6-4,0)&amp;"")</f>
        <v>Mineracao Taboca S.A.</v>
      </c>
      <c r="S6" s="222" t="str">
        <f t="shared" ref="S6:S37" ca="1" si="3">IF(B6="","",IF(ISERROR(MATCH($E6,CL,0)),"Unknown",INDIRECT("'C'!$A$"&amp;MATCH($E6,CL,0)+1)))</f>
        <v>BR</v>
      </c>
      <c r="T6" s="222" t="str">
        <f ca="1">IF(B6="","",IF(ISERROR(MATCH($J6,SorP!$B$1:$B$6230,0)),"",INDIRECT("'SorP'!$A$"&amp;MATCH($J6,SorP!$B$1:$B$6230,0))))</f>
        <v>BR-SP</v>
      </c>
      <c r="U6" s="238"/>
      <c r="V6" s="270">
        <f ca="1">IF(C6="",NA(),MATCH($B6&amp;$C6,'Smelter Look-up'!$J:$J,0))</f>
        <v>456</v>
      </c>
      <c r="W6" s="271"/>
      <c r="X6" s="271">
        <f t="shared" ref="X6:X37" ca="1" si="4">IF(AND(C6="Smelter not listed",OR(LEN(D6)=0,LEN(E6)=0)),1,0)</f>
        <v>0</v>
      </c>
      <c r="Y6" s="271"/>
      <c r="Z6" s="271"/>
      <c r="AB6" s="273" t="str">
        <f t="shared" ref="AB6:AB37" ca="1" si="5">B6&amp;C6</f>
        <v>TinMineracao Taboca S.A.</v>
      </c>
    </row>
    <row r="7" spans="1:34" s="272" customFormat="1" ht="20.100000000000001" customHeight="1">
      <c r="A7" s="324" t="s">
        <v>776</v>
      </c>
      <c r="B7" s="215" t="str">
        <f ca="1">IF(LEN(A7)=0,"",INDEX('Smelter Look-up'!$A:$A,MATCH($A7,'Smelter Look-up'!$E:$E,0)))</f>
        <v>Tin</v>
      </c>
      <c r="C7" s="219" t="str">
        <f ca="1">IF(LEN(A7)=0,"",INDEX('Smelter Look-up'!$C:$C,MATCH($A7,'Smelter Look-up'!$E:$E,0)))</f>
        <v>Minsur</v>
      </c>
      <c r="D7" s="278"/>
      <c r="E7" s="215" t="str">
        <f ca="1">IF(ISERROR($V7),"",OFFSET('Smelter Look-up'!$D$4,$V7-4,0)&amp;"")</f>
        <v>PERU</v>
      </c>
      <c r="F7" s="215" t="str">
        <f ca="1">IF(ISERROR($V7),"",OFFSET('Smelter Look-up'!$E$4,$V7-4,0))</f>
        <v>CID001182</v>
      </c>
      <c r="G7" s="215" t="str">
        <f ca="1">IF(C7=$X$4,"Enter smelter details",IF(ISERROR($V7),"",OFFSET('Smelter Look-up'!$F$4,$V7-4,0)))</f>
        <v>RMI</v>
      </c>
      <c r="H7" s="216">
        <f ca="1">IF(ISERROR($V7),"",OFFSET('Smelter Look-up'!$G$4,$V7-4,0))</f>
        <v>0</v>
      </c>
      <c r="I7" s="217" t="str">
        <f ca="1">IF(ISERROR($V7),"",OFFSET('Smelter Look-up'!$H$4,$V7-4,0))</f>
        <v>Paracas</v>
      </c>
      <c r="J7" s="217" t="str">
        <f ca="1">IF(ISERROR($V7),"",OFFSET('Smelter Look-up'!$I$4,$V7-4,0))</f>
        <v>Ika</v>
      </c>
      <c r="K7" s="268"/>
      <c r="L7" s="268"/>
      <c r="M7" s="268"/>
      <c r="N7" s="268"/>
      <c r="O7" s="268"/>
      <c r="P7" s="218"/>
      <c r="Q7" s="269"/>
      <c r="R7" s="215" t="str">
        <f ca="1">IF(ISERROR($V7),"",OFFSET('Smelter Look-up'!$C$4,$V7-4,0)&amp;"")</f>
        <v>Minsur</v>
      </c>
      <c r="S7" s="222" t="str">
        <f t="shared" ca="1" si="3"/>
        <v>PE</v>
      </c>
      <c r="T7" s="222" t="str">
        <f ca="1">IF(B7="","",IF(ISERROR(MATCH($J7,SorP!$B$1:$B$6230,0)),"",INDIRECT("'SorP'!$A$"&amp;MATCH($J7,SorP!$B$1:$B$6230,0))))</f>
        <v>PE-ICA</v>
      </c>
      <c r="U7" s="238"/>
      <c r="V7" s="270">
        <f ca="1">IF(C7="",NA(),MATCH($B7&amp;$C7,'Smelter Look-up'!$J:$J,0))</f>
        <v>460</v>
      </c>
      <c r="W7" s="271"/>
      <c r="X7" s="271">
        <f t="shared" ca="1" si="4"/>
        <v>0</v>
      </c>
      <c r="Y7" s="271"/>
      <c r="Z7" s="271"/>
      <c r="AB7" s="273" t="str">
        <f t="shared" ca="1" si="5"/>
        <v>TinMinsur</v>
      </c>
    </row>
    <row r="8" spans="1:34" s="272" customFormat="1" ht="20.100000000000001" customHeight="1">
      <c r="A8" s="324" t="s">
        <v>780</v>
      </c>
      <c r="B8" s="215" t="str">
        <f ca="1">IF(LEN(A8)=0,"",INDEX('Smelter Look-up'!$A:$A,MATCH($A8,'Smelter Look-up'!$E:$E,0)))</f>
        <v>Tin</v>
      </c>
      <c r="C8" s="219" t="str">
        <f ca="1">IF(LEN(A8)=0,"",INDEX('Smelter Look-up'!$C:$C,MATCH($A8,'Smelter Look-up'!$E:$E,0)))</f>
        <v>Operaciones Metalurgicas S.A.</v>
      </c>
      <c r="D8" s="278"/>
      <c r="E8" s="215" t="str">
        <f ca="1">IF(ISERROR($V8),"",OFFSET('Smelter Look-up'!$D$4,$V8-4,0)&amp;"")</f>
        <v>BOLIVIA (PLURINATIONAL STATE OF)</v>
      </c>
      <c r="F8" s="215" t="str">
        <f ca="1">IF(ISERROR($V8),"",OFFSET('Smelter Look-up'!$E$4,$V8-4,0))</f>
        <v>CID001337</v>
      </c>
      <c r="G8" s="215" t="str">
        <f ca="1">IF(C8=$X$4,"Enter smelter details",IF(ISERROR($V8),"",OFFSET('Smelter Look-up'!$F$4,$V8-4,0)))</f>
        <v>RMI</v>
      </c>
      <c r="H8" s="216">
        <f ca="1">IF(ISERROR($V8),"",OFFSET('Smelter Look-up'!$G$4,$V8-4,0))</f>
        <v>0</v>
      </c>
      <c r="I8" s="217" t="str">
        <f ca="1">IF(ISERROR($V8),"",OFFSET('Smelter Look-up'!$H$4,$V8-4,0))</f>
        <v>Oruro</v>
      </c>
      <c r="J8" s="217" t="str">
        <f ca="1">IF(ISERROR($V8),"",OFFSET('Smelter Look-up'!$I$4,$V8-4,0))</f>
        <v>Oruro</v>
      </c>
      <c r="K8" s="268"/>
      <c r="L8" s="268"/>
      <c r="M8" s="268"/>
      <c r="N8" s="268"/>
      <c r="O8" s="268"/>
      <c r="P8" s="218"/>
      <c r="Q8" s="269"/>
      <c r="R8" s="215" t="str">
        <f ca="1">IF(ISERROR($V8),"",OFFSET('Smelter Look-up'!$C$4,$V8-4,0)&amp;"")</f>
        <v>Operaciones Metalurgicas S.A.</v>
      </c>
      <c r="S8" s="222" t="str">
        <f t="shared" ca="1" si="3"/>
        <v>BO</v>
      </c>
      <c r="T8" s="222" t="str">
        <f ca="1">IF(B8="","",IF(ISERROR(MATCH($J8,SorP!$B$1:$B$6230,0)),"",INDIRECT("'SorP'!$A$"&amp;MATCH($J8,SorP!$B$1:$B$6230,0))))</f>
        <v>BO-O</v>
      </c>
      <c r="U8" s="238"/>
      <c r="V8" s="270">
        <f ca="1">IF(C8="",NA(),MATCH($B8&amp;$C8,'Smelter Look-up'!$J:$J,0))</f>
        <v>471</v>
      </c>
      <c r="W8" s="271"/>
      <c r="X8" s="271">
        <f t="shared" ca="1" si="4"/>
        <v>0</v>
      </c>
      <c r="Y8" s="271"/>
      <c r="Z8" s="271"/>
      <c r="AB8" s="273" t="str">
        <f t="shared" ca="1" si="5"/>
        <v>TinOperaciones Metalurgicas S.A.</v>
      </c>
    </row>
    <row r="9" spans="1:34" s="272" customFormat="1" ht="20.100000000000001" customHeight="1">
      <c r="A9" s="324" t="s">
        <v>15396</v>
      </c>
      <c r="B9" s="215" t="str">
        <f ca="1">IF(LEN(A9)=0,"",INDEX('Smelter Look-up'!$A:$A,MATCH($A9,'Smelter Look-up'!$E:$E,0)))</f>
        <v>Tin</v>
      </c>
      <c r="C9" s="219" t="str">
        <f ca="1">IF(LEN(A9)=0,"",INDEX('Smelter Look-up'!$C:$C,MATCH($A9,'Smelter Look-up'!$E:$E,0)))</f>
        <v>PT Babel Surya Alam Lestari</v>
      </c>
      <c r="D9" s="278"/>
      <c r="E9" s="215" t="str">
        <f ca="1">IF(ISERROR($V9),"",OFFSET('Smelter Look-up'!$D$4,$V9-4,0)&amp;"")</f>
        <v>INDONESIA</v>
      </c>
      <c r="F9" s="215" t="str">
        <f ca="1">IF(ISERROR($V9),"",OFFSET('Smelter Look-up'!$E$4,$V9-4,0))</f>
        <v>CID001406</v>
      </c>
      <c r="G9" s="215" t="str">
        <f ca="1">IF(C9=$X$4,"Enter smelter details",IF(ISERROR($V9),"",OFFSET('Smelter Look-up'!$F$4,$V9-4,0)))</f>
        <v>RMI</v>
      </c>
      <c r="H9" s="216">
        <f ca="1">IF(ISERROR($V9),"",OFFSET('Smelter Look-up'!$G$4,$V9-4,0))</f>
        <v>0</v>
      </c>
      <c r="I9" s="217" t="str">
        <f ca="1">IF(ISERROR($V9),"",OFFSET('Smelter Look-up'!$H$4,$V9-4,0))</f>
        <v>Badau</v>
      </c>
      <c r="J9" s="217" t="str">
        <f ca="1">IF(ISERROR($V9),"",OFFSET('Smelter Look-up'!$I$4,$V9-4,0))</f>
        <v>Kepulauan Bangka Belitung</v>
      </c>
      <c r="K9" s="268"/>
      <c r="L9" s="268"/>
      <c r="M9" s="268"/>
      <c r="N9" s="268"/>
      <c r="O9" s="268"/>
      <c r="P9" s="218"/>
      <c r="Q9" s="269"/>
      <c r="R9" s="215" t="str">
        <f ca="1">IF(ISERROR($V9),"",OFFSET('Smelter Look-up'!$C$4,$V9-4,0)&amp;"")</f>
        <v>PT Babel Surya Alam Lestari</v>
      </c>
      <c r="S9" s="222" t="str">
        <f t="shared" ca="1" si="3"/>
        <v>ID</v>
      </c>
      <c r="T9" s="222" t="str">
        <f ca="1">IF(B9="","",IF(ISERROR(MATCH($J9,SorP!$B$1:$B$6230,0)),"",INDIRECT("'SorP'!$A$"&amp;MATCH($J9,SorP!$B$1:$B$6230,0))))</f>
        <v>ID-BB</v>
      </c>
      <c r="U9" s="238"/>
      <c r="V9" s="270">
        <f ca="1">IF(C9="",NA(),MATCH($B9&amp;$C9,'Smelter Look-up'!$J:$J,0))</f>
        <v>478</v>
      </c>
      <c r="W9" s="271"/>
      <c r="X9" s="271">
        <f t="shared" ca="1" si="4"/>
        <v>0</v>
      </c>
      <c r="Y9" s="271"/>
      <c r="Z9" s="271"/>
      <c r="AB9" s="273" t="str">
        <f t="shared" ca="1" si="5"/>
        <v>TinPT Babel Surya Alam Lestari</v>
      </c>
    </row>
    <row r="10" spans="1:34" s="272" customFormat="1" ht="20.100000000000001" customHeight="1">
      <c r="A10" s="324" t="s">
        <v>782</v>
      </c>
      <c r="B10" s="215" t="str">
        <f ca="1">IF(LEN(A10)=0,"",INDEX('Smelter Look-up'!$A:$A,MATCH($A10,'Smelter Look-up'!$E:$E,0)))</f>
        <v>Tin</v>
      </c>
      <c r="C10" s="219" t="str">
        <f ca="1">IF(LEN(A10)=0,"",INDEX('Smelter Look-up'!$C:$C,MATCH($A10,'Smelter Look-up'!$E:$E,0)))</f>
        <v>PT Mitra Stania Prima</v>
      </c>
      <c r="D10" s="278"/>
      <c r="E10" s="215" t="str">
        <f ca="1">IF(ISERROR($V10),"",OFFSET('Smelter Look-up'!$D$4,$V10-4,0)&amp;"")</f>
        <v>INDONESIA</v>
      </c>
      <c r="F10" s="215" t="str">
        <f ca="1">IF(ISERROR($V10),"",OFFSET('Smelter Look-up'!$E$4,$V10-4,0))</f>
        <v>CID001453</v>
      </c>
      <c r="G10" s="215" t="str">
        <f ca="1">IF(C10=$X$4,"Enter smelter details",IF(ISERROR($V10),"",OFFSET('Smelter Look-up'!$F$4,$V10-4,0)))</f>
        <v>RMI</v>
      </c>
      <c r="H10" s="216">
        <f ca="1">IF(ISERROR($V10),"",OFFSET('Smelter Look-up'!$G$4,$V10-4,0))</f>
        <v>0</v>
      </c>
      <c r="I10" s="217" t="str">
        <f ca="1">IF(ISERROR($V10),"",OFFSET('Smelter Look-up'!$H$4,$V10-4,0))</f>
        <v>Sungailiat</v>
      </c>
      <c r="J10" s="217" t="str">
        <f ca="1">IF(ISERROR($V10),"",OFFSET('Smelter Look-up'!$I$4,$V10-4,0))</f>
        <v>Kepulauan Bangka Belitung</v>
      </c>
      <c r="K10" s="268"/>
      <c r="L10" s="268"/>
      <c r="M10" s="268"/>
      <c r="N10" s="268"/>
      <c r="O10" s="268"/>
      <c r="P10" s="218"/>
      <c r="Q10" s="269"/>
      <c r="R10" s="215" t="str">
        <f ca="1">IF(ISERROR($V10),"",OFFSET('Smelter Look-up'!$C$4,$V10-4,0)&amp;"")</f>
        <v>PT Mitra Stania Prima</v>
      </c>
      <c r="S10" s="222" t="str">
        <f t="shared" ca="1" si="3"/>
        <v>ID</v>
      </c>
      <c r="T10" s="222" t="str">
        <f ca="1">IF(B10="","",IF(ISERROR(MATCH($J10,SorP!$B$1:$B$6230,0)),"",INDIRECT("'SorP'!$A$"&amp;MATCH($J10,SorP!$B$1:$B$6230,0))))</f>
        <v>ID-BB</v>
      </c>
      <c r="U10" s="238"/>
      <c r="V10" s="270">
        <f ca="1">IF(C10="",NA(),MATCH($B10&amp;$C10,'Smelter Look-up'!$J:$J,0))</f>
        <v>482</v>
      </c>
      <c r="W10" s="271"/>
      <c r="X10" s="271">
        <f t="shared" ca="1" si="4"/>
        <v>0</v>
      </c>
      <c r="Y10" s="271"/>
      <c r="Z10" s="271"/>
      <c r="AB10" s="273" t="str">
        <f t="shared" ca="1" si="5"/>
        <v>TinPT Mitra Stania Prima</v>
      </c>
    </row>
    <row r="11" spans="1:34" s="272" customFormat="1" ht="20.100000000000001" customHeight="1">
      <c r="A11" s="324" t="s">
        <v>783</v>
      </c>
      <c r="B11" s="215" t="str">
        <f ca="1">IF(LEN(A11)=0,"",INDEX('Smelter Look-up'!$A:$A,MATCH($A11,'Smelter Look-up'!$E:$E,0)))</f>
        <v>Tin</v>
      </c>
      <c r="C11" s="219" t="str">
        <f ca="1">IF(LEN(A11)=0,"",INDEX('Smelter Look-up'!$C:$C,MATCH($A11,'Smelter Look-up'!$E:$E,0)))</f>
        <v>PT Refined Bangka Tin</v>
      </c>
      <c r="D11" s="278"/>
      <c r="E11" s="215" t="str">
        <f ca="1">IF(ISERROR($V11),"",OFFSET('Smelter Look-up'!$D$4,$V11-4,0)&amp;"")</f>
        <v>INDONESIA</v>
      </c>
      <c r="F11" s="215" t="str">
        <f ca="1">IF(ISERROR($V11),"",OFFSET('Smelter Look-up'!$E$4,$V11-4,0))</f>
        <v>CID001460</v>
      </c>
      <c r="G11" s="215" t="str">
        <f ca="1">IF(C11=$X$4,"Enter smelter details",IF(ISERROR($V11),"",OFFSET('Smelter Look-up'!$F$4,$V11-4,0)))</f>
        <v>RMI</v>
      </c>
      <c r="H11" s="216">
        <f ca="1">IF(ISERROR($V11),"",OFFSET('Smelter Look-up'!$G$4,$V11-4,0))</f>
        <v>0</v>
      </c>
      <c r="I11" s="217" t="str">
        <f ca="1">IF(ISERROR($V11),"",OFFSET('Smelter Look-up'!$H$4,$V11-4,0))</f>
        <v>Sungailiat</v>
      </c>
      <c r="J11" s="217" t="str">
        <f ca="1">IF(ISERROR($V11),"",OFFSET('Smelter Look-up'!$I$4,$V11-4,0))</f>
        <v>Kepulauan Bangka Belitung</v>
      </c>
      <c r="K11" s="268"/>
      <c r="L11" s="268"/>
      <c r="M11" s="268"/>
      <c r="N11" s="268"/>
      <c r="O11" s="268"/>
      <c r="P11" s="218"/>
      <c r="Q11" s="269"/>
      <c r="R11" s="215" t="str">
        <f ca="1">IF(ISERROR($V11),"",OFFSET('Smelter Look-up'!$C$4,$V11-4,0)&amp;"")</f>
        <v>PT Refined Bangka Tin</v>
      </c>
      <c r="S11" s="222" t="str">
        <f t="shared" ca="1" si="3"/>
        <v>ID</v>
      </c>
      <c r="T11" s="222" t="str">
        <f ca="1">IF(B11="","",IF(ISERROR(MATCH($J11,SorP!$B$1:$B$6230,0)),"",INDIRECT("'SorP'!$A$"&amp;MATCH($J11,SorP!$B$1:$B$6230,0))))</f>
        <v>ID-BB</v>
      </c>
      <c r="U11" s="238"/>
      <c r="V11" s="270">
        <f ca="1">IF(C11="",NA(),MATCH($B11&amp;$C11,'Smelter Look-up'!$J:$J,0))</f>
        <v>487</v>
      </c>
      <c r="W11" s="271"/>
      <c r="X11" s="271">
        <f t="shared" ca="1" si="4"/>
        <v>0</v>
      </c>
      <c r="Y11" s="271"/>
      <c r="Z11" s="271"/>
      <c r="AB11" s="273" t="str">
        <f t="shared" ca="1" si="5"/>
        <v>TinPT Refined Bangka Tin</v>
      </c>
    </row>
    <row r="12" spans="1:34" s="272" customFormat="1" ht="20.100000000000001" customHeight="1">
      <c r="A12" s="324" t="s">
        <v>15406</v>
      </c>
      <c r="B12" s="215" t="str">
        <f ca="1">IF(LEN(A12)=0,"",INDEX('Smelter Look-up'!$A:$A,MATCH($A12,'Smelter Look-up'!$E:$E,0)))</f>
        <v>Tin</v>
      </c>
      <c r="C12" s="219" t="str">
        <f ca="1">IF(LEN(A12)=0,"",INDEX('Smelter Look-up'!$C:$C,MATCH($A12,'Smelter Look-up'!$E:$E,0)))</f>
        <v>PT Stanindo Inti Perkasa</v>
      </c>
      <c r="D12" s="278"/>
      <c r="E12" s="215" t="str">
        <f ca="1">IF(ISERROR($V12),"",OFFSET('Smelter Look-up'!$D$4,$V12-4,0)&amp;"")</f>
        <v>INDONESIA</v>
      </c>
      <c r="F12" s="215" t="str">
        <f ca="1">IF(ISERROR($V12),"",OFFSET('Smelter Look-up'!$E$4,$V12-4,0))</f>
        <v>CID001468</v>
      </c>
      <c r="G12" s="215" t="str">
        <f ca="1">IF(C12=$X$4,"Enter smelter details",IF(ISERROR($V12),"",OFFSET('Smelter Look-up'!$F$4,$V12-4,0)))</f>
        <v>RMI</v>
      </c>
      <c r="H12" s="216">
        <f ca="1">IF(ISERROR($V12),"",OFFSET('Smelter Look-up'!$G$4,$V12-4,0))</f>
        <v>0</v>
      </c>
      <c r="I12" s="217" t="str">
        <f ca="1">IF(ISERROR($V12),"",OFFSET('Smelter Look-up'!$H$4,$V12-4,0))</f>
        <v>Pangkal Pinang</v>
      </c>
      <c r="J12" s="217" t="str">
        <f ca="1">IF(ISERROR($V12),"",OFFSET('Smelter Look-up'!$I$4,$V12-4,0))</f>
        <v>Kepulauan Bangka Belitung</v>
      </c>
      <c r="K12" s="268"/>
      <c r="L12" s="268"/>
      <c r="M12" s="268"/>
      <c r="N12" s="268"/>
      <c r="O12" s="268"/>
      <c r="P12" s="218"/>
      <c r="Q12" s="269"/>
      <c r="R12" s="215" t="str">
        <f ca="1">IF(ISERROR($V12),"",OFFSET('Smelter Look-up'!$C$4,$V12-4,0)&amp;"")</f>
        <v>PT Stanindo Inti Perkasa</v>
      </c>
      <c r="S12" s="222" t="str">
        <f t="shared" ca="1" si="3"/>
        <v>ID</v>
      </c>
      <c r="T12" s="222" t="str">
        <f ca="1">IF(B12="","",IF(ISERROR(MATCH($J12,SorP!$B$1:$B$6230,0)),"",INDIRECT("'SorP'!$A$"&amp;MATCH($J12,SorP!$B$1:$B$6230,0))))</f>
        <v>ID-BB</v>
      </c>
      <c r="U12" s="238"/>
      <c r="V12" s="270">
        <f ca="1">IF(C12="",NA(),MATCH($B12&amp;$C12,'Smelter Look-up'!$J:$J,0))</f>
        <v>488</v>
      </c>
      <c r="W12" s="271"/>
      <c r="X12" s="271">
        <f t="shared" ca="1" si="4"/>
        <v>0</v>
      </c>
      <c r="Y12" s="271"/>
      <c r="Z12" s="271"/>
      <c r="AB12" s="273" t="str">
        <f t="shared" ca="1" si="5"/>
        <v>TinPT Stanindo Inti Perkasa</v>
      </c>
    </row>
    <row r="13" spans="1:34" s="272" customFormat="1" ht="20.100000000000001" customHeight="1">
      <c r="A13" s="324" t="s">
        <v>804</v>
      </c>
      <c r="B13" s="215" t="str">
        <f ca="1">IF(LEN(A13)=0,"",INDEX('Smelter Look-up'!$A:$A,MATCH($A13,'Smelter Look-up'!$E:$E,0)))</f>
        <v>Tin</v>
      </c>
      <c r="C13" s="219" t="str">
        <f ca="1">IF(LEN(A13)=0,"",INDEX('Smelter Look-up'!$C:$C,MATCH($A13,'Smelter Look-up'!$E:$E,0)))</f>
        <v>PT Timah Tbk Kundur</v>
      </c>
      <c r="D13" s="278"/>
      <c r="E13" s="215" t="str">
        <f ca="1">IF(ISERROR($V13),"",OFFSET('Smelter Look-up'!$D$4,$V13-4,0)&amp;"")</f>
        <v>INDONESIA</v>
      </c>
      <c r="F13" s="215" t="str">
        <f ca="1">IF(ISERROR($V13),"",OFFSET('Smelter Look-up'!$E$4,$V13-4,0))</f>
        <v>CID001477</v>
      </c>
      <c r="G13" s="215" t="str">
        <f ca="1">IF(C13=$X$4,"Enter smelter details",IF(ISERROR($V13),"",OFFSET('Smelter Look-up'!$F$4,$V13-4,0)))</f>
        <v>RMI</v>
      </c>
      <c r="H13" s="216">
        <f ca="1">IF(ISERROR($V13),"",OFFSET('Smelter Look-up'!$G$4,$V13-4,0))</f>
        <v>0</v>
      </c>
      <c r="I13" s="217" t="str">
        <f ca="1">IF(ISERROR($V13),"",OFFSET('Smelter Look-up'!$H$4,$V13-4,0))</f>
        <v>Kundur</v>
      </c>
      <c r="J13" s="217" t="str">
        <f ca="1">IF(ISERROR($V13),"",OFFSET('Smelter Look-up'!$I$4,$V13-4,0))</f>
        <v>Riau</v>
      </c>
      <c r="K13" s="268"/>
      <c r="L13" s="268"/>
      <c r="M13" s="268"/>
      <c r="N13" s="268"/>
      <c r="O13" s="268"/>
      <c r="P13" s="218"/>
      <c r="Q13" s="269"/>
      <c r="R13" s="215" t="str">
        <f ca="1">IF(ISERROR($V13),"",OFFSET('Smelter Look-up'!$C$4,$V13-4,0)&amp;"")</f>
        <v>PT Timah Tbk Kundur</v>
      </c>
      <c r="S13" s="222" t="str">
        <f t="shared" ca="1" si="3"/>
        <v>ID</v>
      </c>
      <c r="T13" s="222" t="str">
        <f ca="1">IF(B13="","",IF(ISERROR(MATCH($J13,SorP!$B$1:$B$6230,0)),"",INDIRECT("'SorP'!$A$"&amp;MATCH($J13,SorP!$B$1:$B$6230,0))))</f>
        <v>ID-RI</v>
      </c>
      <c r="U13" s="238"/>
      <c r="V13" s="270">
        <f ca="1">IF(C13="",NA(),MATCH($B13&amp;$C13,'Smelter Look-up'!$J:$J,0))</f>
        <v>491</v>
      </c>
      <c r="W13" s="271"/>
      <c r="X13" s="271">
        <f t="shared" ca="1" si="4"/>
        <v>0</v>
      </c>
      <c r="Y13" s="271"/>
      <c r="Z13" s="271"/>
      <c r="AB13" s="273" t="str">
        <f t="shared" ca="1" si="5"/>
        <v>TinPT Timah Tbk Kundur</v>
      </c>
    </row>
    <row r="14" spans="1:34" s="272" customFormat="1" ht="20.100000000000001" customHeight="1">
      <c r="A14" s="324" t="s">
        <v>784</v>
      </c>
      <c r="B14" s="215" t="str">
        <f ca="1">IF(LEN(A14)=0,"",INDEX('Smelter Look-up'!$A:$A,MATCH($A14,'Smelter Look-up'!$E:$E,0)))</f>
        <v>Tin</v>
      </c>
      <c r="C14" s="219" t="str">
        <f ca="1">IF(LEN(A14)=0,"",INDEX('Smelter Look-up'!$C:$C,MATCH($A14,'Smelter Look-up'!$E:$E,0)))</f>
        <v>PT Timah Tbk Mentok</v>
      </c>
      <c r="D14" s="278"/>
      <c r="E14" s="215" t="str">
        <f ca="1">IF(ISERROR($V14),"",OFFSET('Smelter Look-up'!$D$4,$V14-4,0)&amp;"")</f>
        <v>INDONESIA</v>
      </c>
      <c r="F14" s="215" t="str">
        <f ca="1">IF(ISERROR($V14),"",OFFSET('Smelter Look-up'!$E$4,$V14-4,0))</f>
        <v>CID001482</v>
      </c>
      <c r="G14" s="215" t="str">
        <f ca="1">IF(C14=$X$4,"Enter smelter details",IF(ISERROR($V14),"",OFFSET('Smelter Look-up'!$F$4,$V14-4,0)))</f>
        <v>RMI</v>
      </c>
      <c r="H14" s="216">
        <f ca="1">IF(ISERROR($V14),"",OFFSET('Smelter Look-up'!$G$4,$V14-4,0))</f>
        <v>0</v>
      </c>
      <c r="I14" s="217" t="str">
        <f ca="1">IF(ISERROR($V14),"",OFFSET('Smelter Look-up'!$H$4,$V14-4,0))</f>
        <v>Mentok</v>
      </c>
      <c r="J14" s="217" t="str">
        <f ca="1">IF(ISERROR($V14),"",OFFSET('Smelter Look-up'!$I$4,$V14-4,0))</f>
        <v>Kepulauan Bangka Belitung</v>
      </c>
      <c r="K14" s="268"/>
      <c r="L14" s="268"/>
      <c r="M14" s="268"/>
      <c r="N14" s="268"/>
      <c r="O14" s="268"/>
      <c r="P14" s="218"/>
      <c r="Q14" s="269"/>
      <c r="R14" s="215" t="str">
        <f ca="1">IF(ISERROR($V14),"",OFFSET('Smelter Look-up'!$C$4,$V14-4,0)&amp;"")</f>
        <v>PT Timah Tbk Mentok</v>
      </c>
      <c r="S14" s="222" t="str">
        <f t="shared" ca="1" si="3"/>
        <v>ID</v>
      </c>
      <c r="T14" s="222" t="str">
        <f ca="1">IF(B14="","",IF(ISERROR(MATCH($J14,SorP!$B$1:$B$6230,0)),"",INDIRECT("'SorP'!$A$"&amp;MATCH($J14,SorP!$B$1:$B$6230,0))))</f>
        <v>ID-BB</v>
      </c>
      <c r="U14" s="238"/>
      <c r="V14" s="270">
        <f ca="1">IF(C14="",NA(),MATCH($B14&amp;$C14,'Smelter Look-up'!$J:$J,0))</f>
        <v>492</v>
      </c>
      <c r="W14" s="271"/>
      <c r="X14" s="271">
        <f t="shared" ca="1" si="4"/>
        <v>0</v>
      </c>
      <c r="Y14" s="271"/>
      <c r="Z14" s="271"/>
      <c r="AB14" s="273" t="str">
        <f t="shared" ca="1" si="5"/>
        <v>TinPT Timah Tbk Mentok</v>
      </c>
    </row>
    <row r="15" spans="1:34" s="272" customFormat="1" ht="20.100000000000001" customHeight="1">
      <c r="A15" s="324" t="s">
        <v>788</v>
      </c>
      <c r="B15" s="215" t="str">
        <f ca="1">IF(LEN(A15)=0,"",INDEX('Smelter Look-up'!$A:$A,MATCH($A15,'Smelter Look-up'!$E:$E,0)))</f>
        <v>Tin</v>
      </c>
      <c r="C15" s="219" t="str">
        <f ca="1">IF(LEN(A15)=0,"",INDEX('Smelter Look-up'!$C:$C,MATCH($A15,'Smelter Look-up'!$E:$E,0)))</f>
        <v>Thaisarco</v>
      </c>
      <c r="D15" s="278"/>
      <c r="E15" s="215" t="str">
        <f ca="1">IF(ISERROR($V15),"",OFFSET('Smelter Look-up'!$D$4,$V15-4,0)&amp;"")</f>
        <v>THAILAND</v>
      </c>
      <c r="F15" s="215" t="str">
        <f ca="1">IF(ISERROR($V15),"",OFFSET('Smelter Look-up'!$E$4,$V15-4,0))</f>
        <v>CID001898</v>
      </c>
      <c r="G15" s="215" t="str">
        <f ca="1">IF(C15=$X$4,"Enter smelter details",IF(ISERROR($V15),"",OFFSET('Smelter Look-up'!$F$4,$V15-4,0)))</f>
        <v>RMI</v>
      </c>
      <c r="H15" s="216">
        <f ca="1">IF(ISERROR($V15),"",OFFSET('Smelter Look-up'!$G$4,$V15-4,0))</f>
        <v>0</v>
      </c>
      <c r="I15" s="217" t="str">
        <f ca="1">IF(ISERROR($V15),"",OFFSET('Smelter Look-up'!$H$4,$V15-4,0))</f>
        <v>Amphur Muang</v>
      </c>
      <c r="J15" s="217" t="str">
        <f ca="1">IF(ISERROR($V15),"",OFFSET('Smelter Look-up'!$I$4,$V15-4,0))</f>
        <v>Phuket</v>
      </c>
      <c r="K15" s="268"/>
      <c r="L15" s="268"/>
      <c r="M15" s="268"/>
      <c r="N15" s="268"/>
      <c r="O15" s="268"/>
      <c r="P15" s="218"/>
      <c r="Q15" s="269"/>
      <c r="R15" s="215" t="str">
        <f ca="1">IF(ISERROR($V15),"",OFFSET('Smelter Look-up'!$C$4,$V15-4,0)&amp;"")</f>
        <v>Thaisarco</v>
      </c>
      <c r="S15" s="222" t="str">
        <f t="shared" ca="1" si="3"/>
        <v>TH</v>
      </c>
      <c r="T15" s="222" t="str">
        <f ca="1">IF(B15="","",IF(ISERROR(MATCH($J15,SorP!$B$1:$B$6230,0)),"",INDIRECT("'SorP'!$A$"&amp;MATCH($J15,SorP!$B$1:$B$6230,0))))</f>
        <v>TH-83</v>
      </c>
      <c r="U15" s="238"/>
      <c r="V15" s="270">
        <f ca="1">IF(C15="",NA(),MATCH($B15&amp;$C15,'Smelter Look-up'!$J:$J,0))</f>
        <v>504</v>
      </c>
      <c r="W15" s="271"/>
      <c r="X15" s="271">
        <f t="shared" ca="1" si="4"/>
        <v>0</v>
      </c>
      <c r="Y15" s="271"/>
      <c r="Z15" s="271"/>
      <c r="AB15" s="273" t="str">
        <f t="shared" ca="1" si="5"/>
        <v>TinThaisarco</v>
      </c>
    </row>
    <row r="16" spans="1:34" s="272" customFormat="1" ht="20.100000000000001" customHeight="1">
      <c r="A16" s="324" t="s">
        <v>789</v>
      </c>
      <c r="B16" s="215" t="str">
        <f ca="1">IF(LEN(A16)=0,"",INDEX('Smelter Look-up'!$A:$A,MATCH($A16,'Smelter Look-up'!$E:$E,0)))</f>
        <v>Tin</v>
      </c>
      <c r="C16" s="219" t="str">
        <f ca="1">IF(LEN(A16)=0,"",INDEX('Smelter Look-up'!$C:$C,MATCH($A16,'Smelter Look-up'!$E:$E,0)))</f>
        <v>White Solder Metalurgia e Mineracao Ltda.</v>
      </c>
      <c r="D16" s="278"/>
      <c r="E16" s="215" t="str">
        <f ca="1">IF(ISERROR($V16),"",OFFSET('Smelter Look-up'!$D$4,$V16-4,0)&amp;"")</f>
        <v>BRAZIL</v>
      </c>
      <c r="F16" s="215" t="str">
        <f ca="1">IF(ISERROR($V16),"",OFFSET('Smelter Look-up'!$E$4,$V16-4,0))</f>
        <v>CID002036</v>
      </c>
      <c r="G16" s="215" t="str">
        <f ca="1">IF(C16=$X$4,"Enter smelter details",IF(ISERROR($V16),"",OFFSET('Smelter Look-up'!$F$4,$V16-4,0)))</f>
        <v>RMI</v>
      </c>
      <c r="H16" s="216">
        <f ca="1">IF(ISERROR($V16),"",OFFSET('Smelter Look-up'!$G$4,$V16-4,0))</f>
        <v>0</v>
      </c>
      <c r="I16" s="217" t="str">
        <f ca="1">IF(ISERROR($V16),"",OFFSET('Smelter Look-up'!$H$4,$V16-4,0))</f>
        <v>Ariquemes</v>
      </c>
      <c r="J16" s="217" t="str">
        <f ca="1">IF(ISERROR($V16),"",OFFSET('Smelter Look-up'!$I$4,$V16-4,0))</f>
        <v>Rondônia</v>
      </c>
      <c r="K16" s="268"/>
      <c r="L16" s="268"/>
      <c r="M16" s="268"/>
      <c r="N16" s="268"/>
      <c r="O16" s="268"/>
      <c r="P16" s="218"/>
      <c r="Q16" s="269"/>
      <c r="R16" s="215" t="str">
        <f ca="1">IF(ISERROR($V16),"",OFFSET('Smelter Look-up'!$C$4,$V16-4,0)&amp;"")</f>
        <v>White Solder Metalurgia e Mineracao Ltda.</v>
      </c>
      <c r="S16" s="222" t="str">
        <f t="shared" ca="1" si="3"/>
        <v>BR</v>
      </c>
      <c r="T16" s="222" t="str">
        <f ca="1">IF(B16="","",IF(ISERROR(MATCH($J16,SorP!$B$1:$B$6230,0)),"",INDIRECT("'SorP'!$A$"&amp;MATCH($J16,SorP!$B$1:$B$6230,0))))</f>
        <v>BR-RO</v>
      </c>
      <c r="U16" s="238"/>
      <c r="V16" s="270">
        <f ca="1">IF(C16="",NA(),MATCH($B16&amp;$C16,'Smelter Look-up'!$J:$J,0))</f>
        <v>512</v>
      </c>
      <c r="W16" s="271"/>
      <c r="X16" s="271">
        <f t="shared" ca="1" si="4"/>
        <v>0</v>
      </c>
      <c r="Y16" s="271"/>
      <c r="Z16" s="271"/>
      <c r="AB16" s="273" t="str">
        <f t="shared" ca="1" si="5"/>
        <v>TinWhite Solder Metalurgia e Mineracao Ltda.</v>
      </c>
    </row>
    <row r="17" spans="1:28" s="272" customFormat="1" ht="20.100000000000001" customHeight="1">
      <c r="A17" s="214" t="s">
        <v>1404</v>
      </c>
      <c r="B17" s="215" t="str">
        <f ca="1">IF(LEN(A17)=0,"",INDEX('Smelter Look-up'!$A:$A,MATCH($A17,'Smelter Look-up'!$E:$E,0)))</f>
        <v>Tin</v>
      </c>
      <c r="C17" s="219" t="str">
        <f ca="1">IF(LEN(A17)=0,"",INDEX('Smelter Look-up'!$C:$C,MATCH($A17,'Smelter Look-up'!$E:$E,0)))</f>
        <v>PT ATD Makmur Mandiri Jaya</v>
      </c>
      <c r="D17" s="278"/>
      <c r="E17" s="215" t="str">
        <f ca="1">IF(ISERROR($V17),"",OFFSET('Smelter Look-up'!$D$4,$V17-4,0)&amp;"")</f>
        <v>INDONESIA</v>
      </c>
      <c r="F17" s="215" t="str">
        <f ca="1">IF(ISERROR($V17),"",OFFSET('Smelter Look-up'!$E$4,$V17-4,0))</f>
        <v>CID002503</v>
      </c>
      <c r="G17" s="215" t="str">
        <f ca="1">IF(C17=$X$4,"Enter smelter details",IF(ISERROR($V17),"",OFFSET('Smelter Look-up'!$F$4,$V17-4,0)))</f>
        <v>RMI</v>
      </c>
      <c r="H17" s="216">
        <f ca="1">IF(ISERROR($V17),"",OFFSET('Smelter Look-up'!$G$4,$V17-4,0))</f>
        <v>0</v>
      </c>
      <c r="I17" s="217" t="str">
        <f ca="1">IF(ISERROR($V17),"",OFFSET('Smelter Look-up'!$H$4,$V17-4,0))</f>
        <v>Sungailiat</v>
      </c>
      <c r="J17" s="217" t="str">
        <f ca="1">IF(ISERROR($V17),"",OFFSET('Smelter Look-up'!$I$4,$V17-4,0))</f>
        <v>Kepulauan Bangka Belitung</v>
      </c>
      <c r="K17" s="268"/>
      <c r="L17" s="268"/>
      <c r="M17" s="268"/>
      <c r="N17" s="268"/>
      <c r="O17" s="268"/>
      <c r="P17" s="218"/>
      <c r="Q17" s="269"/>
      <c r="R17" s="215" t="str">
        <f ca="1">IF(ISERROR($V17),"",OFFSET('Smelter Look-up'!$C$4,$V17-4,0)&amp;"")</f>
        <v>PT ATD Makmur Mandiri Jaya</v>
      </c>
      <c r="S17" s="222" t="str">
        <f t="shared" ca="1" si="3"/>
        <v>ID</v>
      </c>
      <c r="T17" s="222" t="str">
        <f ca="1">IF(B17="","",IF(ISERROR(MATCH($J17,SorP!$B$1:$B$6230,0)),"",INDIRECT("'SorP'!$A$"&amp;MATCH($J17,SorP!$B$1:$B$6230,0))))</f>
        <v>ID-BB</v>
      </c>
      <c r="U17" s="238"/>
      <c r="V17" s="270">
        <f ca="1">IF(C17="",NA(),MATCH($B17&amp;$C17,'Smelter Look-up'!$J:$J,0))</f>
        <v>477</v>
      </c>
      <c r="W17" s="271"/>
      <c r="X17" s="271">
        <f t="shared" ca="1" si="4"/>
        <v>0</v>
      </c>
      <c r="Y17" s="271"/>
      <c r="Z17" s="271"/>
      <c r="AB17" s="273" t="str">
        <f t="shared" ca="1" si="5"/>
        <v>TinPT ATD Makmur Mandiri Jaya</v>
      </c>
    </row>
    <row r="18" spans="1:28" s="272" customFormat="1" ht="20.100000000000001" customHeight="1">
      <c r="A18" s="214" t="s">
        <v>1830</v>
      </c>
      <c r="B18" s="215" t="str">
        <f ca="1">IF(LEN(A18)=0,"",INDEX('Smelter Look-up'!$A:$A,MATCH($A18,'Smelter Look-up'!$E:$E,0)))</f>
        <v>Tin</v>
      </c>
      <c r="C18" s="219" t="str">
        <f ca="1">IF(LEN(A18)=0,"",INDEX('Smelter Look-up'!$C:$C,MATCH($A18,'Smelter Look-up'!$E:$E,0)))</f>
        <v>Metallo Belgium N.V.</v>
      </c>
      <c r="D18" s="278"/>
      <c r="E18" s="215" t="str">
        <f ca="1">IF(ISERROR($V18),"",OFFSET('Smelter Look-up'!$D$4,$V18-4,0)&amp;"")</f>
        <v>BELGIUM</v>
      </c>
      <c r="F18" s="215" t="str">
        <f ca="1">IF(ISERROR($V18),"",OFFSET('Smelter Look-up'!$E$4,$V18-4,0))</f>
        <v>CID002773</v>
      </c>
      <c r="G18" s="215" t="str">
        <f ca="1">IF(C18=$X$4,"Enter smelter details",IF(ISERROR($V18),"",OFFSET('Smelter Look-up'!$F$4,$V18-4,0)))</f>
        <v>RMI</v>
      </c>
      <c r="H18" s="216">
        <f ca="1">IF(ISERROR($V18),"",OFFSET('Smelter Look-up'!$G$4,$V18-4,0))</f>
        <v>0</v>
      </c>
      <c r="I18" s="217" t="str">
        <f ca="1">IF(ISERROR($V18),"",OFFSET('Smelter Look-up'!$H$4,$V18-4,0))</f>
        <v>Beerse</v>
      </c>
      <c r="J18" s="217" t="str">
        <f ca="1">IF(ISERROR($V18),"",OFFSET('Smelter Look-up'!$I$4,$V18-4,0))</f>
        <v>Antwerpen</v>
      </c>
      <c r="K18" s="268"/>
      <c r="L18" s="268"/>
      <c r="M18" s="268"/>
      <c r="N18" s="268"/>
      <c r="O18" s="268"/>
      <c r="P18" s="218"/>
      <c r="Q18" s="269"/>
      <c r="R18" s="215" t="str">
        <f ca="1">IF(ISERROR($V18),"",OFFSET('Smelter Look-up'!$C$4,$V18-4,0)&amp;"")</f>
        <v>Metallo Belgium N.V.</v>
      </c>
      <c r="S18" s="222" t="str">
        <f t="shared" ca="1" si="3"/>
        <v>BE</v>
      </c>
      <c r="T18" s="222" t="str">
        <f ca="1">IF(B18="","",IF(ISERROR(MATCH($J18,SorP!$B$1:$B$6230,0)),"",INDIRECT("'SorP'!$A$"&amp;MATCH($J18,SorP!$B$1:$B$6230,0))))</f>
        <v>BE-VAN</v>
      </c>
      <c r="U18" s="238"/>
      <c r="V18" s="270">
        <f ca="1">IF(C18="",NA(),MATCH($B18&amp;$C18,'Smelter Look-up'!$J:$J,0))</f>
        <v>454</v>
      </c>
      <c r="W18" s="271"/>
      <c r="X18" s="271">
        <f t="shared" ca="1" si="4"/>
        <v>0</v>
      </c>
      <c r="Y18" s="271"/>
      <c r="Z18" s="271"/>
      <c r="AB18" s="273" t="str">
        <f t="shared" ca="1" si="5"/>
        <v>TinMetallo Belgium N.V.</v>
      </c>
    </row>
    <row r="19" spans="1:28" s="272" customFormat="1" ht="20.100000000000001" customHeight="1">
      <c r="A19" s="214" t="s">
        <v>15404</v>
      </c>
      <c r="B19" s="215" t="str">
        <f ca="1">IF(LEN(A19)=0,"",INDEX('Smelter Look-up'!$A:$A,MATCH($A19,'Smelter Look-up'!$E:$E,0)))</f>
        <v>Tin</v>
      </c>
      <c r="C19" s="219" t="str">
        <f ca="1">IF(LEN(A19)=0,"",INDEX('Smelter Look-up'!$C:$C,MATCH($A19,'Smelter Look-up'!$E:$E,0)))</f>
        <v>PT Rajawali Rimba Perkasa</v>
      </c>
      <c r="D19" s="278"/>
      <c r="E19" s="215" t="str">
        <f ca="1">IF(ISERROR($V19),"",OFFSET('Smelter Look-up'!$D$4,$V19-4,0)&amp;"")</f>
        <v>INDONESIA</v>
      </c>
      <c r="F19" s="215" t="str">
        <f ca="1">IF(ISERROR($V19),"",OFFSET('Smelter Look-up'!$E$4,$V19-4,0))</f>
        <v>CID003381</v>
      </c>
      <c r="G19" s="215" t="str">
        <f ca="1">IF(C19=$X$4,"Enter smelter details",IF(ISERROR($V19),"",OFFSET('Smelter Look-up'!$F$4,$V19-4,0)))</f>
        <v>RMI</v>
      </c>
      <c r="H19" s="216">
        <f ca="1">IF(ISERROR($V19),"",OFFSET('Smelter Look-up'!$G$4,$V19-4,0))</f>
        <v>0</v>
      </c>
      <c r="I19" s="217" t="str">
        <f ca="1">IF(ISERROR($V19),"",OFFSET('Smelter Look-up'!$H$4,$V19-4,0))</f>
        <v>Tukak Sadai</v>
      </c>
      <c r="J19" s="217" t="str">
        <f ca="1">IF(ISERROR($V19),"",OFFSET('Smelter Look-up'!$I$4,$V19-4,0))</f>
        <v>Kepulauan Bangka Belitung</v>
      </c>
      <c r="K19" s="268"/>
      <c r="L19" s="268"/>
      <c r="M19" s="268"/>
      <c r="N19" s="268"/>
      <c r="O19" s="268"/>
      <c r="P19" s="218"/>
      <c r="Q19" s="269"/>
      <c r="R19" s="215" t="str">
        <f ca="1">IF(ISERROR($V19),"",OFFSET('Smelter Look-up'!$C$4,$V19-4,0)&amp;"")</f>
        <v>PT Rajawali Rimba Perkasa</v>
      </c>
      <c r="S19" s="222" t="str">
        <f t="shared" ca="1" si="3"/>
        <v>ID</v>
      </c>
      <c r="T19" s="222" t="str">
        <f ca="1">IF(B19="","",IF(ISERROR(MATCH($J19,SorP!$B$1:$B$6230,0)),"",INDIRECT("'SorP'!$A$"&amp;MATCH($J19,SorP!$B$1:$B$6230,0))))</f>
        <v>ID-BB</v>
      </c>
      <c r="U19" s="238"/>
      <c r="V19" s="270">
        <f ca="1">IF(C19="",NA(),MATCH($B19&amp;$C19,'Smelter Look-up'!$J:$J,0))</f>
        <v>485</v>
      </c>
      <c r="W19" s="271"/>
      <c r="X19" s="271">
        <f t="shared" ca="1" si="4"/>
        <v>0</v>
      </c>
      <c r="Y19" s="271"/>
      <c r="Z19" s="271"/>
      <c r="AB19" s="273" t="str">
        <f t="shared" ca="1" si="5"/>
        <v>TinPT Rajawali Rimba Perkasa</v>
      </c>
    </row>
    <row r="20" spans="1:28" s="272" customFormat="1" ht="20.100000000000001" customHeight="1">
      <c r="A20" s="214" t="s">
        <v>14108</v>
      </c>
      <c r="B20" s="215" t="str">
        <f ca="1">IF(LEN(A20)=0,"",INDEX('Smelter Look-up'!$A:$A,MATCH($A20,'Smelter Look-up'!$E:$E,0)))</f>
        <v>Tin</v>
      </c>
      <c r="C20" s="219" t="str">
        <f ca="1">IF(LEN(A20)=0,"",INDEX('Smelter Look-up'!$C:$C,MATCH($A20,'Smelter Look-up'!$E:$E,0)))</f>
        <v>Luna Smelter, Ltd.</v>
      </c>
      <c r="D20" s="278"/>
      <c r="E20" s="215" t="str">
        <f ca="1">IF(ISERROR($V20),"",OFFSET('Smelter Look-up'!$D$4,$V20-4,0)&amp;"")</f>
        <v>RWANDA</v>
      </c>
      <c r="F20" s="215" t="str">
        <f ca="1">IF(ISERROR($V20),"",OFFSET('Smelter Look-up'!$E$4,$V20-4,0))</f>
        <v>CID003387</v>
      </c>
      <c r="G20" s="215" t="str">
        <f ca="1">IF(C20=$X$4,"Enter smelter details",IF(ISERROR($V20),"",OFFSET('Smelter Look-up'!$F$4,$V20-4,0)))</f>
        <v>RMI</v>
      </c>
      <c r="H20" s="216">
        <f ca="1">IF(ISERROR($V20),"",OFFSET('Smelter Look-up'!$G$4,$V20-4,0))</f>
        <v>0</v>
      </c>
      <c r="I20" s="217" t="str">
        <f ca="1">IF(ISERROR($V20),"",OFFSET('Smelter Look-up'!$H$4,$V20-4,0))</f>
        <v>Kigali</v>
      </c>
      <c r="J20" s="217" t="str">
        <f ca="1">IF(ISERROR($V20),"",OFFSET('Smelter Look-up'!$I$4,$V20-4,0))</f>
        <v>City of Kigali</v>
      </c>
      <c r="K20" s="268"/>
      <c r="L20" s="268"/>
      <c r="M20" s="268"/>
      <c r="N20" s="268"/>
      <c r="O20" s="268"/>
      <c r="P20" s="218"/>
      <c r="Q20" s="269"/>
      <c r="R20" s="215" t="str">
        <f ca="1">IF(ISERROR($V20),"",OFFSET('Smelter Look-up'!$C$4,$V20-4,0)&amp;"")</f>
        <v>Luna Smelter, Ltd.</v>
      </c>
      <c r="S20" s="222" t="str">
        <f t="shared" ca="1" si="3"/>
        <v>RW</v>
      </c>
      <c r="T20" s="222" t="str">
        <f ca="1">IF(B20="","",IF(ISERROR(MATCH($J20,SorP!$B$1:$B$6230,0)),"",INDIRECT("'SorP'!$A$"&amp;MATCH($J20,SorP!$B$1:$B$6230,0))))</f>
        <v>RW-01</v>
      </c>
      <c r="U20" s="238"/>
      <c r="V20" s="270">
        <f ca="1">IF(C20="",NA(),MATCH($B20&amp;$C20,'Smelter Look-up'!$J:$J,0))</f>
        <v>446</v>
      </c>
      <c r="W20" s="271"/>
      <c r="X20" s="271">
        <f t="shared" ca="1" si="4"/>
        <v>0</v>
      </c>
      <c r="Y20" s="271"/>
      <c r="Z20" s="271"/>
      <c r="AB20" s="273" t="str">
        <f t="shared" ca="1" si="5"/>
        <v>TinLuna Smelter, Ltd.</v>
      </c>
    </row>
    <row r="21" spans="1:28" s="272" customFormat="1" ht="20.100000000000001" customHeight="1">
      <c r="A21" s="214" t="s">
        <v>13403</v>
      </c>
      <c r="B21" s="215" t="str">
        <f ca="1">IF(LEN(A21)=0,"",INDEX('Smelter Look-up'!$A:$A,MATCH($A21,'Smelter Look-up'!$E:$E,0)))</f>
        <v>Tin</v>
      </c>
      <c r="C21" s="219" t="str">
        <f ca="1">IF(LEN(A21)=0,"",INDEX('Smelter Look-up'!$C:$C,MATCH($A21,'Smelter Look-up'!$E:$E,0)))</f>
        <v>Tin Technology &amp; Refining</v>
      </c>
      <c r="D21" s="278"/>
      <c r="E21" s="215" t="str">
        <f ca="1">IF(ISERROR($V21),"",OFFSET('Smelter Look-up'!$D$4,$V21-4,0)&amp;"")</f>
        <v>UNITED STATES OF AMERICA</v>
      </c>
      <c r="F21" s="215" t="str">
        <f ca="1">IF(ISERROR($V21),"",OFFSET('Smelter Look-up'!$E$4,$V21-4,0))</f>
        <v>CID003325</v>
      </c>
      <c r="G21" s="215" t="str">
        <f ca="1">IF(C21=$X$4,"Enter smelter details",IF(ISERROR($V21),"",OFFSET('Smelter Look-up'!$F$4,$V21-4,0)))</f>
        <v>RMI</v>
      </c>
      <c r="H21" s="216">
        <f ca="1">IF(ISERROR($V21),"",OFFSET('Smelter Look-up'!$G$4,$V21-4,0))</f>
        <v>0</v>
      </c>
      <c r="I21" s="217" t="str">
        <f ca="1">IF(ISERROR($V21),"",OFFSET('Smelter Look-up'!$H$4,$V21-4,0))</f>
        <v>West Chester</v>
      </c>
      <c r="J21" s="217" t="str">
        <f ca="1">IF(ISERROR($V21),"",OFFSET('Smelter Look-up'!$I$4,$V21-4,0))</f>
        <v>Pennsylvania</v>
      </c>
      <c r="K21" s="268"/>
      <c r="L21" s="268"/>
      <c r="M21" s="268"/>
      <c r="N21" s="268"/>
      <c r="O21" s="268"/>
      <c r="P21" s="218"/>
      <c r="Q21" s="269"/>
      <c r="R21" s="215" t="str">
        <f ca="1">IF(ISERROR($V21),"",OFFSET('Smelter Look-up'!$C$4,$V21-4,0)&amp;"")</f>
        <v>Tin Technology &amp; Refining</v>
      </c>
      <c r="S21" s="222" t="str">
        <f t="shared" ca="1" si="3"/>
        <v>US</v>
      </c>
      <c r="T21" s="222" t="str">
        <f ca="1">IF(B21="","",IF(ISERROR(MATCH($J21,SorP!$B$1:$B$6230,0)),"",INDIRECT("'SorP'!$A$"&amp;MATCH($J21,SorP!$B$1:$B$6230,0))))</f>
        <v>US-PA</v>
      </c>
      <c r="U21" s="238"/>
      <c r="V21" s="270">
        <f ca="1">IF(C21="",NA(),MATCH($B21&amp;$C21,'Smelter Look-up'!$J:$J,0))</f>
        <v>507</v>
      </c>
      <c r="W21" s="271"/>
      <c r="X21" s="271">
        <f t="shared" ca="1" si="4"/>
        <v>0</v>
      </c>
      <c r="Y21" s="271"/>
      <c r="Z21" s="271"/>
      <c r="AB21" s="273" t="str">
        <f t="shared" ca="1" si="5"/>
        <v>TinTin Technology &amp; Refining</v>
      </c>
    </row>
    <row r="22" spans="1:28" s="272" customFormat="1" ht="20.100000000000001" customHeight="1">
      <c r="A22" s="214" t="s">
        <v>767</v>
      </c>
      <c r="B22" s="215" t="str">
        <f ca="1">IF(LEN(A22)=0,"",INDEX('Smelter Look-up'!$A:$A,MATCH($A22,'Smelter Look-up'!$E:$E,0)))</f>
        <v>Tin</v>
      </c>
      <c r="C22" s="219" t="str">
        <f ca="1">IF(LEN(A22)=0,"",INDEX('Smelter Look-up'!$C:$C,MATCH($A22,'Smelter Look-up'!$E:$E,0)))</f>
        <v>EM Vinto</v>
      </c>
      <c r="D22" s="278"/>
      <c r="E22" s="215" t="str">
        <f ca="1">IF(ISERROR($V22),"",OFFSET('Smelter Look-up'!$D$4,$V22-4,0)&amp;"")</f>
        <v>BOLIVIA (PLURINATIONAL STATE OF)</v>
      </c>
      <c r="F22" s="215" t="str">
        <f ca="1">IF(ISERROR($V22),"",OFFSET('Smelter Look-up'!$E$4,$V22-4,0))</f>
        <v>CID000438</v>
      </c>
      <c r="G22" s="215" t="str">
        <f ca="1">IF(C22=$X$4,"Enter smelter details",IF(ISERROR($V22),"",OFFSET('Smelter Look-up'!$F$4,$V22-4,0)))</f>
        <v>RMI</v>
      </c>
      <c r="H22" s="216">
        <f ca="1">IF(ISERROR($V22),"",OFFSET('Smelter Look-up'!$G$4,$V22-4,0))</f>
        <v>0</v>
      </c>
      <c r="I22" s="217" t="str">
        <f ca="1">IF(ISERROR($V22),"",OFFSET('Smelter Look-up'!$H$4,$V22-4,0))</f>
        <v>Oruro</v>
      </c>
      <c r="J22" s="217" t="str">
        <f ca="1">IF(ISERROR($V22),"",OFFSET('Smelter Look-up'!$I$4,$V22-4,0))</f>
        <v>Oruro</v>
      </c>
      <c r="K22" s="268"/>
      <c r="L22" s="268"/>
      <c r="M22" s="268"/>
      <c r="N22" s="268"/>
      <c r="O22" s="268"/>
      <c r="P22" s="218"/>
      <c r="Q22" s="269"/>
      <c r="R22" s="215" t="str">
        <f ca="1">IF(ISERROR($V22),"",OFFSET('Smelter Look-up'!$C$4,$V22-4,0)&amp;"")</f>
        <v>EM Vinto</v>
      </c>
      <c r="S22" s="222" t="str">
        <f t="shared" ca="1" si="3"/>
        <v>BO</v>
      </c>
      <c r="T22" s="222" t="str">
        <f ca="1">IF(B22="","",IF(ISERROR(MATCH($J22,SorP!$B$1:$B$6230,0)),"",INDIRECT("'SorP'!$A$"&amp;MATCH($J22,SorP!$B$1:$B$6230,0))))</f>
        <v>BO-O</v>
      </c>
      <c r="U22" s="238"/>
      <c r="V22" s="270">
        <f ca="1">IF(C22="",NA(),MATCH($B22&amp;$C22,'Smelter Look-up'!$J:$J,0))</f>
        <v>412</v>
      </c>
      <c r="W22" s="271"/>
      <c r="X22" s="271">
        <f t="shared" ca="1" si="4"/>
        <v>0</v>
      </c>
      <c r="Y22" s="271"/>
      <c r="Z22" s="271"/>
      <c r="AB22" s="273" t="str">
        <f t="shared" ca="1" si="5"/>
        <v>TinEM Vinto</v>
      </c>
    </row>
    <row r="23" spans="1:28" s="272" customFormat="1" ht="20.100000000000001" customHeight="1">
      <c r="A23" s="214" t="s">
        <v>2563</v>
      </c>
      <c r="B23" s="215" t="str">
        <f ca="1">IF(LEN(A23)=0,"",INDEX('Smelter Look-up'!$A:$A,MATCH($A23,'Smelter Look-up'!$E:$E,0)))</f>
        <v>Tin</v>
      </c>
      <c r="C23" s="219" t="str">
        <f ca="1">IF(LEN(A23)=0,"",INDEX('Smelter Look-up'!$C:$C,MATCH($A23,'Smelter Look-up'!$E:$E,0)))</f>
        <v>Guangdong Hanhe Non-Ferrous Metal Co., Ltd.</v>
      </c>
      <c r="D23" s="278"/>
      <c r="E23" s="215" t="str">
        <f ca="1">IF(ISERROR($V23),"",OFFSET('Smelter Look-up'!$D$4,$V23-4,0)&amp;"")</f>
        <v>CHINA</v>
      </c>
      <c r="F23" s="215" t="str">
        <f ca="1">IF(ISERROR($V23),"",OFFSET('Smelter Look-up'!$E$4,$V23-4,0))</f>
        <v>CID003116</v>
      </c>
      <c r="G23" s="215" t="str">
        <f ca="1">IF(C23=$X$4,"Enter smelter details",IF(ISERROR($V23),"",OFFSET('Smelter Look-up'!$F$4,$V23-4,0)))</f>
        <v>RMI</v>
      </c>
      <c r="H23" s="216">
        <f ca="1">IF(ISERROR($V23),"",OFFSET('Smelter Look-up'!$G$4,$V23-4,0))</f>
        <v>0</v>
      </c>
      <c r="I23" s="217" t="str">
        <f ca="1">IF(ISERROR($V23),"",OFFSET('Smelter Look-up'!$H$4,$V23-4,0))</f>
        <v>Chaozhou</v>
      </c>
      <c r="J23" s="217" t="str">
        <f ca="1">IF(ISERROR($V23),"",OFFSET('Smelter Look-up'!$I$4,$V23-4,0))</f>
        <v>Guangdong Sheng</v>
      </c>
      <c r="K23" s="268"/>
      <c r="L23" s="268"/>
      <c r="M23" s="268"/>
      <c r="N23" s="268"/>
      <c r="O23" s="268"/>
      <c r="P23" s="218"/>
      <c r="Q23" s="269"/>
      <c r="R23" s="215" t="str">
        <f ca="1">IF(ISERROR($V23),"",OFFSET('Smelter Look-up'!$C$4,$V23-4,0)&amp;"")</f>
        <v>Guangdong Hanhe Non-Ferrous Metal Co., Ltd.</v>
      </c>
      <c r="S23" s="222" t="str">
        <f t="shared" ca="1" si="3"/>
        <v>CN</v>
      </c>
      <c r="T23" s="222" t="str">
        <f ca="1">IF(B23="","",IF(ISERROR(MATCH($J23,SorP!$B$1:$B$6230,0)),"",INDIRECT("'SorP'!$A$"&amp;MATCH($J23,SorP!$B$1:$B$6230,0))))</f>
        <v>CN-GD</v>
      </c>
      <c r="U23" s="238"/>
      <c r="V23" s="270">
        <f ca="1">IF(C23="",NA(),MATCH($B23&amp;$C23,'Smelter Look-up'!$J:$J,0))</f>
        <v>434</v>
      </c>
      <c r="W23" s="271"/>
      <c r="X23" s="271">
        <f t="shared" ca="1" si="4"/>
        <v>0</v>
      </c>
      <c r="Y23" s="271"/>
      <c r="Z23" s="271"/>
      <c r="AB23" s="273" t="str">
        <f t="shared" ca="1" si="5"/>
        <v>TinGuangdong Hanhe Non-Ferrous Metal Co., Ltd.</v>
      </c>
    </row>
    <row r="24" spans="1:28" s="272" customFormat="1" ht="20.100000000000001" customHeight="1">
      <c r="A24" s="214" t="s">
        <v>786</v>
      </c>
      <c r="B24" s="215" t="str">
        <f ca="1">IF(LEN(A24)=0,"",INDEX('Smelter Look-up'!$A:$A,MATCH($A24,'Smelter Look-up'!$E:$E,0)))</f>
        <v>Tin</v>
      </c>
      <c r="C24" s="219" t="str">
        <f ca="1">IF(LEN(A24)=0,"",INDEX('Smelter Look-up'!$C:$C,MATCH($A24,'Smelter Look-up'!$E:$E,0)))</f>
        <v>Rui Da Hung</v>
      </c>
      <c r="D24" s="278"/>
      <c r="E24" s="215" t="str">
        <f ca="1">IF(ISERROR($V24),"",OFFSET('Smelter Look-up'!$D$4,$V24-4,0)&amp;"")</f>
        <v>TAIWAN, PROVINCE OF CHINA</v>
      </c>
      <c r="F24" s="215" t="str">
        <f ca="1">IF(ISERROR($V24),"",OFFSET('Smelter Look-up'!$E$4,$V24-4,0))</f>
        <v>CID001539</v>
      </c>
      <c r="G24" s="215" t="str">
        <f ca="1">IF(C24=$X$4,"Enter smelter details",IF(ISERROR($V24),"",OFFSET('Smelter Look-up'!$F$4,$V24-4,0)))</f>
        <v>RMI</v>
      </c>
      <c r="H24" s="216">
        <f ca="1">IF(ISERROR($V24),"",OFFSET('Smelter Look-up'!$G$4,$V24-4,0))</f>
        <v>0</v>
      </c>
      <c r="I24" s="217" t="str">
        <f ca="1">IF(ISERROR($V24),"",OFFSET('Smelter Look-up'!$H$4,$V24-4,0))</f>
        <v>Longtan Shiang Taoyuan</v>
      </c>
      <c r="J24" s="217" t="str">
        <f ca="1">IF(ISERROR($V24),"",OFFSET('Smelter Look-up'!$I$4,$V24-4,0))</f>
        <v>Taoyuan</v>
      </c>
      <c r="K24" s="268"/>
      <c r="L24" s="268"/>
      <c r="M24" s="268"/>
      <c r="N24" s="268"/>
      <c r="O24" s="268"/>
      <c r="P24" s="218"/>
      <c r="Q24" s="269"/>
      <c r="R24" s="215" t="str">
        <f ca="1">IF(ISERROR($V24),"",OFFSET('Smelter Look-up'!$C$4,$V24-4,0)&amp;"")</f>
        <v>Rui Da Hung</v>
      </c>
      <c r="S24" s="222" t="str">
        <f t="shared" ca="1" si="3"/>
        <v>TW</v>
      </c>
      <c r="T24" s="222" t="str">
        <f ca="1">IF(B24="","",IF(ISERROR(MATCH($J24,SorP!$B$1:$B$6230,0)),"",INDIRECT("'SorP'!$A$"&amp;MATCH($J24,SorP!$B$1:$B$6230,0))))</f>
        <v>TW-TAO</v>
      </c>
      <c r="U24" s="238"/>
      <c r="V24" s="270">
        <f ca="1">IF(C24="",NA(),MATCH($B24&amp;$C24,'Smelter Look-up'!$J:$J,0))</f>
        <v>497</v>
      </c>
      <c r="W24" s="271"/>
      <c r="X24" s="271">
        <f t="shared" ca="1" si="4"/>
        <v>0</v>
      </c>
      <c r="Y24" s="271"/>
      <c r="Z24" s="271"/>
      <c r="AB24" s="273" t="str">
        <f t="shared" ca="1" si="5"/>
        <v>TinRui Da Hung</v>
      </c>
    </row>
    <row r="25" spans="1:28" s="272" customFormat="1" ht="20.100000000000001" customHeight="1">
      <c r="A25" s="214" t="s">
        <v>773</v>
      </c>
      <c r="B25" s="215" t="str">
        <f ca="1">IF(LEN(A25)=0,"",INDEX('Smelter Look-up'!$A:$A,MATCH($A25,'Smelter Look-up'!$E:$E,0)))</f>
        <v>Tin</v>
      </c>
      <c r="C25" s="219" t="str">
        <f ca="1">IF(LEN(A25)=0,"",INDEX('Smelter Look-up'!$C:$C,MATCH($A25,'Smelter Look-up'!$E:$E,0)))</f>
        <v>China Tin Group Co., Ltd.</v>
      </c>
      <c r="D25" s="278"/>
      <c r="E25" s="215" t="str">
        <f ca="1">IF(ISERROR($V25),"",OFFSET('Smelter Look-up'!$D$4,$V25-4,0)&amp;"")</f>
        <v>CHINA</v>
      </c>
      <c r="F25" s="215" t="str">
        <f ca="1">IF(ISERROR($V25),"",OFFSET('Smelter Look-up'!$E$4,$V25-4,0))</f>
        <v>CID001070</v>
      </c>
      <c r="G25" s="215" t="str">
        <f ca="1">IF(C25=$X$4,"Enter smelter details",IF(ISERROR($V25),"",OFFSET('Smelter Look-up'!$F$4,$V25-4,0)))</f>
        <v>RMI</v>
      </c>
      <c r="H25" s="216">
        <f ca="1">IF(ISERROR($V25),"",OFFSET('Smelter Look-up'!$G$4,$V25-4,0))</f>
        <v>0</v>
      </c>
      <c r="I25" s="217" t="str">
        <f ca="1">IF(ISERROR($V25),"",OFFSET('Smelter Look-up'!$H$4,$V25-4,0))</f>
        <v>Laibin</v>
      </c>
      <c r="J25" s="217" t="str">
        <f ca="1">IF(ISERROR($V25),"",OFFSET('Smelter Look-up'!$I$4,$V25-4,0))</f>
        <v>Guangxi Zhuangzu Zizhiqu</v>
      </c>
      <c r="K25" s="268"/>
      <c r="L25" s="268"/>
      <c r="M25" s="268"/>
      <c r="N25" s="268"/>
      <c r="O25" s="268"/>
      <c r="P25" s="218"/>
      <c r="Q25" s="269"/>
      <c r="R25" s="215" t="str">
        <f ca="1">IF(ISERROR($V25),"",OFFSET('Smelter Look-up'!$C$4,$V25-4,0)&amp;"")</f>
        <v>China Tin Group Co., Ltd.</v>
      </c>
      <c r="S25" s="222" t="str">
        <f t="shared" ca="1" si="3"/>
        <v>CN</v>
      </c>
      <c r="T25" s="222" t="str">
        <f ca="1">IF(B25="","",IF(ISERROR(MATCH($J25,SorP!$B$1:$B$6230,0)),"",INDIRECT("'SorP'!$A$"&amp;MATCH($J25,SorP!$B$1:$B$6230,0))))</f>
        <v>CN-GX</v>
      </c>
      <c r="U25" s="238"/>
      <c r="V25" s="270">
        <f ca="1">IF(C25="",NA(),MATCH($B25&amp;$C25,'Smelter Look-up'!$J:$J,0))</f>
        <v>395</v>
      </c>
      <c r="W25" s="271"/>
      <c r="X25" s="271">
        <f t="shared" ca="1" si="4"/>
        <v>0</v>
      </c>
      <c r="Y25" s="271"/>
      <c r="Z25" s="271"/>
      <c r="AB25" s="273" t="str">
        <f t="shared" ca="1" si="5"/>
        <v>TinChina Tin Group Co., Ltd.</v>
      </c>
    </row>
    <row r="26" spans="1:28" s="272" customFormat="1" ht="20.100000000000001" customHeight="1">
      <c r="A26" s="214" t="s">
        <v>769</v>
      </c>
      <c r="B26" s="215" t="str">
        <f ca="1">IF(LEN(A26)=0,"",INDEX('Smelter Look-up'!$A:$A,MATCH($A26,'Smelter Look-up'!$E:$E,0)))</f>
        <v>Tin</v>
      </c>
      <c r="C26" s="219" t="str">
        <f ca="1">IF(LEN(A26)=0,"",INDEX('Smelter Look-up'!$C:$C,MATCH($A26,'Smelter Look-up'!$E:$E,0)))</f>
        <v>Fenix Metals</v>
      </c>
      <c r="D26" s="278"/>
      <c r="E26" s="215" t="str">
        <f ca="1">IF(ISERROR($V26),"",OFFSET('Smelter Look-up'!$D$4,$V26-4,0)&amp;"")</f>
        <v>POLAND</v>
      </c>
      <c r="F26" s="215" t="str">
        <f ca="1">IF(ISERROR($V26),"",OFFSET('Smelter Look-up'!$E$4,$V26-4,0))</f>
        <v>CID000468</v>
      </c>
      <c r="G26" s="215" t="str">
        <f ca="1">IF(C26=$X$4,"Enter smelter details",IF(ISERROR($V26),"",OFFSET('Smelter Look-up'!$F$4,$V26-4,0)))</f>
        <v>RMI</v>
      </c>
      <c r="H26" s="216">
        <f ca="1">IF(ISERROR($V26),"",OFFSET('Smelter Look-up'!$G$4,$V26-4,0))</f>
        <v>0</v>
      </c>
      <c r="I26" s="217" t="str">
        <f ca="1">IF(ISERROR($V26),"",OFFSET('Smelter Look-up'!$H$4,$V26-4,0))</f>
        <v>Chmielów</v>
      </c>
      <c r="J26" s="217" t="str">
        <f ca="1">IF(ISERROR($V26),"",OFFSET('Smelter Look-up'!$I$4,$V26-4,0))</f>
        <v>Podkarpackie</v>
      </c>
      <c r="K26" s="268"/>
      <c r="L26" s="268"/>
      <c r="M26" s="268"/>
      <c r="N26" s="268"/>
      <c r="O26" s="268"/>
      <c r="P26" s="218"/>
      <c r="Q26" s="269"/>
      <c r="R26" s="215" t="str">
        <f ca="1">IF(ISERROR($V26),"",OFFSET('Smelter Look-up'!$C$4,$V26-4,0)&amp;"")</f>
        <v>Fenix Metals</v>
      </c>
      <c r="S26" s="222" t="str">
        <f t="shared" ca="1" si="3"/>
        <v>PL</v>
      </c>
      <c r="T26" s="222" t="str">
        <f ca="1">IF(B26="","",IF(ISERROR(MATCH($J26,SorP!$B$1:$B$6230,0)),"",INDIRECT("'SorP'!$A$"&amp;MATCH($J26,SorP!$B$1:$B$6230,0))))</f>
        <v>PL-18</v>
      </c>
      <c r="U26" s="238"/>
      <c r="V26" s="270">
        <f ca="1">IF(C26="",NA(),MATCH($B26&amp;$C26,'Smelter Look-up'!$J:$J,0))</f>
        <v>421</v>
      </c>
      <c r="W26" s="271"/>
      <c r="X26" s="271">
        <f t="shared" ca="1" si="4"/>
        <v>0</v>
      </c>
      <c r="Y26" s="271"/>
      <c r="Z26" s="271"/>
      <c r="AB26" s="273" t="str">
        <f t="shared" ca="1" si="5"/>
        <v>TinFenix Metals</v>
      </c>
    </row>
    <row r="27" spans="1:28" s="272" customFormat="1" ht="20.100000000000001" customHeight="1">
      <c r="A27" s="215" t="s">
        <v>775</v>
      </c>
      <c r="B27" s="215" t="str">
        <f ca="1">IF(LEN(A27)=0,"",INDEX('Smelter Look-up'!$A:$A,MATCH($A27,'Smelter Look-up'!$E:$E,0)))</f>
        <v>Tin</v>
      </c>
      <c r="C27" s="219" t="str">
        <f ca="1">IF(LEN(A27)=0,"",INDEX('Smelter Look-up'!$C:$C,MATCH($A27,'Smelter Look-up'!$E:$E,0)))</f>
        <v>Mineracao Taboca S.A.</v>
      </c>
      <c r="D27" s="278"/>
      <c r="E27" s="215" t="str">
        <f ca="1">IF(ISERROR($V27),"",OFFSET('Smelter Look-up'!$D$4,$V27-4,0)&amp;"")</f>
        <v>BRAZIL</v>
      </c>
      <c r="F27" s="215" t="str">
        <f ca="1">IF(ISERROR($V27),"",OFFSET('Smelter Look-up'!$E$4,$V27-4,0))</f>
        <v>CID001173</v>
      </c>
      <c r="G27" s="215" t="str">
        <f ca="1">IF(C27=$X$4,"Enter smelter details",IF(ISERROR($V27),"",OFFSET('Smelter Look-up'!$F$4,$V27-4,0)))</f>
        <v>RMI</v>
      </c>
      <c r="H27" s="216">
        <f ca="1">IF(ISERROR($V27),"",OFFSET('Smelter Look-up'!$G$4,$V27-4,0))</f>
        <v>0</v>
      </c>
      <c r="I27" s="217" t="str">
        <f ca="1">IF(ISERROR($V27),"",OFFSET('Smelter Look-up'!$H$4,$V27-4,0))</f>
        <v>Bairro Guarapiranga</v>
      </c>
      <c r="J27" s="217" t="str">
        <f ca="1">IF(ISERROR($V27),"",OFFSET('Smelter Look-up'!$I$4,$V27-4,0))</f>
        <v>São Paulo</v>
      </c>
      <c r="K27" s="268"/>
      <c r="L27" s="268"/>
      <c r="M27" s="268"/>
      <c r="N27" s="268"/>
      <c r="O27" s="268"/>
      <c r="P27" s="218"/>
      <c r="Q27" s="269"/>
      <c r="R27" s="215" t="str">
        <f ca="1">IF(ISERROR($V27),"",OFFSET('Smelter Look-up'!$C$4,$V27-4,0)&amp;"")</f>
        <v>Mineracao Taboca S.A.</v>
      </c>
      <c r="S27" s="222" t="str">
        <f t="shared" ca="1" si="3"/>
        <v>BR</v>
      </c>
      <c r="T27" s="222" t="str">
        <f ca="1">IF(B27="","",IF(ISERROR(MATCH($J27,SorP!$B$1:$B$6230,0)),"",INDIRECT("'SorP'!$A$"&amp;MATCH($J27,SorP!$B$1:$B$6230,0))))</f>
        <v>BR-SP</v>
      </c>
      <c r="U27" s="238"/>
      <c r="V27" s="270">
        <f ca="1">IF(C27="",NA(),MATCH($B27&amp;$C27,'Smelter Look-up'!$J:$J,0))</f>
        <v>456</v>
      </c>
      <c r="W27" s="271"/>
      <c r="X27" s="271">
        <f t="shared" ca="1" si="4"/>
        <v>0</v>
      </c>
      <c r="Y27" s="271"/>
      <c r="Z27" s="271"/>
      <c r="AB27" s="273" t="str">
        <f t="shared" ca="1" si="5"/>
        <v>TinMineracao Taboca S.A.</v>
      </c>
    </row>
    <row r="28" spans="1:28" s="272" customFormat="1" ht="20.100000000000001" customHeight="1">
      <c r="A28" s="215" t="s">
        <v>776</v>
      </c>
      <c r="B28" s="215" t="str">
        <f ca="1">IF(LEN(A28)=0,"",INDEX('Smelter Look-up'!$A:$A,MATCH($A28,'Smelter Look-up'!$E:$E,0)))</f>
        <v>Tin</v>
      </c>
      <c r="C28" s="219" t="str">
        <f ca="1">IF(LEN(A28)=0,"",INDEX('Smelter Look-up'!$C:$C,MATCH($A28,'Smelter Look-up'!$E:$E,0)))</f>
        <v>Minsur</v>
      </c>
      <c r="D28" s="278"/>
      <c r="E28" s="215" t="str">
        <f ca="1">IF(ISERROR($V28),"",OFFSET('Smelter Look-up'!$D$4,$V28-4,0)&amp;"")</f>
        <v>PERU</v>
      </c>
      <c r="F28" s="215" t="str">
        <f ca="1">IF(ISERROR($V28),"",OFFSET('Smelter Look-up'!$E$4,$V28-4,0))</f>
        <v>CID001182</v>
      </c>
      <c r="G28" s="215" t="str">
        <f ca="1">IF(C28=$X$4,"Enter smelter details",IF(ISERROR($V28),"",OFFSET('Smelter Look-up'!$F$4,$V28-4,0)))</f>
        <v>RMI</v>
      </c>
      <c r="H28" s="216">
        <f ca="1">IF(ISERROR($V28),"",OFFSET('Smelter Look-up'!$G$4,$V28-4,0))</f>
        <v>0</v>
      </c>
      <c r="I28" s="217" t="str">
        <f ca="1">IF(ISERROR($V28),"",OFFSET('Smelter Look-up'!$H$4,$V28-4,0))</f>
        <v>Paracas</v>
      </c>
      <c r="J28" s="217" t="str">
        <f ca="1">IF(ISERROR($V28),"",OFFSET('Smelter Look-up'!$I$4,$V28-4,0))</f>
        <v>Ika</v>
      </c>
      <c r="K28" s="268"/>
      <c r="L28" s="268"/>
      <c r="M28" s="268"/>
      <c r="N28" s="268"/>
      <c r="O28" s="268"/>
      <c r="P28" s="218"/>
      <c r="Q28" s="269"/>
      <c r="R28" s="215" t="str">
        <f ca="1">IF(ISERROR($V28),"",OFFSET('Smelter Look-up'!$C$4,$V28-4,0)&amp;"")</f>
        <v>Minsur</v>
      </c>
      <c r="S28" s="222" t="str">
        <f t="shared" ca="1" si="3"/>
        <v>PE</v>
      </c>
      <c r="T28" s="222" t="str">
        <f ca="1">IF(B28="","",IF(ISERROR(MATCH($J28,SorP!$B$1:$B$6230,0)),"",INDIRECT("'SorP'!$A$"&amp;MATCH($J28,SorP!$B$1:$B$6230,0))))</f>
        <v>PE-ICA</v>
      </c>
      <c r="U28" s="238"/>
      <c r="V28" s="270">
        <f ca="1">IF(C28="",NA(),MATCH($B28&amp;$C28,'Smelter Look-up'!$J:$J,0))</f>
        <v>460</v>
      </c>
      <c r="W28" s="271"/>
      <c r="X28" s="271">
        <f t="shared" ca="1" si="4"/>
        <v>0</v>
      </c>
      <c r="Y28" s="271"/>
      <c r="Z28" s="271"/>
      <c r="AB28" s="273" t="str">
        <f t="shared" ca="1" si="5"/>
        <v>TinMinsur</v>
      </c>
    </row>
    <row r="29" spans="1:28" s="272" customFormat="1" ht="20.100000000000001" customHeight="1">
      <c r="A29" s="215" t="s">
        <v>767</v>
      </c>
      <c r="B29" s="215" t="str">
        <f ca="1">IF(LEN(A29)=0,"",INDEX('Smelter Look-up'!$A:$A,MATCH($A29,'Smelter Look-up'!$E:$E,0)))</f>
        <v>Tin</v>
      </c>
      <c r="C29" s="219" t="str">
        <f ca="1">IF(LEN(A29)=0,"",INDEX('Smelter Look-up'!$C:$C,MATCH($A29,'Smelter Look-up'!$E:$E,0)))</f>
        <v>EM Vinto</v>
      </c>
      <c r="D29" s="278"/>
      <c r="E29" s="215" t="str">
        <f ca="1">IF(ISERROR($V29),"",OFFSET('Smelter Look-up'!$D$4,$V29-4,0)&amp;"")</f>
        <v>BOLIVIA (PLURINATIONAL STATE OF)</v>
      </c>
      <c r="F29" s="215" t="str">
        <f ca="1">IF(ISERROR($V29),"",OFFSET('Smelter Look-up'!$E$4,$V29-4,0))</f>
        <v>CID000438</v>
      </c>
      <c r="G29" s="215" t="str">
        <f ca="1">IF(C29=$X$4,"Enter smelter details",IF(ISERROR($V29),"",OFFSET('Smelter Look-up'!$F$4,$V29-4,0)))</f>
        <v>RMI</v>
      </c>
      <c r="H29" s="216">
        <f ca="1">IF(ISERROR($V29),"",OFFSET('Smelter Look-up'!$G$4,$V29-4,0))</f>
        <v>0</v>
      </c>
      <c r="I29" s="217" t="str">
        <f ca="1">IF(ISERROR($V29),"",OFFSET('Smelter Look-up'!$H$4,$V29-4,0))</f>
        <v>Oruro</v>
      </c>
      <c r="J29" s="217" t="str">
        <f ca="1">IF(ISERROR($V29),"",OFFSET('Smelter Look-up'!$I$4,$V29-4,0))</f>
        <v>Oruro</v>
      </c>
      <c r="K29" s="268"/>
      <c r="L29" s="268"/>
      <c r="M29" s="268"/>
      <c r="N29" s="268"/>
      <c r="O29" s="268"/>
      <c r="P29" s="218"/>
      <c r="Q29" s="269"/>
      <c r="R29" s="215" t="str">
        <f ca="1">IF(ISERROR($V29),"",OFFSET('Smelter Look-up'!$C$4,$V29-4,0)&amp;"")</f>
        <v>EM Vinto</v>
      </c>
      <c r="S29" s="222" t="str">
        <f t="shared" ca="1" si="3"/>
        <v>BO</v>
      </c>
      <c r="T29" s="222" t="str">
        <f ca="1">IF(B29="","",IF(ISERROR(MATCH($J29,SorP!$B$1:$B$6230,0)),"",INDIRECT("'SorP'!$A$"&amp;MATCH($J29,SorP!$B$1:$B$6230,0))))</f>
        <v>BO-O</v>
      </c>
      <c r="U29" s="238"/>
      <c r="V29" s="270">
        <f ca="1">IF(C29="",NA(),MATCH($B29&amp;$C29,'Smelter Look-up'!$J:$J,0))</f>
        <v>412</v>
      </c>
      <c r="W29" s="271"/>
      <c r="X29" s="271">
        <f t="shared" ca="1" si="4"/>
        <v>0</v>
      </c>
      <c r="Y29" s="271"/>
      <c r="Z29" s="271"/>
      <c r="AB29" s="273" t="str">
        <f t="shared" ca="1" si="5"/>
        <v>TinEM Vinto</v>
      </c>
    </row>
    <row r="30" spans="1:28" s="272" customFormat="1" ht="20.100000000000001" customHeight="1">
      <c r="A30" s="215" t="s">
        <v>774</v>
      </c>
      <c r="B30" s="215" t="str">
        <f ca="1">IF(LEN(A30)=0,"",INDEX('Smelter Look-up'!$A:$A,MATCH($A30,'Smelter Look-up'!$E:$E,0)))</f>
        <v>Tin</v>
      </c>
      <c r="C30" s="219" t="str">
        <f ca="1">IF(LEN(A30)=0,"",INDEX('Smelter Look-up'!$C:$C,MATCH($A30,'Smelter Look-up'!$E:$E,0)))</f>
        <v>Malaysia Smelting Corporation (MSC)</v>
      </c>
      <c r="D30" s="278"/>
      <c r="E30" s="215" t="str">
        <f ca="1">IF(ISERROR($V30),"",OFFSET('Smelter Look-up'!$D$4,$V30-4,0)&amp;"")</f>
        <v>MALAYSIA</v>
      </c>
      <c r="F30" s="215" t="str">
        <f ca="1">IF(ISERROR($V30),"",OFFSET('Smelter Look-up'!$E$4,$V30-4,0))</f>
        <v>CID001105</v>
      </c>
      <c r="G30" s="215" t="str">
        <f ca="1">IF(C30=$X$4,"Enter smelter details",IF(ISERROR($V30),"",OFFSET('Smelter Look-up'!$F$4,$V30-4,0)))</f>
        <v>RMI</v>
      </c>
      <c r="H30" s="216">
        <f ca="1">IF(ISERROR($V30),"",OFFSET('Smelter Look-up'!$G$4,$V30-4,0))</f>
        <v>0</v>
      </c>
      <c r="I30" s="217" t="str">
        <f ca="1">IF(ISERROR($V30),"",OFFSET('Smelter Look-up'!$H$4,$V30-4,0))</f>
        <v>Butterworth</v>
      </c>
      <c r="J30" s="217" t="str">
        <f ca="1">IF(ISERROR($V30),"",OFFSET('Smelter Look-up'!$I$4,$V30-4,0))</f>
        <v>Pulau Pinang</v>
      </c>
      <c r="K30" s="268"/>
      <c r="L30" s="268"/>
      <c r="M30" s="268"/>
      <c r="N30" s="268"/>
      <c r="O30" s="268"/>
      <c r="P30" s="218"/>
      <c r="Q30" s="269"/>
      <c r="R30" s="215" t="str">
        <f ca="1">IF(ISERROR($V30),"",OFFSET('Smelter Look-up'!$C$4,$V30-4,0)&amp;"")</f>
        <v>Malaysia Smelting Corporation (MSC)</v>
      </c>
      <c r="S30" s="222" t="str">
        <f t="shared" ca="1" si="3"/>
        <v>MY</v>
      </c>
      <c r="T30" s="222" t="str">
        <f ca="1">IF(B30="","",IF(ISERROR(MATCH($J30,SorP!$B$1:$B$6230,0)),"",INDIRECT("'SorP'!$A$"&amp;MATCH($J30,SorP!$B$1:$B$6230,0))))</f>
        <v>MY-07</v>
      </c>
      <c r="U30" s="238"/>
      <c r="V30" s="270">
        <f ca="1">IF(C30="",NA(),MATCH($B30&amp;$C30,'Smelter Look-up'!$J:$J,0))</f>
        <v>449</v>
      </c>
      <c r="W30" s="271"/>
      <c r="X30" s="271">
        <f t="shared" ca="1" si="4"/>
        <v>0</v>
      </c>
      <c r="Y30" s="271"/>
      <c r="Z30" s="271"/>
      <c r="AB30" s="273" t="str">
        <f t="shared" ca="1" si="5"/>
        <v>TinMalaysia Smelting Corporation (MSC)</v>
      </c>
    </row>
    <row r="31" spans="1:28" s="272" customFormat="1" ht="20.100000000000001" customHeight="1">
      <c r="A31" s="215" t="s">
        <v>788</v>
      </c>
      <c r="B31" s="215" t="str">
        <f ca="1">IF(LEN(A31)=0,"",INDEX('Smelter Look-up'!$A:$A,MATCH($A31,'Smelter Look-up'!$E:$E,0)))</f>
        <v>Tin</v>
      </c>
      <c r="C31" s="219" t="str">
        <f ca="1">IF(LEN(A31)=0,"",INDEX('Smelter Look-up'!$C:$C,MATCH($A31,'Smelter Look-up'!$E:$E,0)))</f>
        <v>Thaisarco</v>
      </c>
      <c r="D31" s="278"/>
      <c r="E31" s="215" t="str">
        <f ca="1">IF(ISERROR($V31),"",OFFSET('Smelter Look-up'!$D$4,$V31-4,0)&amp;"")</f>
        <v>THAILAND</v>
      </c>
      <c r="F31" s="215" t="str">
        <f ca="1">IF(ISERROR($V31),"",OFFSET('Smelter Look-up'!$E$4,$V31-4,0))</f>
        <v>CID001898</v>
      </c>
      <c r="G31" s="215" t="str">
        <f ca="1">IF(C31=$X$4,"Enter smelter details",IF(ISERROR($V31),"",OFFSET('Smelter Look-up'!$F$4,$V31-4,0)))</f>
        <v>RMI</v>
      </c>
      <c r="H31" s="216">
        <f ca="1">IF(ISERROR($V31),"",OFFSET('Smelter Look-up'!$G$4,$V31-4,0))</f>
        <v>0</v>
      </c>
      <c r="I31" s="217" t="str">
        <f ca="1">IF(ISERROR($V31),"",OFFSET('Smelter Look-up'!$H$4,$V31-4,0))</f>
        <v>Amphur Muang</v>
      </c>
      <c r="J31" s="217" t="str">
        <f ca="1">IF(ISERROR($V31),"",OFFSET('Smelter Look-up'!$I$4,$V31-4,0))</f>
        <v>Phuket</v>
      </c>
      <c r="K31" s="268"/>
      <c r="L31" s="268"/>
      <c r="M31" s="268"/>
      <c r="N31" s="268"/>
      <c r="O31" s="268"/>
      <c r="P31" s="218"/>
      <c r="Q31" s="269"/>
      <c r="R31" s="215" t="str">
        <f ca="1">IF(ISERROR($V31),"",OFFSET('Smelter Look-up'!$C$4,$V31-4,0)&amp;"")</f>
        <v>Thaisarco</v>
      </c>
      <c r="S31" s="222" t="str">
        <f t="shared" ca="1" si="3"/>
        <v>TH</v>
      </c>
      <c r="T31" s="222" t="str">
        <f ca="1">IF(B31="","",IF(ISERROR(MATCH($J31,SorP!$B$1:$B$6230,0)),"",INDIRECT("'SorP'!$A$"&amp;MATCH($J31,SorP!$B$1:$B$6230,0))))</f>
        <v>TH-83</v>
      </c>
      <c r="U31" s="238"/>
      <c r="V31" s="270">
        <f ca="1">IF(C31="",NA(),MATCH($B31&amp;$C31,'Smelter Look-up'!$J:$J,0))</f>
        <v>504</v>
      </c>
      <c r="W31" s="271"/>
      <c r="X31" s="271">
        <f t="shared" ca="1" si="4"/>
        <v>0</v>
      </c>
      <c r="Y31" s="271"/>
      <c r="Z31" s="271"/>
      <c r="AB31" s="273" t="str">
        <f t="shared" ca="1" si="5"/>
        <v>TinThaisarco</v>
      </c>
    </row>
    <row r="32" spans="1:28" s="272" customFormat="1" ht="20.100000000000001" customHeight="1">
      <c r="A32" s="215" t="s">
        <v>804</v>
      </c>
      <c r="B32" s="215" t="str">
        <f ca="1">IF(LEN(A32)=0,"",INDEX('Smelter Look-up'!$A:$A,MATCH($A32,'Smelter Look-up'!$E:$E,0)))</f>
        <v>Tin</v>
      </c>
      <c r="C32" s="219" t="str">
        <f ca="1">IF(LEN(A32)=0,"",INDEX('Smelter Look-up'!$C:$C,MATCH($A32,'Smelter Look-up'!$E:$E,0)))</f>
        <v>PT Timah Tbk Kundur</v>
      </c>
      <c r="D32" s="278"/>
      <c r="E32" s="215" t="str">
        <f ca="1">IF(ISERROR($V32),"",OFFSET('Smelter Look-up'!$D$4,$V32-4,0)&amp;"")</f>
        <v>INDONESIA</v>
      </c>
      <c r="F32" s="215" t="str">
        <f ca="1">IF(ISERROR($V32),"",OFFSET('Smelter Look-up'!$E$4,$V32-4,0))</f>
        <v>CID001477</v>
      </c>
      <c r="G32" s="215" t="str">
        <f ca="1">IF(C32=$X$4,"Enter smelter details",IF(ISERROR($V32),"",OFFSET('Smelter Look-up'!$F$4,$V32-4,0)))</f>
        <v>RMI</v>
      </c>
      <c r="H32" s="216">
        <f ca="1">IF(ISERROR($V32),"",OFFSET('Smelter Look-up'!$G$4,$V32-4,0))</f>
        <v>0</v>
      </c>
      <c r="I32" s="217" t="str">
        <f ca="1">IF(ISERROR($V32),"",OFFSET('Smelter Look-up'!$H$4,$V32-4,0))</f>
        <v>Kundur</v>
      </c>
      <c r="J32" s="217" t="str">
        <f ca="1">IF(ISERROR($V32),"",OFFSET('Smelter Look-up'!$I$4,$V32-4,0))</f>
        <v>Riau</v>
      </c>
      <c r="K32" s="268"/>
      <c r="L32" s="268"/>
      <c r="M32" s="268"/>
      <c r="N32" s="268"/>
      <c r="O32" s="268"/>
      <c r="P32" s="218"/>
      <c r="Q32" s="269"/>
      <c r="R32" s="215" t="str">
        <f ca="1">IF(ISERROR($V32),"",OFFSET('Smelter Look-up'!$C$4,$V32-4,0)&amp;"")</f>
        <v>PT Timah Tbk Kundur</v>
      </c>
      <c r="S32" s="222" t="str">
        <f t="shared" ca="1" si="3"/>
        <v>ID</v>
      </c>
      <c r="T32" s="222" t="str">
        <f ca="1">IF(B32="","",IF(ISERROR(MATCH($J32,SorP!$B$1:$B$6230,0)),"",INDIRECT("'SorP'!$A$"&amp;MATCH($J32,SorP!$B$1:$B$6230,0))))</f>
        <v>ID-RI</v>
      </c>
      <c r="U32" s="238"/>
      <c r="V32" s="270">
        <f ca="1">IF(C32="",NA(),MATCH($B32&amp;$C32,'Smelter Look-up'!$J:$J,0))</f>
        <v>491</v>
      </c>
      <c r="W32" s="271"/>
      <c r="X32" s="271">
        <f t="shared" ca="1" si="4"/>
        <v>0</v>
      </c>
      <c r="Y32" s="271"/>
      <c r="Z32" s="271"/>
      <c r="AB32" s="273" t="str">
        <f t="shared" ca="1" si="5"/>
        <v>TinPT Timah Tbk Kundur</v>
      </c>
    </row>
    <row r="33" spans="1:28" s="272" customFormat="1" ht="20.100000000000001" customHeight="1">
      <c r="A33" s="215" t="s">
        <v>784</v>
      </c>
      <c r="B33" s="215" t="str">
        <f ca="1">IF(LEN(A33)=0,"",INDEX('Smelter Look-up'!$A:$A,MATCH($A33,'Smelter Look-up'!$E:$E,0)))</f>
        <v>Tin</v>
      </c>
      <c r="C33" s="219" t="str">
        <f ca="1">IF(LEN(A33)=0,"",INDEX('Smelter Look-up'!$C:$C,MATCH($A33,'Smelter Look-up'!$E:$E,0)))</f>
        <v>PT Timah Tbk Mentok</v>
      </c>
      <c r="D33" s="278"/>
      <c r="E33" s="215" t="str">
        <f ca="1">IF(ISERROR($V33),"",OFFSET('Smelter Look-up'!$D$4,$V33-4,0)&amp;"")</f>
        <v>INDONESIA</v>
      </c>
      <c r="F33" s="215" t="str">
        <f ca="1">IF(ISERROR($V33),"",OFFSET('Smelter Look-up'!$E$4,$V33-4,0))</f>
        <v>CID001482</v>
      </c>
      <c r="G33" s="215" t="str">
        <f ca="1">IF(C33=$X$4,"Enter smelter details",IF(ISERROR($V33),"",OFFSET('Smelter Look-up'!$F$4,$V33-4,0)))</f>
        <v>RMI</v>
      </c>
      <c r="H33" s="216">
        <f ca="1">IF(ISERROR($V33),"",OFFSET('Smelter Look-up'!$G$4,$V33-4,0))</f>
        <v>0</v>
      </c>
      <c r="I33" s="217" t="str">
        <f ca="1">IF(ISERROR($V33),"",OFFSET('Smelter Look-up'!$H$4,$V33-4,0))</f>
        <v>Mentok</v>
      </c>
      <c r="J33" s="217" t="str">
        <f ca="1">IF(ISERROR($V33),"",OFFSET('Smelter Look-up'!$I$4,$V33-4,0))</f>
        <v>Kepulauan Bangka Belitung</v>
      </c>
      <c r="K33" s="268"/>
      <c r="L33" s="268"/>
      <c r="M33" s="268"/>
      <c r="N33" s="268"/>
      <c r="O33" s="268"/>
      <c r="P33" s="218"/>
      <c r="Q33" s="269"/>
      <c r="R33" s="215" t="str">
        <f ca="1">IF(ISERROR($V33),"",OFFSET('Smelter Look-up'!$C$4,$V33-4,0)&amp;"")</f>
        <v>PT Timah Tbk Mentok</v>
      </c>
      <c r="S33" s="222" t="str">
        <f t="shared" ca="1" si="3"/>
        <v>ID</v>
      </c>
      <c r="T33" s="222" t="str">
        <f ca="1">IF(B33="","",IF(ISERROR(MATCH($J33,SorP!$B$1:$B$6230,0)),"",INDIRECT("'SorP'!$A$"&amp;MATCH($J33,SorP!$B$1:$B$6230,0))))</f>
        <v>ID-BB</v>
      </c>
      <c r="U33" s="238"/>
      <c r="V33" s="270">
        <f ca="1">IF(C33="",NA(),MATCH($B33&amp;$C33,'Smelter Look-up'!$J:$J,0))</f>
        <v>492</v>
      </c>
      <c r="W33" s="271"/>
      <c r="X33" s="271">
        <f t="shared" ca="1" si="4"/>
        <v>0</v>
      </c>
      <c r="Y33" s="271"/>
      <c r="Z33" s="271"/>
      <c r="AB33" s="273" t="str">
        <f t="shared" ca="1" si="5"/>
        <v>TinPT Timah Tbk Mentok</v>
      </c>
    </row>
    <row r="34" spans="1:28" s="272" customFormat="1" ht="20.100000000000001" customHeight="1">
      <c r="A34" s="215" t="s">
        <v>1830</v>
      </c>
      <c r="B34" s="215" t="str">
        <f ca="1">IF(LEN(A34)=0,"",INDEX('Smelter Look-up'!$A:$A,MATCH($A34,'Smelter Look-up'!$E:$E,0)))</f>
        <v>Tin</v>
      </c>
      <c r="C34" s="219" t="str">
        <f ca="1">IF(LEN(A34)=0,"",INDEX('Smelter Look-up'!$C:$C,MATCH($A34,'Smelter Look-up'!$E:$E,0)))</f>
        <v>Metallo Belgium N.V.</v>
      </c>
      <c r="D34" s="278"/>
      <c r="E34" s="215" t="str">
        <f ca="1">IF(ISERROR($V34),"",OFFSET('Smelter Look-up'!$D$4,$V34-4,0)&amp;"")</f>
        <v>BELGIUM</v>
      </c>
      <c r="F34" s="215" t="str">
        <f ca="1">IF(ISERROR($V34),"",OFFSET('Smelter Look-up'!$E$4,$V34-4,0))</f>
        <v>CID002773</v>
      </c>
      <c r="G34" s="215" t="str">
        <f ca="1">IF(C34=$X$4,"Enter smelter details",IF(ISERROR($V34),"",OFFSET('Smelter Look-up'!$F$4,$V34-4,0)))</f>
        <v>RMI</v>
      </c>
      <c r="H34" s="216">
        <f ca="1">IF(ISERROR($V34),"",OFFSET('Smelter Look-up'!$G$4,$V34-4,0))</f>
        <v>0</v>
      </c>
      <c r="I34" s="217" t="str">
        <f ca="1">IF(ISERROR($V34),"",OFFSET('Smelter Look-up'!$H$4,$V34-4,0))</f>
        <v>Beerse</v>
      </c>
      <c r="J34" s="217" t="str">
        <f ca="1">IF(ISERROR($V34),"",OFFSET('Smelter Look-up'!$I$4,$V34-4,0))</f>
        <v>Antwerpen</v>
      </c>
      <c r="K34" s="268"/>
      <c r="L34" s="268"/>
      <c r="M34" s="268"/>
      <c r="N34" s="268"/>
      <c r="O34" s="268"/>
      <c r="P34" s="218"/>
      <c r="Q34" s="269"/>
      <c r="R34" s="215" t="str">
        <f ca="1">IF(ISERROR($V34),"",OFFSET('Smelter Look-up'!$C$4,$V34-4,0)&amp;"")</f>
        <v>Metallo Belgium N.V.</v>
      </c>
      <c r="S34" s="222" t="str">
        <f t="shared" ca="1" si="3"/>
        <v>BE</v>
      </c>
      <c r="T34" s="222" t="str">
        <f ca="1">IF(B34="","",IF(ISERROR(MATCH($J34,SorP!$B$1:$B$6230,0)),"",INDIRECT("'SorP'!$A$"&amp;MATCH($J34,SorP!$B$1:$B$6230,0))))</f>
        <v>BE-VAN</v>
      </c>
      <c r="U34" s="238"/>
      <c r="V34" s="270">
        <f ca="1">IF(C34="",NA(),MATCH($B34&amp;$C34,'Smelter Look-up'!$J:$J,0))</f>
        <v>454</v>
      </c>
      <c r="W34" s="271"/>
      <c r="X34" s="271">
        <f t="shared" ca="1" si="4"/>
        <v>0</v>
      </c>
      <c r="Y34" s="271"/>
      <c r="Z34" s="271"/>
      <c r="AB34" s="273" t="str">
        <f t="shared" ca="1" si="5"/>
        <v>TinMetallo Belgium N.V.</v>
      </c>
    </row>
    <row r="35" spans="1:28" s="272" customFormat="1" ht="20.100000000000001" customHeight="1">
      <c r="A35" s="215" t="s">
        <v>789</v>
      </c>
      <c r="B35" s="215" t="str">
        <f ca="1">IF(LEN(A35)=0,"",INDEX('Smelter Look-up'!$A:$A,MATCH($A35,'Smelter Look-up'!$E:$E,0)))</f>
        <v>Tin</v>
      </c>
      <c r="C35" s="219" t="str">
        <f ca="1">IF(LEN(A35)=0,"",INDEX('Smelter Look-up'!$C:$C,MATCH($A35,'Smelter Look-up'!$E:$E,0)))</f>
        <v>White Solder Metalurgia e Mineracao Ltda.</v>
      </c>
      <c r="D35" s="278"/>
      <c r="E35" s="215" t="str">
        <f ca="1">IF(ISERROR($V35),"",OFFSET('Smelter Look-up'!$D$4,$V35-4,0)&amp;"")</f>
        <v>BRAZIL</v>
      </c>
      <c r="F35" s="215" t="str">
        <f ca="1">IF(ISERROR($V35),"",OFFSET('Smelter Look-up'!$E$4,$V35-4,0))</f>
        <v>CID002036</v>
      </c>
      <c r="G35" s="215" t="str">
        <f ca="1">IF(C35=$X$4,"Enter smelter details",IF(ISERROR($V35),"",OFFSET('Smelter Look-up'!$F$4,$V35-4,0)))</f>
        <v>RMI</v>
      </c>
      <c r="H35" s="216">
        <f ca="1">IF(ISERROR($V35),"",OFFSET('Smelter Look-up'!$G$4,$V35-4,0))</f>
        <v>0</v>
      </c>
      <c r="I35" s="217" t="str">
        <f ca="1">IF(ISERROR($V35),"",OFFSET('Smelter Look-up'!$H$4,$V35-4,0))</f>
        <v>Ariquemes</v>
      </c>
      <c r="J35" s="217" t="str">
        <f ca="1">IF(ISERROR($V35),"",OFFSET('Smelter Look-up'!$I$4,$V35-4,0))</f>
        <v>Rondônia</v>
      </c>
      <c r="K35" s="268"/>
      <c r="L35" s="268"/>
      <c r="M35" s="268"/>
      <c r="N35" s="268"/>
      <c r="O35" s="268"/>
      <c r="P35" s="218"/>
      <c r="Q35" s="269"/>
      <c r="R35" s="215" t="str">
        <f ca="1">IF(ISERROR($V35),"",OFFSET('Smelter Look-up'!$C$4,$V35-4,0)&amp;"")</f>
        <v>White Solder Metalurgia e Mineracao Ltda.</v>
      </c>
      <c r="S35" s="222" t="str">
        <f t="shared" ca="1" si="3"/>
        <v>BR</v>
      </c>
      <c r="T35" s="222" t="str">
        <f ca="1">IF(B35="","",IF(ISERROR(MATCH($J35,SorP!$B$1:$B$6230,0)),"",INDIRECT("'SorP'!$A$"&amp;MATCH($J35,SorP!$B$1:$B$6230,0))))</f>
        <v>BR-RO</v>
      </c>
      <c r="U35" s="238"/>
      <c r="V35" s="270">
        <f ca="1">IF(C35="",NA(),MATCH($B35&amp;$C35,'Smelter Look-up'!$J:$J,0))</f>
        <v>512</v>
      </c>
      <c r="W35" s="271"/>
      <c r="X35" s="271">
        <f t="shared" ca="1" si="4"/>
        <v>0</v>
      </c>
      <c r="Y35" s="271"/>
      <c r="Z35" s="271"/>
      <c r="AB35" s="273" t="str">
        <f t="shared" ca="1" si="5"/>
        <v>TinWhite Solder Metalurgia e Mineracao Ltda.</v>
      </c>
    </row>
    <row r="36" spans="1:28" s="272" customFormat="1" ht="20.100000000000001" customHeight="1">
      <c r="A36" s="215" t="s">
        <v>13403</v>
      </c>
      <c r="B36" s="215" t="str">
        <f ca="1">IF(LEN(A36)=0,"",INDEX('Smelter Look-up'!$A:$A,MATCH($A36,'Smelter Look-up'!$E:$E,0)))</f>
        <v>Tin</v>
      </c>
      <c r="C36" s="219" t="str">
        <f ca="1">IF(LEN(A36)=0,"",INDEX('Smelter Look-up'!$C:$C,MATCH($A36,'Smelter Look-up'!$E:$E,0)))</f>
        <v>Tin Technology &amp; Refining</v>
      </c>
      <c r="D36" s="278"/>
      <c r="E36" s="215" t="str">
        <f ca="1">IF(ISERROR($V36),"",OFFSET('Smelter Look-up'!$D$4,$V36-4,0)&amp;"")</f>
        <v>UNITED STATES OF AMERICA</v>
      </c>
      <c r="F36" s="215" t="str">
        <f ca="1">IF(ISERROR($V36),"",OFFSET('Smelter Look-up'!$E$4,$V36-4,0))</f>
        <v>CID003325</v>
      </c>
      <c r="G36" s="215" t="str">
        <f ca="1">IF(C36=$X$4,"Enter smelter details",IF(ISERROR($V36),"",OFFSET('Smelter Look-up'!$F$4,$V36-4,0)))</f>
        <v>RMI</v>
      </c>
      <c r="H36" s="216">
        <f ca="1">IF(ISERROR($V36),"",OFFSET('Smelter Look-up'!$G$4,$V36-4,0))</f>
        <v>0</v>
      </c>
      <c r="I36" s="217" t="str">
        <f ca="1">IF(ISERROR($V36),"",OFFSET('Smelter Look-up'!$H$4,$V36-4,0))</f>
        <v>West Chester</v>
      </c>
      <c r="J36" s="217" t="str">
        <f ca="1">IF(ISERROR($V36),"",OFFSET('Smelter Look-up'!$I$4,$V36-4,0))</f>
        <v>Pennsylvania</v>
      </c>
      <c r="K36" s="268"/>
      <c r="L36" s="268"/>
      <c r="M36" s="268"/>
      <c r="N36" s="268"/>
      <c r="O36" s="268"/>
      <c r="P36" s="218"/>
      <c r="Q36" s="269"/>
      <c r="R36" s="215" t="str">
        <f ca="1">IF(ISERROR($V36),"",OFFSET('Smelter Look-up'!$C$4,$V36-4,0)&amp;"")</f>
        <v>Tin Technology &amp; Refining</v>
      </c>
      <c r="S36" s="222" t="str">
        <f t="shared" ca="1" si="3"/>
        <v>US</v>
      </c>
      <c r="T36" s="222" t="str">
        <f ca="1">IF(B36="","",IF(ISERROR(MATCH($J36,SorP!$B$1:$B$6230,0)),"",INDIRECT("'SorP'!$A$"&amp;MATCH($J36,SorP!$B$1:$B$6230,0))))</f>
        <v>US-PA</v>
      </c>
      <c r="U36" s="238"/>
      <c r="V36" s="270">
        <f ca="1">IF(C36="",NA(),MATCH($B36&amp;$C36,'Smelter Look-up'!$J:$J,0))</f>
        <v>507</v>
      </c>
      <c r="W36" s="271"/>
      <c r="X36" s="271">
        <f t="shared" ca="1" si="4"/>
        <v>0</v>
      </c>
      <c r="Y36" s="271"/>
      <c r="Z36" s="271"/>
      <c r="AB36" s="273" t="str">
        <f t="shared" ca="1" si="5"/>
        <v>TinTin Technology &amp; Refining</v>
      </c>
    </row>
    <row r="37" spans="1:28" s="272" customFormat="1" ht="20.100000000000001" customHeight="1">
      <c r="A37" s="324" t="s">
        <v>776</v>
      </c>
      <c r="B37" s="215" t="str">
        <f ca="1">IF(LEN(A37)=0,"",INDEX('Smelter Look-up'!$A:$A,MATCH($A37,'Smelter Look-up'!$E:$E,0)))</f>
        <v>Tin</v>
      </c>
      <c r="C37" s="219" t="str">
        <f ca="1">IF(LEN(A37)=0,"",INDEX('Smelter Look-up'!$C:$C,MATCH($A37,'Smelter Look-up'!$E:$E,0)))</f>
        <v>Minsur</v>
      </c>
      <c r="D37" s="278"/>
      <c r="E37" s="215" t="str">
        <f ca="1">IF(ISERROR($V37),"",OFFSET('Smelter Look-up'!$D$4,$V37-4,0)&amp;"")</f>
        <v>PERU</v>
      </c>
      <c r="F37" s="215" t="str">
        <f ca="1">IF(ISERROR($V37),"",OFFSET('Smelter Look-up'!$E$4,$V37-4,0))</f>
        <v>CID001182</v>
      </c>
      <c r="G37" s="215" t="str">
        <f ca="1">IF(C37=$X$4,"Enter smelter details",IF(ISERROR($V37),"",OFFSET('Smelter Look-up'!$F$4,$V37-4,0)))</f>
        <v>RMI</v>
      </c>
      <c r="H37" s="216">
        <f ca="1">IF(ISERROR($V37),"",OFFSET('Smelter Look-up'!$G$4,$V37-4,0))</f>
        <v>0</v>
      </c>
      <c r="I37" s="217" t="str">
        <f ca="1">IF(ISERROR($V37),"",OFFSET('Smelter Look-up'!$H$4,$V37-4,0))</f>
        <v>Paracas</v>
      </c>
      <c r="J37" s="217" t="str">
        <f ca="1">IF(ISERROR($V37),"",OFFSET('Smelter Look-up'!$I$4,$V37-4,0))</f>
        <v>Ika</v>
      </c>
      <c r="K37" s="268"/>
      <c r="L37" s="268"/>
      <c r="M37" s="268"/>
      <c r="N37" s="268"/>
      <c r="O37" s="268"/>
      <c r="P37" s="218"/>
      <c r="Q37" s="269"/>
      <c r="R37" s="215" t="str">
        <f ca="1">IF(ISERROR($V37),"",OFFSET('Smelter Look-up'!$C$4,$V37-4,0)&amp;"")</f>
        <v>Minsur</v>
      </c>
      <c r="S37" s="222" t="str">
        <f t="shared" ca="1" si="3"/>
        <v>PE</v>
      </c>
      <c r="T37" s="222" t="str">
        <f ca="1">IF(B37="","",IF(ISERROR(MATCH($J37,SorP!$B$1:$B$6230,0)),"",INDIRECT("'SorP'!$A$"&amp;MATCH($J37,SorP!$B$1:$B$6230,0))))</f>
        <v>PE-ICA</v>
      </c>
      <c r="U37" s="238"/>
      <c r="V37" s="270">
        <f ca="1">IF(C37="",NA(),MATCH($B37&amp;$C37,'Smelter Look-up'!$J:$J,0))</f>
        <v>460</v>
      </c>
      <c r="W37" s="271"/>
      <c r="X37" s="271">
        <f t="shared" ca="1" si="4"/>
        <v>0</v>
      </c>
      <c r="Y37" s="271"/>
      <c r="Z37" s="271"/>
      <c r="AB37" s="273" t="str">
        <f t="shared" ca="1" si="5"/>
        <v>TinMinsur</v>
      </c>
    </row>
    <row r="38" spans="1:28" s="272" customFormat="1" ht="20.100000000000001" customHeight="1">
      <c r="A38" s="324" t="s">
        <v>1830</v>
      </c>
      <c r="B38" s="215" t="str">
        <f ca="1">IF(LEN(A38)=0,"",INDEX('Smelter Look-up'!$A:$A,MATCH($A38,'Smelter Look-up'!$E:$E,0)))</f>
        <v>Tin</v>
      </c>
      <c r="C38" s="219" t="str">
        <f ca="1">IF(LEN(A38)=0,"",INDEX('Smelter Look-up'!$C:$C,MATCH($A38,'Smelter Look-up'!$E:$E,0)))</f>
        <v>Metallo Belgium N.V.</v>
      </c>
      <c r="D38" s="278"/>
      <c r="E38" s="215" t="str">
        <f ca="1">IF(ISERROR($V38),"",OFFSET('Smelter Look-up'!$D$4,$V38-4,0)&amp;"")</f>
        <v>BELGIUM</v>
      </c>
      <c r="F38" s="215" t="str">
        <f ca="1">IF(ISERROR($V38),"",OFFSET('Smelter Look-up'!$E$4,$V38-4,0))</f>
        <v>CID002773</v>
      </c>
      <c r="G38" s="215" t="str">
        <f ca="1">IF(C38=$X$4,"Enter smelter details",IF(ISERROR($V38),"",OFFSET('Smelter Look-up'!$F$4,$V38-4,0)))</f>
        <v>RMI</v>
      </c>
      <c r="H38" s="216">
        <f ca="1">IF(ISERROR($V38),"",OFFSET('Smelter Look-up'!$G$4,$V38-4,0))</f>
        <v>0</v>
      </c>
      <c r="I38" s="217" t="str">
        <f ca="1">IF(ISERROR($V38),"",OFFSET('Smelter Look-up'!$H$4,$V38-4,0))</f>
        <v>Beerse</v>
      </c>
      <c r="J38" s="217" t="str">
        <f ca="1">IF(ISERROR($V38),"",OFFSET('Smelter Look-up'!$I$4,$V38-4,0))</f>
        <v>Antwerpen</v>
      </c>
      <c r="K38" s="268"/>
      <c r="L38" s="268"/>
      <c r="M38" s="268"/>
      <c r="N38" s="268"/>
      <c r="O38" s="268"/>
      <c r="P38" s="218"/>
      <c r="Q38" s="269"/>
      <c r="R38" s="215" t="str">
        <f ca="1">IF(ISERROR($V38),"",OFFSET('Smelter Look-up'!$C$4,$V38-4,0)&amp;"")</f>
        <v>Metallo Belgium N.V.</v>
      </c>
      <c r="S38" s="222" t="str">
        <f t="shared" ref="S38:S68" ca="1" si="6">IF(B38="","",IF(ISERROR(MATCH($E38,CL,0)),"Unknown",INDIRECT("'C'!$A$"&amp;MATCH($E38,CL,0)+1)))</f>
        <v>BE</v>
      </c>
      <c r="T38" s="222" t="str">
        <f ca="1">IF(B38="","",IF(ISERROR(MATCH($J38,SorP!$B$1:$B$6230,0)),"",INDIRECT("'SorP'!$A$"&amp;MATCH($J38,SorP!$B$1:$B$6230,0))))</f>
        <v>BE-VAN</v>
      </c>
      <c r="U38" s="238"/>
      <c r="V38" s="270">
        <f ca="1">IF(C38="",NA(),MATCH($B38&amp;$C38,'Smelter Look-up'!$J:$J,0))</f>
        <v>454</v>
      </c>
      <c r="W38" s="271"/>
      <c r="X38" s="271">
        <f t="shared" ref="X38:X68" ca="1" si="7">IF(AND(C38="Smelter not listed",OR(LEN(D38)=0,LEN(E38)=0)),1,0)</f>
        <v>0</v>
      </c>
      <c r="Y38" s="271"/>
      <c r="Z38" s="271"/>
      <c r="AB38" s="273" t="str">
        <f t="shared" ref="AB38:AB68" ca="1" si="8">B38&amp;C38</f>
        <v>TinMetallo Belgium N.V.</v>
      </c>
    </row>
    <row r="39" spans="1:28" s="272" customFormat="1" ht="20.100000000000001" customHeight="1">
      <c r="A39" s="324" t="s">
        <v>770</v>
      </c>
      <c r="B39" s="215" t="str">
        <f ca="1">IF(LEN(A39)=0,"",INDEX('Smelter Look-up'!$A:$A,MATCH($A39,'Smelter Look-up'!$E:$E,0)))</f>
        <v>Tin</v>
      </c>
      <c r="C39" s="219" t="str">
        <f ca="1">IF(LEN(A39)=0,"",INDEX('Smelter Look-up'!$C:$C,MATCH($A39,'Smelter Look-up'!$E:$E,0)))</f>
        <v>Gejiu Non-Ferrous Metal Processing Co., Ltd.</v>
      </c>
      <c r="D39" s="278"/>
      <c r="E39" s="215" t="str">
        <f ca="1">IF(ISERROR($V39),"",OFFSET('Smelter Look-up'!$D$4,$V39-4,0)&amp;"")</f>
        <v>CHINA</v>
      </c>
      <c r="F39" s="215" t="str">
        <f ca="1">IF(ISERROR($V39),"",OFFSET('Smelter Look-up'!$E$4,$V39-4,0))</f>
        <v>CID000538</v>
      </c>
      <c r="G39" s="215" t="str">
        <f ca="1">IF(C39=$X$4,"Enter smelter details",IF(ISERROR($V39),"",OFFSET('Smelter Look-up'!$F$4,$V39-4,0)))</f>
        <v>RMI</v>
      </c>
      <c r="H39" s="216">
        <f ca="1">IF(ISERROR($V39),"",OFFSET('Smelter Look-up'!$G$4,$V39-4,0))</f>
        <v>0</v>
      </c>
      <c r="I39" s="217" t="str">
        <f ca="1">IF(ISERROR($V39),"",OFFSET('Smelter Look-up'!$H$4,$V39-4,0))</f>
        <v>Gejiu</v>
      </c>
      <c r="J39" s="217" t="str">
        <f ca="1">IF(ISERROR($V39),"",OFFSET('Smelter Look-up'!$I$4,$V39-4,0))</f>
        <v>Yunnan Sheng</v>
      </c>
      <c r="K39" s="268"/>
      <c r="L39" s="268"/>
      <c r="M39" s="268"/>
      <c r="N39" s="268"/>
      <c r="O39" s="268"/>
      <c r="P39" s="218"/>
      <c r="Q39" s="269"/>
      <c r="R39" s="215" t="str">
        <f ca="1">IF(ISERROR($V39),"",OFFSET('Smelter Look-up'!$C$4,$V39-4,0)&amp;"")</f>
        <v>Gejiu Non-Ferrous Metal Processing Co., Ltd.</v>
      </c>
      <c r="S39" s="222" t="str">
        <f t="shared" ca="1" si="6"/>
        <v>CN</v>
      </c>
      <c r="T39" s="222" t="str">
        <f ca="1">IF(B39="","",IF(ISERROR(MATCH($J39,SorP!$B$1:$B$6230,0)),"",INDIRECT("'SorP'!$A$"&amp;MATCH($J39,SorP!$B$1:$B$6230,0))))</f>
        <v>CN-YN</v>
      </c>
      <c r="U39" s="238"/>
      <c r="V39" s="270">
        <f ca="1">IF(C39="",NA(),MATCH($B39&amp;$C39,'Smelter Look-up'!$J:$J,0))</f>
        <v>428</v>
      </c>
      <c r="W39" s="271"/>
      <c r="X39" s="271">
        <f t="shared" ca="1" si="7"/>
        <v>0</v>
      </c>
      <c r="Y39" s="271"/>
      <c r="Z39" s="271"/>
      <c r="AB39" s="273" t="str">
        <f t="shared" ca="1" si="8"/>
        <v>TinGejiu Non-Ferrous Metal Processing Co., Ltd.</v>
      </c>
    </row>
    <row r="40" spans="1:28" s="272" customFormat="1" ht="20.100000000000001" customHeight="1">
      <c r="A40" s="324" t="s">
        <v>783</v>
      </c>
      <c r="B40" s="215" t="str">
        <f ca="1">IF(LEN(A40)=0,"",INDEX('Smelter Look-up'!$A:$A,MATCH($A40,'Smelter Look-up'!$E:$E,0)))</f>
        <v>Tin</v>
      </c>
      <c r="C40" s="219" t="str">
        <f ca="1">IF(LEN(A40)=0,"",INDEX('Smelter Look-up'!$C:$C,MATCH($A40,'Smelter Look-up'!$E:$E,0)))</f>
        <v>PT Refined Bangka Tin</v>
      </c>
      <c r="D40" s="278"/>
      <c r="E40" s="215" t="str">
        <f ca="1">IF(ISERROR($V40),"",OFFSET('Smelter Look-up'!$D$4,$V40-4,0)&amp;"")</f>
        <v>INDONESIA</v>
      </c>
      <c r="F40" s="215" t="str">
        <f ca="1">IF(ISERROR($V40),"",OFFSET('Smelter Look-up'!$E$4,$V40-4,0))</f>
        <v>CID001460</v>
      </c>
      <c r="G40" s="215" t="str">
        <f ca="1">IF(C40=$X$4,"Enter smelter details",IF(ISERROR($V40),"",OFFSET('Smelter Look-up'!$F$4,$V40-4,0)))</f>
        <v>RMI</v>
      </c>
      <c r="H40" s="216">
        <f ca="1">IF(ISERROR($V40),"",OFFSET('Smelter Look-up'!$G$4,$V40-4,0))</f>
        <v>0</v>
      </c>
      <c r="I40" s="217" t="str">
        <f ca="1">IF(ISERROR($V40),"",OFFSET('Smelter Look-up'!$H$4,$V40-4,0))</f>
        <v>Sungailiat</v>
      </c>
      <c r="J40" s="217" t="str">
        <f ca="1">IF(ISERROR($V40),"",OFFSET('Smelter Look-up'!$I$4,$V40-4,0))</f>
        <v>Kepulauan Bangka Belitung</v>
      </c>
      <c r="K40" s="268"/>
      <c r="L40" s="268"/>
      <c r="M40" s="268"/>
      <c r="N40" s="268"/>
      <c r="O40" s="268"/>
      <c r="P40" s="218"/>
      <c r="Q40" s="269"/>
      <c r="R40" s="215" t="str">
        <f ca="1">IF(ISERROR($V40),"",OFFSET('Smelter Look-up'!$C$4,$V40-4,0)&amp;"")</f>
        <v>PT Refined Bangka Tin</v>
      </c>
      <c r="S40" s="222" t="str">
        <f t="shared" ca="1" si="6"/>
        <v>ID</v>
      </c>
      <c r="T40" s="222" t="str">
        <f ca="1">IF(B40="","",IF(ISERROR(MATCH($J40,SorP!$B$1:$B$6230,0)),"",INDIRECT("'SorP'!$A$"&amp;MATCH($J40,SorP!$B$1:$B$6230,0))))</f>
        <v>ID-BB</v>
      </c>
      <c r="U40" s="238"/>
      <c r="V40" s="270">
        <f ca="1">IF(C40="",NA(),MATCH($B40&amp;$C40,'Smelter Look-up'!$J:$J,0))</f>
        <v>487</v>
      </c>
      <c r="W40" s="271"/>
      <c r="X40" s="271">
        <f t="shared" ca="1" si="7"/>
        <v>0</v>
      </c>
      <c r="Y40" s="271"/>
      <c r="Z40" s="271"/>
      <c r="AB40" s="273" t="str">
        <f t="shared" ca="1" si="8"/>
        <v>TinPT Refined Bangka Tin</v>
      </c>
    </row>
    <row r="41" spans="1:28" s="272" customFormat="1" ht="20.100000000000001" customHeight="1">
      <c r="A41" s="324" t="s">
        <v>784</v>
      </c>
      <c r="B41" s="215" t="str">
        <f ca="1">IF(LEN(A41)=0,"",INDEX('Smelter Look-up'!$A:$A,MATCH($A41,'Smelter Look-up'!$E:$E,0)))</f>
        <v>Tin</v>
      </c>
      <c r="C41" s="219" t="str">
        <f ca="1">IF(LEN(A41)=0,"",INDEX('Smelter Look-up'!$C:$C,MATCH($A41,'Smelter Look-up'!$E:$E,0)))</f>
        <v>PT Timah Tbk Mentok</v>
      </c>
      <c r="D41" s="278"/>
      <c r="E41" s="215" t="str">
        <f ca="1">IF(ISERROR($V41),"",OFFSET('Smelter Look-up'!$D$4,$V41-4,0)&amp;"")</f>
        <v>INDONESIA</v>
      </c>
      <c r="F41" s="215" t="str">
        <f ca="1">IF(ISERROR($V41),"",OFFSET('Smelter Look-up'!$E$4,$V41-4,0))</f>
        <v>CID001482</v>
      </c>
      <c r="G41" s="215" t="str">
        <f ca="1">IF(C41=$X$4,"Enter smelter details",IF(ISERROR($V41),"",OFFSET('Smelter Look-up'!$F$4,$V41-4,0)))</f>
        <v>RMI</v>
      </c>
      <c r="H41" s="216">
        <f ca="1">IF(ISERROR($V41),"",OFFSET('Smelter Look-up'!$G$4,$V41-4,0))</f>
        <v>0</v>
      </c>
      <c r="I41" s="217" t="str">
        <f ca="1">IF(ISERROR($V41),"",OFFSET('Smelter Look-up'!$H$4,$V41-4,0))</f>
        <v>Mentok</v>
      </c>
      <c r="J41" s="217" t="str">
        <f ca="1">IF(ISERROR($V41),"",OFFSET('Smelter Look-up'!$I$4,$V41-4,0))</f>
        <v>Kepulauan Bangka Belitung</v>
      </c>
      <c r="K41" s="268"/>
      <c r="L41" s="268"/>
      <c r="M41" s="268"/>
      <c r="N41" s="268"/>
      <c r="O41" s="268"/>
      <c r="P41" s="218"/>
      <c r="Q41" s="269"/>
      <c r="R41" s="215" t="str">
        <f ca="1">IF(ISERROR($V41),"",OFFSET('Smelter Look-up'!$C$4,$V41-4,0)&amp;"")</f>
        <v>PT Timah Tbk Mentok</v>
      </c>
      <c r="S41" s="222" t="str">
        <f t="shared" ca="1" si="6"/>
        <v>ID</v>
      </c>
      <c r="T41" s="222" t="str">
        <f ca="1">IF(B41="","",IF(ISERROR(MATCH($J41,SorP!$B$1:$B$6230,0)),"",INDIRECT("'SorP'!$A$"&amp;MATCH($J41,SorP!$B$1:$B$6230,0))))</f>
        <v>ID-BB</v>
      </c>
      <c r="U41" s="238"/>
      <c r="V41" s="270">
        <f ca="1">IF(C41="",NA(),MATCH($B41&amp;$C41,'Smelter Look-up'!$J:$J,0))</f>
        <v>492</v>
      </c>
      <c r="W41" s="271"/>
      <c r="X41" s="271">
        <f t="shared" ca="1" si="7"/>
        <v>0</v>
      </c>
      <c r="Y41" s="271"/>
      <c r="Z41" s="271"/>
      <c r="AB41" s="273" t="str">
        <f t="shared" ca="1" si="8"/>
        <v>TinPT Timah Tbk Mentok</v>
      </c>
    </row>
    <row r="42" spans="1:28" s="272" customFormat="1" ht="20.100000000000001" customHeight="1">
      <c r="A42" s="324" t="s">
        <v>804</v>
      </c>
      <c r="B42" s="215" t="str">
        <f ca="1">IF(LEN(A42)=0,"",INDEX('Smelter Look-up'!$A:$A,MATCH($A42,'Smelter Look-up'!$E:$E,0)))</f>
        <v>Tin</v>
      </c>
      <c r="C42" s="219" t="str">
        <f ca="1">IF(LEN(A42)=0,"",INDEX('Smelter Look-up'!$C:$C,MATCH($A42,'Smelter Look-up'!$E:$E,0)))</f>
        <v>PT Timah Tbk Kundur</v>
      </c>
      <c r="D42" s="278"/>
      <c r="E42" s="215" t="str">
        <f ca="1">IF(ISERROR($V42),"",OFFSET('Smelter Look-up'!$D$4,$V42-4,0)&amp;"")</f>
        <v>INDONESIA</v>
      </c>
      <c r="F42" s="215" t="str">
        <f ca="1">IF(ISERROR($V42),"",OFFSET('Smelter Look-up'!$E$4,$V42-4,0))</f>
        <v>CID001477</v>
      </c>
      <c r="G42" s="215" t="str">
        <f ca="1">IF(C42=$X$4,"Enter smelter details",IF(ISERROR($V42),"",OFFSET('Smelter Look-up'!$F$4,$V42-4,0)))</f>
        <v>RMI</v>
      </c>
      <c r="H42" s="216">
        <f ca="1">IF(ISERROR($V42),"",OFFSET('Smelter Look-up'!$G$4,$V42-4,0))</f>
        <v>0</v>
      </c>
      <c r="I42" s="217" t="str">
        <f ca="1">IF(ISERROR($V42),"",OFFSET('Smelter Look-up'!$H$4,$V42-4,0))</f>
        <v>Kundur</v>
      </c>
      <c r="J42" s="217" t="str">
        <f ca="1">IF(ISERROR($V42),"",OFFSET('Smelter Look-up'!$I$4,$V42-4,0))</f>
        <v>Riau</v>
      </c>
      <c r="K42" s="268"/>
      <c r="L42" s="268"/>
      <c r="M42" s="268"/>
      <c r="N42" s="268"/>
      <c r="O42" s="268"/>
      <c r="P42" s="218"/>
      <c r="Q42" s="269"/>
      <c r="R42" s="215" t="str">
        <f ca="1">IF(ISERROR($V42),"",OFFSET('Smelter Look-up'!$C$4,$V42-4,0)&amp;"")</f>
        <v>PT Timah Tbk Kundur</v>
      </c>
      <c r="S42" s="222" t="str">
        <f t="shared" ca="1" si="6"/>
        <v>ID</v>
      </c>
      <c r="T42" s="222" t="str">
        <f ca="1">IF(B42="","",IF(ISERROR(MATCH($J42,SorP!$B$1:$B$6230,0)),"",INDIRECT("'SorP'!$A$"&amp;MATCH($J42,SorP!$B$1:$B$6230,0))))</f>
        <v>ID-RI</v>
      </c>
      <c r="U42" s="238"/>
      <c r="V42" s="270">
        <f ca="1">IF(C42="",NA(),MATCH($B42&amp;$C42,'Smelter Look-up'!$J:$J,0))</f>
        <v>491</v>
      </c>
      <c r="W42" s="271"/>
      <c r="X42" s="271">
        <f t="shared" ca="1" si="7"/>
        <v>0</v>
      </c>
      <c r="Y42" s="271"/>
      <c r="Z42" s="271"/>
      <c r="AB42" s="273" t="str">
        <f t="shared" ca="1" si="8"/>
        <v>TinPT Timah Tbk Kundur</v>
      </c>
    </row>
    <row r="43" spans="1:28" s="272" customFormat="1" ht="20.100000000000001" customHeight="1">
      <c r="A43" s="324" t="s">
        <v>775</v>
      </c>
      <c r="B43" s="215" t="str">
        <f ca="1">IF(LEN(A43)=0,"",INDEX('Smelter Look-up'!$A:$A,MATCH($A43,'Smelter Look-up'!$E:$E,0)))</f>
        <v>Tin</v>
      </c>
      <c r="C43" s="219" t="str">
        <f ca="1">IF(LEN(A43)=0,"",INDEX('Smelter Look-up'!$C:$C,MATCH($A43,'Smelter Look-up'!$E:$E,0)))</f>
        <v>Mineracao Taboca S.A.</v>
      </c>
      <c r="D43" s="278"/>
      <c r="E43" s="215" t="str">
        <f ca="1">IF(ISERROR($V43),"",OFFSET('Smelter Look-up'!$D$4,$V43-4,0)&amp;"")</f>
        <v>BRAZIL</v>
      </c>
      <c r="F43" s="215" t="str">
        <f ca="1">IF(ISERROR($V43),"",OFFSET('Smelter Look-up'!$E$4,$V43-4,0))</f>
        <v>CID001173</v>
      </c>
      <c r="G43" s="215" t="str">
        <f ca="1">IF(C43=$X$4,"Enter smelter details",IF(ISERROR($V43),"",OFFSET('Smelter Look-up'!$F$4,$V43-4,0)))</f>
        <v>RMI</v>
      </c>
      <c r="H43" s="216">
        <f ca="1">IF(ISERROR($V43),"",OFFSET('Smelter Look-up'!$G$4,$V43-4,0))</f>
        <v>0</v>
      </c>
      <c r="I43" s="217" t="str">
        <f ca="1">IF(ISERROR($V43),"",OFFSET('Smelter Look-up'!$H$4,$V43-4,0))</f>
        <v>Bairro Guarapiranga</v>
      </c>
      <c r="J43" s="217" t="str">
        <f ca="1">IF(ISERROR($V43),"",OFFSET('Smelter Look-up'!$I$4,$V43-4,0))</f>
        <v>São Paulo</v>
      </c>
      <c r="K43" s="268"/>
      <c r="L43" s="268"/>
      <c r="M43" s="268"/>
      <c r="N43" s="268"/>
      <c r="O43" s="268"/>
      <c r="P43" s="218"/>
      <c r="Q43" s="269"/>
      <c r="R43" s="215" t="str">
        <f ca="1">IF(ISERROR($V43),"",OFFSET('Smelter Look-up'!$C$4,$V43-4,0)&amp;"")</f>
        <v>Mineracao Taboca S.A.</v>
      </c>
      <c r="S43" s="222" t="str">
        <f t="shared" ca="1" si="6"/>
        <v>BR</v>
      </c>
      <c r="T43" s="222" t="str">
        <f ca="1">IF(B43="","",IF(ISERROR(MATCH($J43,SorP!$B$1:$B$6230,0)),"",INDIRECT("'SorP'!$A$"&amp;MATCH($J43,SorP!$B$1:$B$6230,0))))</f>
        <v>BR-SP</v>
      </c>
      <c r="U43" s="238"/>
      <c r="V43" s="270">
        <f ca="1">IF(C43="",NA(),MATCH($B43&amp;$C43,'Smelter Look-up'!$J:$J,0))</f>
        <v>456</v>
      </c>
      <c r="W43" s="271"/>
      <c r="X43" s="271">
        <f t="shared" ca="1" si="7"/>
        <v>0</v>
      </c>
      <c r="Y43" s="271"/>
      <c r="Z43" s="271"/>
      <c r="AB43" s="273" t="str">
        <f t="shared" ca="1" si="8"/>
        <v>TinMineracao Taboca S.A.</v>
      </c>
    </row>
    <row r="44" spans="1:28" s="272" customFormat="1" ht="20.100000000000001" customHeight="1">
      <c r="A44" s="324" t="s">
        <v>774</v>
      </c>
      <c r="B44" s="215" t="str">
        <f ca="1">IF(LEN(A44)=0,"",INDEX('Smelter Look-up'!$A:$A,MATCH($A44,'Smelter Look-up'!$E:$E,0)))</f>
        <v>Tin</v>
      </c>
      <c r="C44" s="219" t="str">
        <f ca="1">IF(LEN(A44)=0,"",INDEX('Smelter Look-up'!$C:$C,MATCH($A44,'Smelter Look-up'!$E:$E,0)))</f>
        <v>Malaysia Smelting Corporation (MSC)</v>
      </c>
      <c r="D44" s="278"/>
      <c r="E44" s="215" t="str">
        <f ca="1">IF(ISERROR($V44),"",OFFSET('Smelter Look-up'!$D$4,$V44-4,0)&amp;"")</f>
        <v>MALAYSIA</v>
      </c>
      <c r="F44" s="215" t="str">
        <f ca="1">IF(ISERROR($V44),"",OFFSET('Smelter Look-up'!$E$4,$V44-4,0))</f>
        <v>CID001105</v>
      </c>
      <c r="G44" s="215" t="str">
        <f ca="1">IF(C44=$X$4,"Enter smelter details",IF(ISERROR($V44),"",OFFSET('Smelter Look-up'!$F$4,$V44-4,0)))</f>
        <v>RMI</v>
      </c>
      <c r="H44" s="216">
        <f ca="1">IF(ISERROR($V44),"",OFFSET('Smelter Look-up'!$G$4,$V44-4,0))</f>
        <v>0</v>
      </c>
      <c r="I44" s="217" t="str">
        <f ca="1">IF(ISERROR($V44),"",OFFSET('Smelter Look-up'!$H$4,$V44-4,0))</f>
        <v>Butterworth</v>
      </c>
      <c r="J44" s="217" t="str">
        <f ca="1">IF(ISERROR($V44),"",OFFSET('Smelter Look-up'!$I$4,$V44-4,0))</f>
        <v>Pulau Pinang</v>
      </c>
      <c r="K44" s="268"/>
      <c r="L44" s="268"/>
      <c r="M44" s="268"/>
      <c r="N44" s="268"/>
      <c r="O44" s="268"/>
      <c r="P44" s="218"/>
      <c r="Q44" s="269"/>
      <c r="R44" s="215" t="str">
        <f ca="1">IF(ISERROR($V44),"",OFFSET('Smelter Look-up'!$C$4,$V44-4,0)&amp;"")</f>
        <v>Malaysia Smelting Corporation (MSC)</v>
      </c>
      <c r="S44" s="222" t="str">
        <f t="shared" ca="1" si="6"/>
        <v>MY</v>
      </c>
      <c r="T44" s="222" t="str">
        <f ca="1">IF(B44="","",IF(ISERROR(MATCH($J44,SorP!$B$1:$B$6230,0)),"",INDIRECT("'SorP'!$A$"&amp;MATCH($J44,SorP!$B$1:$B$6230,0))))</f>
        <v>MY-07</v>
      </c>
      <c r="U44" s="238"/>
      <c r="V44" s="270">
        <f ca="1">IF(C44="",NA(),MATCH($B44&amp;$C44,'Smelter Look-up'!$J:$J,0))</f>
        <v>449</v>
      </c>
      <c r="W44" s="271"/>
      <c r="X44" s="271">
        <f t="shared" ca="1" si="7"/>
        <v>0</v>
      </c>
      <c r="Y44" s="271"/>
      <c r="Z44" s="271"/>
      <c r="AB44" s="273" t="str">
        <f t="shared" ca="1" si="8"/>
        <v>TinMalaysia Smelting Corporation (MSC)</v>
      </c>
    </row>
    <row r="45" spans="1:28" s="272" customFormat="1" ht="20.100000000000001" customHeight="1">
      <c r="A45" s="324" t="s">
        <v>788</v>
      </c>
      <c r="B45" s="215" t="str">
        <f ca="1">IF(LEN(A45)=0,"",INDEX('Smelter Look-up'!$A:$A,MATCH($A45,'Smelter Look-up'!$E:$E,0)))</f>
        <v>Tin</v>
      </c>
      <c r="C45" s="219" t="str">
        <f ca="1">IF(LEN(A45)=0,"",INDEX('Smelter Look-up'!$C:$C,MATCH($A45,'Smelter Look-up'!$E:$E,0)))</f>
        <v>Thaisarco</v>
      </c>
      <c r="D45" s="278"/>
      <c r="E45" s="215" t="str">
        <f ca="1">IF(ISERROR($V45),"",OFFSET('Smelter Look-up'!$D$4,$V45-4,0)&amp;"")</f>
        <v>THAILAND</v>
      </c>
      <c r="F45" s="215" t="str">
        <f ca="1">IF(ISERROR($V45),"",OFFSET('Smelter Look-up'!$E$4,$V45-4,0))</f>
        <v>CID001898</v>
      </c>
      <c r="G45" s="215" t="str">
        <f ca="1">IF(C45=$X$4,"Enter smelter details",IF(ISERROR($V45),"",OFFSET('Smelter Look-up'!$F$4,$V45-4,0)))</f>
        <v>RMI</v>
      </c>
      <c r="H45" s="216">
        <f ca="1">IF(ISERROR($V45),"",OFFSET('Smelter Look-up'!$G$4,$V45-4,0))</f>
        <v>0</v>
      </c>
      <c r="I45" s="217" t="str">
        <f ca="1">IF(ISERROR($V45),"",OFFSET('Smelter Look-up'!$H$4,$V45-4,0))</f>
        <v>Amphur Muang</v>
      </c>
      <c r="J45" s="217" t="str">
        <f ca="1">IF(ISERROR($V45),"",OFFSET('Smelter Look-up'!$I$4,$V45-4,0))</f>
        <v>Phuket</v>
      </c>
      <c r="K45" s="268"/>
      <c r="L45" s="268"/>
      <c r="M45" s="268"/>
      <c r="N45" s="268"/>
      <c r="O45" s="268"/>
      <c r="P45" s="218"/>
      <c r="Q45" s="269"/>
      <c r="R45" s="215" t="str">
        <f ca="1">IF(ISERROR($V45),"",OFFSET('Smelter Look-up'!$C$4,$V45-4,0)&amp;"")</f>
        <v>Thaisarco</v>
      </c>
      <c r="S45" s="222" t="str">
        <f t="shared" ca="1" si="6"/>
        <v>TH</v>
      </c>
      <c r="T45" s="222" t="str">
        <f ca="1">IF(B45="","",IF(ISERROR(MATCH($J45,SorP!$B$1:$B$6230,0)),"",INDIRECT("'SorP'!$A$"&amp;MATCH($J45,SorP!$B$1:$B$6230,0))))</f>
        <v>TH-83</v>
      </c>
      <c r="U45" s="238"/>
      <c r="V45" s="270">
        <f ca="1">IF(C45="",NA(),MATCH($B45&amp;$C45,'Smelter Look-up'!$J:$J,0))</f>
        <v>504</v>
      </c>
      <c r="W45" s="271"/>
      <c r="X45" s="271">
        <f t="shared" ca="1" si="7"/>
        <v>0</v>
      </c>
      <c r="Y45" s="271"/>
      <c r="Z45" s="271"/>
      <c r="AB45" s="273" t="str">
        <f t="shared" ca="1" si="8"/>
        <v>TinThaisarco</v>
      </c>
    </row>
    <row r="46" spans="1:28" s="272" customFormat="1" ht="20.100000000000001" customHeight="1">
      <c r="A46" s="324" t="s">
        <v>789</v>
      </c>
      <c r="B46" s="215" t="str">
        <f ca="1">IF(LEN(A46)=0,"",INDEX('Smelter Look-up'!$A:$A,MATCH($A46,'Smelter Look-up'!$E:$E,0)))</f>
        <v>Tin</v>
      </c>
      <c r="C46" s="219" t="str">
        <f ca="1">IF(LEN(A46)=0,"",INDEX('Smelter Look-up'!$C:$C,MATCH($A46,'Smelter Look-up'!$E:$E,0)))</f>
        <v>White Solder Metalurgia e Mineracao Ltda.</v>
      </c>
      <c r="D46" s="278"/>
      <c r="E46" s="215" t="str">
        <f ca="1">IF(ISERROR($V46),"",OFFSET('Smelter Look-up'!$D$4,$V46-4,0)&amp;"")</f>
        <v>BRAZIL</v>
      </c>
      <c r="F46" s="215" t="str">
        <f ca="1">IF(ISERROR($V46),"",OFFSET('Smelter Look-up'!$E$4,$V46-4,0))</f>
        <v>CID002036</v>
      </c>
      <c r="G46" s="215" t="str">
        <f ca="1">IF(C46=$X$4,"Enter smelter details",IF(ISERROR($V46),"",OFFSET('Smelter Look-up'!$F$4,$V46-4,0)))</f>
        <v>RMI</v>
      </c>
      <c r="H46" s="216">
        <f ca="1">IF(ISERROR($V46),"",OFFSET('Smelter Look-up'!$G$4,$V46-4,0))</f>
        <v>0</v>
      </c>
      <c r="I46" s="217" t="str">
        <f ca="1">IF(ISERROR($V46),"",OFFSET('Smelter Look-up'!$H$4,$V46-4,0))</f>
        <v>Ariquemes</v>
      </c>
      <c r="J46" s="217" t="str">
        <f ca="1">IF(ISERROR($V46),"",OFFSET('Smelter Look-up'!$I$4,$V46-4,0))</f>
        <v>Rondônia</v>
      </c>
      <c r="K46" s="268"/>
      <c r="L46" s="268"/>
      <c r="M46" s="268"/>
      <c r="N46" s="268"/>
      <c r="O46" s="268"/>
      <c r="P46" s="218"/>
      <c r="Q46" s="269"/>
      <c r="R46" s="215" t="str">
        <f ca="1">IF(ISERROR($V46),"",OFFSET('Smelter Look-up'!$C$4,$V46-4,0)&amp;"")</f>
        <v>White Solder Metalurgia e Mineracao Ltda.</v>
      </c>
      <c r="S46" s="222" t="str">
        <f t="shared" ca="1" si="6"/>
        <v>BR</v>
      </c>
      <c r="T46" s="222" t="str">
        <f ca="1">IF(B46="","",IF(ISERROR(MATCH($J46,SorP!$B$1:$B$6230,0)),"",INDIRECT("'SorP'!$A$"&amp;MATCH($J46,SorP!$B$1:$B$6230,0))))</f>
        <v>BR-RO</v>
      </c>
      <c r="U46" s="238"/>
      <c r="V46" s="270">
        <f ca="1">IF(C46="",NA(),MATCH($B46&amp;$C46,'Smelter Look-up'!$J:$J,0))</f>
        <v>512</v>
      </c>
      <c r="W46" s="271"/>
      <c r="X46" s="271">
        <f t="shared" ca="1" si="7"/>
        <v>0</v>
      </c>
      <c r="Y46" s="271"/>
      <c r="Z46" s="271"/>
      <c r="AB46" s="273" t="str">
        <f t="shared" ca="1" si="8"/>
        <v>TinWhite Solder Metalurgia e Mineracao Ltda.</v>
      </c>
    </row>
    <row r="47" spans="1:28" s="272" customFormat="1" ht="20.100000000000001" customHeight="1">
      <c r="A47" s="324" t="s">
        <v>786</v>
      </c>
      <c r="B47" s="215" t="str">
        <f ca="1">IF(LEN(A47)=0,"",INDEX('Smelter Look-up'!$A:$A,MATCH($A47,'Smelter Look-up'!$E:$E,0)))</f>
        <v>Tin</v>
      </c>
      <c r="C47" s="219" t="str">
        <f ca="1">IF(LEN(A47)=0,"",INDEX('Smelter Look-up'!$C:$C,MATCH($A47,'Smelter Look-up'!$E:$E,0)))</f>
        <v>Rui Da Hung</v>
      </c>
      <c r="D47" s="278"/>
      <c r="E47" s="215" t="str">
        <f ca="1">IF(ISERROR($V47),"",OFFSET('Smelter Look-up'!$D$4,$V47-4,0)&amp;"")</f>
        <v>TAIWAN, PROVINCE OF CHINA</v>
      </c>
      <c r="F47" s="215" t="str">
        <f ca="1">IF(ISERROR($V47),"",OFFSET('Smelter Look-up'!$E$4,$V47-4,0))</f>
        <v>CID001539</v>
      </c>
      <c r="G47" s="215" t="str">
        <f ca="1">IF(C47=$X$4,"Enter smelter details",IF(ISERROR($V47),"",OFFSET('Smelter Look-up'!$F$4,$V47-4,0)))</f>
        <v>RMI</v>
      </c>
      <c r="H47" s="216">
        <f ca="1">IF(ISERROR($V47),"",OFFSET('Smelter Look-up'!$G$4,$V47-4,0))</f>
        <v>0</v>
      </c>
      <c r="I47" s="217" t="str">
        <f ca="1">IF(ISERROR($V47),"",OFFSET('Smelter Look-up'!$H$4,$V47-4,0))</f>
        <v>Longtan Shiang Taoyuan</v>
      </c>
      <c r="J47" s="217" t="str">
        <f ca="1">IF(ISERROR($V47),"",OFFSET('Smelter Look-up'!$I$4,$V47-4,0))</f>
        <v>Taoyuan</v>
      </c>
      <c r="K47" s="268"/>
      <c r="L47" s="268"/>
      <c r="M47" s="268"/>
      <c r="N47" s="268"/>
      <c r="O47" s="268"/>
      <c r="P47" s="218"/>
      <c r="Q47" s="269"/>
      <c r="R47" s="215" t="str">
        <f ca="1">IF(ISERROR($V47),"",OFFSET('Smelter Look-up'!$C$4,$V47-4,0)&amp;"")</f>
        <v>Rui Da Hung</v>
      </c>
      <c r="S47" s="222" t="str">
        <f t="shared" ca="1" si="6"/>
        <v>TW</v>
      </c>
      <c r="T47" s="222" t="str">
        <f ca="1">IF(B47="","",IF(ISERROR(MATCH($J47,SorP!$B$1:$B$6230,0)),"",INDIRECT("'SorP'!$A$"&amp;MATCH($J47,SorP!$B$1:$B$6230,0))))</f>
        <v>TW-TAO</v>
      </c>
      <c r="U47" s="238"/>
      <c r="V47" s="270">
        <f ca="1">IF(C47="",NA(),MATCH($B47&amp;$C47,'Smelter Look-up'!$J:$J,0))</f>
        <v>497</v>
      </c>
      <c r="W47" s="271"/>
      <c r="X47" s="271">
        <f t="shared" ca="1" si="7"/>
        <v>0</v>
      </c>
      <c r="Y47" s="271"/>
      <c r="Z47" s="271"/>
      <c r="AB47" s="273" t="str">
        <f t="shared" ca="1" si="8"/>
        <v>TinRui Da Hung</v>
      </c>
    </row>
    <row r="48" spans="1:28" s="272" customFormat="1" ht="20.100000000000001" customHeight="1">
      <c r="A48" s="324" t="s">
        <v>767</v>
      </c>
      <c r="B48" s="215" t="str">
        <f ca="1">IF(LEN(A48)=0,"",INDEX('Smelter Look-up'!$A:$A,MATCH($A48,'Smelter Look-up'!$E:$E,0)))</f>
        <v>Tin</v>
      </c>
      <c r="C48" s="219" t="str">
        <f ca="1">IF(LEN(A48)=0,"",INDEX('Smelter Look-up'!$C:$C,MATCH($A48,'Smelter Look-up'!$E:$E,0)))</f>
        <v>EM Vinto</v>
      </c>
      <c r="D48" s="278"/>
      <c r="E48" s="215" t="str">
        <f ca="1">IF(ISERROR($V48),"",OFFSET('Smelter Look-up'!$D$4,$V48-4,0)&amp;"")</f>
        <v>BOLIVIA (PLURINATIONAL STATE OF)</v>
      </c>
      <c r="F48" s="215" t="str">
        <f ca="1">IF(ISERROR($V48),"",OFFSET('Smelter Look-up'!$E$4,$V48-4,0))</f>
        <v>CID000438</v>
      </c>
      <c r="G48" s="215" t="str">
        <f ca="1">IF(C48=$X$4,"Enter smelter details",IF(ISERROR($V48),"",OFFSET('Smelter Look-up'!$F$4,$V48-4,0)))</f>
        <v>RMI</v>
      </c>
      <c r="H48" s="216">
        <f ca="1">IF(ISERROR($V48),"",OFFSET('Smelter Look-up'!$G$4,$V48-4,0))</f>
        <v>0</v>
      </c>
      <c r="I48" s="217" t="str">
        <f ca="1">IF(ISERROR($V48),"",OFFSET('Smelter Look-up'!$H$4,$V48-4,0))</f>
        <v>Oruro</v>
      </c>
      <c r="J48" s="217" t="str">
        <f ca="1">IF(ISERROR($V48),"",OFFSET('Smelter Look-up'!$I$4,$V48-4,0))</f>
        <v>Oruro</v>
      </c>
      <c r="K48" s="268"/>
      <c r="L48" s="268"/>
      <c r="M48" s="268"/>
      <c r="N48" s="268"/>
      <c r="O48" s="268"/>
      <c r="P48" s="218"/>
      <c r="Q48" s="269"/>
      <c r="R48" s="215" t="str">
        <f ca="1">IF(ISERROR($V48),"",OFFSET('Smelter Look-up'!$C$4,$V48-4,0)&amp;"")</f>
        <v>EM Vinto</v>
      </c>
      <c r="S48" s="222" t="str">
        <f t="shared" ca="1" si="6"/>
        <v>BO</v>
      </c>
      <c r="T48" s="222" t="str">
        <f ca="1">IF(B48="","",IF(ISERROR(MATCH($J48,SorP!$B$1:$B$6230,0)),"",INDIRECT("'SorP'!$A$"&amp;MATCH($J48,SorP!$B$1:$B$6230,0))))</f>
        <v>BO-O</v>
      </c>
      <c r="U48" s="238"/>
      <c r="V48" s="270">
        <f ca="1">IF(C48="",NA(),MATCH($B48&amp;$C48,'Smelter Look-up'!$J:$J,0))</f>
        <v>412</v>
      </c>
      <c r="W48" s="271"/>
      <c r="X48" s="271">
        <f t="shared" ca="1" si="7"/>
        <v>0</v>
      </c>
      <c r="Y48" s="271"/>
      <c r="Z48" s="271"/>
      <c r="AB48" s="273" t="str">
        <f t="shared" ca="1" si="8"/>
        <v>TinEM Vinto</v>
      </c>
    </row>
    <row r="49" spans="1:28" s="272" customFormat="1" ht="20.100000000000001" customHeight="1">
      <c r="A49" s="324" t="s">
        <v>2563</v>
      </c>
      <c r="B49" s="215" t="str">
        <f ca="1">IF(LEN(A49)=0,"",INDEX('Smelter Look-up'!$A:$A,MATCH($A49,'Smelter Look-up'!$E:$E,0)))</f>
        <v>Tin</v>
      </c>
      <c r="C49" s="219" t="str">
        <f ca="1">IF(LEN(A49)=0,"",INDEX('Smelter Look-up'!$C:$C,MATCH($A49,'Smelter Look-up'!$E:$E,0)))</f>
        <v>Guangdong Hanhe Non-Ferrous Metal Co., Ltd.</v>
      </c>
      <c r="D49" s="278"/>
      <c r="E49" s="215" t="str">
        <f ca="1">IF(ISERROR($V49),"",OFFSET('Smelter Look-up'!$D$4,$V49-4,0)&amp;"")</f>
        <v>CHINA</v>
      </c>
      <c r="F49" s="215" t="str">
        <f ca="1">IF(ISERROR($V49),"",OFFSET('Smelter Look-up'!$E$4,$V49-4,0))</f>
        <v>CID003116</v>
      </c>
      <c r="G49" s="215" t="str">
        <f ca="1">IF(C49=$X$4,"Enter smelter details",IF(ISERROR($V49),"",OFFSET('Smelter Look-up'!$F$4,$V49-4,0)))</f>
        <v>RMI</v>
      </c>
      <c r="H49" s="216">
        <f ca="1">IF(ISERROR($V49),"",OFFSET('Smelter Look-up'!$G$4,$V49-4,0))</f>
        <v>0</v>
      </c>
      <c r="I49" s="217" t="str">
        <f ca="1">IF(ISERROR($V49),"",OFFSET('Smelter Look-up'!$H$4,$V49-4,0))</f>
        <v>Chaozhou</v>
      </c>
      <c r="J49" s="217" t="str">
        <f ca="1">IF(ISERROR($V49),"",OFFSET('Smelter Look-up'!$I$4,$V49-4,0))</f>
        <v>Guangdong Sheng</v>
      </c>
      <c r="K49" s="268"/>
      <c r="L49" s="268"/>
      <c r="M49" s="268"/>
      <c r="N49" s="268"/>
      <c r="O49" s="268"/>
      <c r="P49" s="218"/>
      <c r="Q49" s="269"/>
      <c r="R49" s="215" t="str">
        <f ca="1">IF(ISERROR($V49),"",OFFSET('Smelter Look-up'!$C$4,$V49-4,0)&amp;"")</f>
        <v>Guangdong Hanhe Non-Ferrous Metal Co., Ltd.</v>
      </c>
      <c r="S49" s="222" t="str">
        <f t="shared" ca="1" si="6"/>
        <v>CN</v>
      </c>
      <c r="T49" s="222" t="str">
        <f ca="1">IF(B49="","",IF(ISERROR(MATCH($J49,SorP!$B$1:$B$6230,0)),"",INDIRECT("'SorP'!$A$"&amp;MATCH($J49,SorP!$B$1:$B$6230,0))))</f>
        <v>CN-GD</v>
      </c>
      <c r="U49" s="238"/>
      <c r="V49" s="270">
        <f ca="1">IF(C49="",NA(),MATCH($B49&amp;$C49,'Smelter Look-up'!$J:$J,0))</f>
        <v>434</v>
      </c>
      <c r="W49" s="271"/>
      <c r="X49" s="271">
        <f t="shared" ca="1" si="7"/>
        <v>0</v>
      </c>
      <c r="Y49" s="271"/>
      <c r="Z49" s="271"/>
      <c r="AB49" s="273" t="str">
        <f t="shared" ca="1" si="8"/>
        <v>TinGuangdong Hanhe Non-Ferrous Metal Co., Ltd.</v>
      </c>
    </row>
    <row r="50" spans="1:28" s="272" customFormat="1" ht="20.100000000000001" customHeight="1">
      <c r="A50" s="214" t="s">
        <v>780</v>
      </c>
      <c r="B50" s="215" t="str">
        <f ca="1">IF(LEN(A50)=0,"",INDEX('Smelter Look-up'!$A:$A,MATCH($A50,'Smelter Look-up'!$E:$E,0)))</f>
        <v>Tin</v>
      </c>
      <c r="C50" s="219" t="str">
        <f ca="1">IF(LEN(A50)=0,"",INDEX('Smelter Look-up'!$C:$C,MATCH($A50,'Smelter Look-up'!$E:$E,0)))</f>
        <v>Operaciones Metalurgicas S.A.</v>
      </c>
      <c r="D50" s="278"/>
      <c r="E50" s="215" t="str">
        <f ca="1">IF(ISERROR($V50),"",OFFSET('Smelter Look-up'!$D$4,$V50-4,0)&amp;"")</f>
        <v>BOLIVIA (PLURINATIONAL STATE OF)</v>
      </c>
      <c r="F50" s="215" t="str">
        <f ca="1">IF(ISERROR($V50),"",OFFSET('Smelter Look-up'!$E$4,$V50-4,0))</f>
        <v>CID001337</v>
      </c>
      <c r="G50" s="215" t="str">
        <f ca="1">IF(C50=$X$4,"Enter smelter details",IF(ISERROR($V50),"",OFFSET('Smelter Look-up'!$F$4,$V50-4,0)))</f>
        <v>RMI</v>
      </c>
      <c r="H50" s="216">
        <f ca="1">IF(ISERROR($V50),"",OFFSET('Smelter Look-up'!$G$4,$V50-4,0))</f>
        <v>0</v>
      </c>
      <c r="I50" s="217" t="str">
        <f ca="1">IF(ISERROR($V50),"",OFFSET('Smelter Look-up'!$H$4,$V50-4,0))</f>
        <v>Oruro</v>
      </c>
      <c r="J50" s="217" t="str">
        <f ca="1">IF(ISERROR($V50),"",OFFSET('Smelter Look-up'!$I$4,$V50-4,0))</f>
        <v>Oruro</v>
      </c>
      <c r="K50" s="268"/>
      <c r="L50" s="268"/>
      <c r="M50" s="268"/>
      <c r="N50" s="268"/>
      <c r="O50" s="268"/>
      <c r="P50" s="218"/>
      <c r="Q50" s="269"/>
      <c r="R50" s="215" t="str">
        <f ca="1">IF(ISERROR($V50),"",OFFSET('Smelter Look-up'!$C$4,$V50-4,0)&amp;"")</f>
        <v>Operaciones Metalurgicas S.A.</v>
      </c>
      <c r="S50" s="222" t="str">
        <f t="shared" ca="1" si="6"/>
        <v>BO</v>
      </c>
      <c r="T50" s="222" t="str">
        <f ca="1">IF(B50="","",IF(ISERROR(MATCH($J50,SorP!$B$1:$B$6230,0)),"",INDIRECT("'SorP'!$A$"&amp;MATCH($J50,SorP!$B$1:$B$6230,0))))</f>
        <v>BO-O</v>
      </c>
      <c r="U50" s="238"/>
      <c r="V50" s="270">
        <f ca="1">IF(C50="",NA(),MATCH($B50&amp;$C50,'Smelter Look-up'!$J:$J,0))</f>
        <v>471</v>
      </c>
      <c r="W50" s="271"/>
      <c r="X50" s="271">
        <f t="shared" ca="1" si="7"/>
        <v>0</v>
      </c>
      <c r="Y50" s="271"/>
      <c r="Z50" s="271"/>
      <c r="AB50" s="273" t="str">
        <f t="shared" ca="1" si="8"/>
        <v>TinOperaciones Metalurgicas S.A.</v>
      </c>
    </row>
    <row r="51" spans="1:28" s="272" customFormat="1" ht="20.100000000000001" customHeight="1">
      <c r="A51" s="214" t="s">
        <v>790</v>
      </c>
      <c r="B51" s="215" t="str">
        <f ca="1">IF(LEN(A51)=0,"",INDEX('Smelter Look-up'!$A:$A,MATCH($A51,'Smelter Look-up'!$E:$E,0)))</f>
        <v>Tin</v>
      </c>
      <c r="C51" s="219" t="str">
        <f ca="1">IF(LEN(A51)=0,"",INDEX('Smelter Look-up'!$C:$C,MATCH($A51,'Smelter Look-up'!$E:$E,0)))</f>
        <v>Yunnan Chengfeng Non-ferrous Metals Co., Ltd.</v>
      </c>
      <c r="D51" s="278"/>
      <c r="E51" s="215" t="str">
        <f ca="1">IF(ISERROR($V51),"",OFFSET('Smelter Look-up'!$D$4,$V51-4,0)&amp;"")</f>
        <v>CHINA</v>
      </c>
      <c r="F51" s="215" t="str">
        <f ca="1">IF(ISERROR($V51),"",OFFSET('Smelter Look-up'!$E$4,$V51-4,0))</f>
        <v>CID002158</v>
      </c>
      <c r="G51" s="215" t="str">
        <f ca="1">IF(C51=$X$4,"Enter smelter details",IF(ISERROR($V51),"",OFFSET('Smelter Look-up'!$F$4,$V51-4,0)))</f>
        <v>RMI</v>
      </c>
      <c r="H51" s="216">
        <f ca="1">IF(ISERROR($V51),"",OFFSET('Smelter Look-up'!$G$4,$V51-4,0))</f>
        <v>0</v>
      </c>
      <c r="I51" s="217" t="str">
        <f ca="1">IF(ISERROR($V51),"",OFFSET('Smelter Look-up'!$H$4,$V51-4,0))</f>
        <v>Gejiu</v>
      </c>
      <c r="J51" s="217" t="str">
        <f ca="1">IF(ISERROR($V51),"",OFFSET('Smelter Look-up'!$I$4,$V51-4,0))</f>
        <v>Yunnan Sheng</v>
      </c>
      <c r="K51" s="268"/>
      <c r="L51" s="268"/>
      <c r="M51" s="268"/>
      <c r="N51" s="268"/>
      <c r="O51" s="268"/>
      <c r="P51" s="218"/>
      <c r="Q51" s="269"/>
      <c r="R51" s="215" t="str">
        <f ca="1">IF(ISERROR($V51),"",OFFSET('Smelter Look-up'!$C$4,$V51-4,0)&amp;"")</f>
        <v>Yunnan Chengfeng Non-ferrous Metals Co., Ltd.</v>
      </c>
      <c r="S51" s="222" t="str">
        <f t="shared" ca="1" si="6"/>
        <v>CN</v>
      </c>
      <c r="T51" s="222" t="str">
        <f ca="1">IF(B51="","",IF(ISERROR(MATCH($J51,SorP!$B$1:$B$6230,0)),"",INDIRECT("'SorP'!$A$"&amp;MATCH($J51,SorP!$B$1:$B$6230,0))))</f>
        <v>CN-YN</v>
      </c>
      <c r="U51" s="238"/>
      <c r="V51" s="270">
        <f ca="1">IF(C51="",NA(),MATCH($B51&amp;$C51,'Smelter Look-up'!$J:$J,0))</f>
        <v>520</v>
      </c>
      <c r="W51" s="271"/>
      <c r="X51" s="271">
        <f t="shared" ca="1" si="7"/>
        <v>0</v>
      </c>
      <c r="Y51" s="271"/>
      <c r="Z51" s="271"/>
      <c r="AB51" s="273" t="str">
        <f t="shared" ca="1" si="8"/>
        <v>TinYunnan Chengfeng Non-ferrous Metals Co., Ltd.</v>
      </c>
    </row>
    <row r="52" spans="1:28" s="272" customFormat="1" ht="20.100000000000001" customHeight="1">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100000000000001" customHeight="1">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100000000000001" customHeight="1">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100000000000001" customHeight="1">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100000000000001" customHeight="1">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8" priority="39" stopIfTrue="1">
      <formula>IF(B586="",TRUE)</formula>
    </cfRule>
    <cfRule type="expression" dxfId="57" priority="50" stopIfTrue="1">
      <formula>IF(AND(COUNTIF(MetalSmelter,B586&amp;C586)=0,LEN(C586)&gt;0),TRUE,FALSE)</formula>
    </cfRule>
  </conditionalFormatting>
  <conditionalFormatting sqref="D586:D2504">
    <cfRule type="expression" dxfId="56" priority="33" stopIfTrue="1">
      <formula>IF(AND(LEN($C586)&gt;0,($C586&lt;&gt;"Smelter Not Listed")),1,0)</formula>
    </cfRule>
    <cfRule type="expression" dxfId="55" priority="58" stopIfTrue="1">
      <formula>IF(AND(D586="",$C586=$X$4),TRUE)</formula>
    </cfRule>
    <cfRule type="expression" dxfId="54" priority="59" stopIfTrue="1">
      <formula>IF(FIND("!",D586),TRUE)</formula>
    </cfRule>
  </conditionalFormatting>
  <conditionalFormatting sqref="G586:G2504">
    <cfRule type="expression" dxfId="53" priority="60" stopIfTrue="1">
      <formula>IF(FIND("Enter smelter details",G586),TRUE)</formula>
    </cfRule>
  </conditionalFormatting>
  <conditionalFormatting sqref="R586:R2505 E586:E2504">
    <cfRule type="expression" dxfId="52" priority="46" stopIfTrue="1">
      <formula>IF(AND(E586="",$C586=$X$4),TRUE)</formula>
    </cfRule>
    <cfRule type="expression" dxfId="51" priority="47" stopIfTrue="1">
      <formula>IF(FIND("!",E586),TRUE)</formula>
    </cfRule>
  </conditionalFormatting>
  <conditionalFormatting sqref="F586:F2504">
    <cfRule type="expression" dxfId="50" priority="37" stopIfTrue="1">
      <formula>IF(AND(LEN($A586)&gt;0,$A586&lt;&gt;$F586),TRUE,FALSE)</formula>
    </cfRule>
  </conditionalFormatting>
  <conditionalFormatting sqref="C586:C2504">
    <cfRule type="expression" dxfId="49" priority="36" stopIfTrue="1">
      <formula>IF(AND(B586&lt;&gt;"",C586=""),TRUE)</formula>
    </cfRule>
  </conditionalFormatting>
  <conditionalFormatting sqref="B21:B585 B5:B19">
    <cfRule type="expression" dxfId="48" priority="15" stopIfTrue="1">
      <formula>IF(B5="",TRUE)</formula>
    </cfRule>
    <cfRule type="expression" dxfId="47" priority="18" stopIfTrue="1">
      <formula>IF(AND(COUNTIF(MetalSmelter,B5&amp;C5)=0,LEN(C5)&gt;0),TRUE,FALSE)</formula>
    </cfRule>
  </conditionalFormatting>
  <conditionalFormatting sqref="D5:D19 D21:D585">
    <cfRule type="expression" dxfId="46" priority="12" stopIfTrue="1">
      <formula>IF(AND(LEN($C5)&gt;0,($C5&lt;&gt;"Smelter Not Listed")),1,0)</formula>
    </cfRule>
    <cfRule type="expression" dxfId="45" priority="19" stopIfTrue="1">
      <formula>IF(AND(D5="",$C5=$X$4),TRUE)</formula>
    </cfRule>
    <cfRule type="expression" dxfId="44" priority="20" stopIfTrue="1">
      <formula>IF(FIND("!",D5),TRUE)</formula>
    </cfRule>
  </conditionalFormatting>
  <conditionalFormatting sqref="G5:G19 G21:G585">
    <cfRule type="expression" dxfId="43" priority="21" stopIfTrue="1">
      <formula>IF(FIND("Enter smelter details",G5),TRUE)</formula>
    </cfRule>
  </conditionalFormatting>
  <conditionalFormatting sqref="R5:R585 E5:E19 E21:E585">
    <cfRule type="expression" dxfId="42" priority="16" stopIfTrue="1">
      <formula>IF(AND(E5="",$C5=$X$4),TRUE)</formula>
    </cfRule>
    <cfRule type="expression" dxfId="41" priority="17" stopIfTrue="1">
      <formula>IF(FIND("!",E5),TRUE)</formula>
    </cfRule>
  </conditionalFormatting>
  <conditionalFormatting sqref="F5:F19 F21:F585">
    <cfRule type="expression" dxfId="40" priority="14" stopIfTrue="1">
      <formula>IF(AND(LEN($A5)&gt;0,$A5&lt;&gt;$F5),TRUE,FALSE)</formula>
    </cfRule>
  </conditionalFormatting>
  <conditionalFormatting sqref="C21:C585 C5:C19">
    <cfRule type="expression" dxfId="39" priority="13" stopIfTrue="1">
      <formula>IF(AND(B5&lt;&gt;"",C5=""),TRUE)</formula>
    </cfRule>
  </conditionalFormatting>
  <conditionalFormatting sqref="B20">
    <cfRule type="expression" dxfId="38" priority="5" stopIfTrue="1">
      <formula>IF(B20="",TRUE)</formula>
    </cfRule>
    <cfRule type="expression" dxfId="37" priority="8" stopIfTrue="1">
      <formula>IF(AND(COUNTIF(MetalSmelter,B20&amp;C20)=0,LEN(C20)&gt;0),TRUE,FALSE)</formula>
    </cfRule>
  </conditionalFormatting>
  <conditionalFormatting sqref="D20">
    <cfRule type="expression" dxfId="36" priority="2" stopIfTrue="1">
      <formula>IF(AND(LEN($C20)&gt;0,($C20&lt;&gt;"Smelter Not Listed")),1,0)</formula>
    </cfRule>
    <cfRule type="expression" dxfId="35" priority="9" stopIfTrue="1">
      <formula>IF(AND(D20="",$C20=$X$4),TRUE)</formula>
    </cfRule>
    <cfRule type="expression" dxfId="34" priority="10" stopIfTrue="1">
      <formula>IF(FIND("!",D20),TRUE)</formula>
    </cfRule>
  </conditionalFormatting>
  <conditionalFormatting sqref="G20">
    <cfRule type="expression" dxfId="33" priority="11" stopIfTrue="1">
      <formula>IF(FIND("Enter smelter details",G20),TRUE)</formula>
    </cfRule>
  </conditionalFormatting>
  <conditionalFormatting sqref="E20">
    <cfRule type="expression" dxfId="32" priority="6" stopIfTrue="1">
      <formula>IF(AND(E20="",$C20=$X$4),TRUE)</formula>
    </cfRule>
    <cfRule type="expression" dxfId="31" priority="7" stopIfTrue="1">
      <formula>IF(FIND("!",E20),TRUE)</formula>
    </cfRule>
  </conditionalFormatting>
  <conditionalFormatting sqref="F20">
    <cfRule type="expression" dxfId="30" priority="4" stopIfTrue="1">
      <formula>IF(AND(LEN($A20)&gt;0,$A20&lt;&gt;$F20),TRUE,FALSE)</formula>
    </cfRule>
  </conditionalFormatting>
  <conditionalFormatting sqref="C20">
    <cfRule type="expression" dxfId="29" priority="3" stopIfTrue="1">
      <formula>IF(AND(B20&lt;&gt;"",C20=""),TRUE)</formula>
    </cfRule>
  </conditionalFormatting>
  <conditionalFormatting sqref="A27:A36">
    <cfRule type="expression" dxfId="28" priority="1" stopIfTrue="1">
      <formula>IF(AND(LEN($A27)&gt;0,$A27&lt;&gt;$F27),TRUE,FALSE)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4" activePane="bottomRight" state="frozen"/>
      <selection activeCell="A4" sqref="A4"/>
      <selection pane="topRight" activeCell="A4" sqref="A4"/>
      <selection pane="bottomLeft" activeCell="A4" sqref="A4"/>
      <selection pane="bottomRight" activeCell="B23" sqref="B23"/>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2" t="str">
        <f ca="1">OFFSET(L!$C$1,MATCH("Checker"&amp;ADDRESS(ROW(),COLUMN(),4),L!$A:$A,0)-1,SL,,)</f>
        <v>To ensure all required fields have been populated before submitting to your customers review form for any line items highlighted in red</v>
      </c>
      <c r="B1" s="452"/>
      <c r="C1" s="452"/>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Specialty Nameplate &amp; Manufacturing,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B. Product (or List of Products)</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Go to Product List tab to enter products this declaration applies to</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Tanya McClafferty</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tanya@specialtynp.com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833.565.3346</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Tanya McClafferty</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tanya@specialtynp.com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44500</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25"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1307</v>
      </c>
      <c r="F64" s="107">
        <f>IF(B5=Declaration!Q9,1,0)</f>
        <v>1</v>
      </c>
      <c r="G64" s="81">
        <f>IF('Product List'!B6="",1,0)</f>
        <v>0</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0</v>
      </c>
      <c r="G67" s="81">
        <f ca="1">IF(AND(COUNTIF(SmelterIdetifiedForMetal,"Gold")&gt;0,COUNTIF('Smelter List'!AB$5:AB$2504,"Gold?*")&gt;0),0,1)</f>
        <v>1</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List'!AB$5:AB$2504,"Tungsten?*")&gt;0),0,1)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C16" sqref="C1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4" t="str">
        <f ca="1">OFFSET(L!$C$1,MATCH("Product List"&amp;ADDRESS(ROW(),COLUMN(),4),L!$A:$A,0)-1,SL,,)</f>
        <v>Completion required only if reporting level "Product (or List of Products)" selected on the 'Declaration' worksheet.</v>
      </c>
      <c r="B1" s="455"/>
      <c r="C1" s="455"/>
      <c r="D1" s="455"/>
      <c r="E1" s="145"/>
    </row>
    <row r="2" spans="1:6">
      <c r="A2" s="29"/>
      <c r="B2" s="147"/>
      <c r="C2" s="147"/>
      <c r="D2"/>
      <c r="E2" s="30"/>
    </row>
    <row r="3" spans="1:6">
      <c r="A3" s="29"/>
      <c r="B3" s="147"/>
      <c r="C3" s="147"/>
      <c r="D3" s="147"/>
      <c r="E3" s="30"/>
    </row>
    <row r="4" spans="1:6" ht="15.95" customHeight="1">
      <c r="A4" s="29"/>
      <c r="B4" s="453" t="s">
        <v>898</v>
      </c>
      <c r="C4" s="453"/>
      <c r="D4" s="453"/>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t="s">
        <v>15610</v>
      </c>
      <c r="C6" s="111"/>
      <c r="D6" s="111" t="s">
        <v>15624</v>
      </c>
      <c r="E6" s="32"/>
      <c r="F6"/>
    </row>
    <row r="7" spans="1:6" s="33" customFormat="1" ht="15.75">
      <c r="A7" s="158"/>
      <c r="B7" s="148" t="s">
        <v>15611</v>
      </c>
      <c r="C7" s="111"/>
      <c r="D7" s="111" t="s">
        <v>15624</v>
      </c>
      <c r="E7" s="32"/>
      <c r="F7"/>
    </row>
    <row r="8" spans="1:6" s="33" customFormat="1" ht="15.75">
      <c r="A8" s="158"/>
      <c r="B8" s="148" t="s">
        <v>15612</v>
      </c>
      <c r="C8" s="111"/>
      <c r="D8" s="111" t="s">
        <v>15624</v>
      </c>
      <c r="E8" s="32"/>
      <c r="F8"/>
    </row>
    <row r="9" spans="1:6" s="33" customFormat="1" ht="15.75">
      <c r="A9" s="158"/>
      <c r="B9" s="148" t="s">
        <v>15613</v>
      </c>
      <c r="C9" s="111"/>
      <c r="D9" s="111" t="s">
        <v>15624</v>
      </c>
      <c r="E9" s="32"/>
      <c r="F9"/>
    </row>
    <row r="10" spans="1:6" s="33" customFormat="1" ht="15.75">
      <c r="A10" s="158"/>
      <c r="B10" s="148" t="s">
        <v>15614</v>
      </c>
      <c r="C10" s="111"/>
      <c r="D10" s="111" t="s">
        <v>15624</v>
      </c>
      <c r="E10" s="32"/>
      <c r="F10"/>
    </row>
    <row r="11" spans="1:6" s="33" customFormat="1" ht="15.75">
      <c r="A11" s="158"/>
      <c r="B11" s="148"/>
      <c r="C11" s="111"/>
      <c r="D11" s="111"/>
      <c r="E11" s="32"/>
      <c r="F11"/>
    </row>
    <row r="12" spans="1:6" s="33" customFormat="1" ht="15.75">
      <c r="A12" s="158"/>
      <c r="B12" s="148" t="s">
        <v>15626</v>
      </c>
      <c r="C12" s="111"/>
      <c r="D12" s="355" t="s">
        <v>15624</v>
      </c>
      <c r="E12" s="32"/>
      <c r="F12"/>
    </row>
    <row r="13" spans="1:6" s="33" customFormat="1" ht="15.75">
      <c r="A13" s="158"/>
      <c r="B13" s="148" t="s">
        <v>15627</v>
      </c>
      <c r="C13" s="111"/>
      <c r="D13" s="355" t="s">
        <v>15624</v>
      </c>
      <c r="E13" s="32"/>
      <c r="F13"/>
    </row>
    <row r="14" spans="1:6" s="33" customFormat="1" ht="15.75">
      <c r="A14" s="158"/>
      <c r="B14" s="148" t="s">
        <v>15628</v>
      </c>
      <c r="C14" s="111"/>
      <c r="D14" s="355" t="s">
        <v>15624</v>
      </c>
      <c r="E14" s="32"/>
      <c r="F14"/>
    </row>
    <row r="15" spans="1:6" s="33" customFormat="1" ht="15.75">
      <c r="A15" s="158"/>
      <c r="B15" s="148" t="s">
        <v>15629</v>
      </c>
      <c r="C15" s="111"/>
      <c r="D15" s="355" t="s">
        <v>15624</v>
      </c>
      <c r="E15" s="32"/>
      <c r="F15"/>
    </row>
    <row r="16" spans="1:6" s="33" customFormat="1" ht="15.75">
      <c r="A16" s="158"/>
      <c r="B16" s="148"/>
      <c r="C16" s="111"/>
      <c r="D16" s="111"/>
      <c r="E16" s="32"/>
      <c r="F16"/>
    </row>
    <row r="17" spans="1:6" s="33" customFormat="1" ht="15.75">
      <c r="A17" s="158"/>
      <c r="B17" s="354" t="s">
        <v>15615</v>
      </c>
      <c r="C17" s="355"/>
      <c r="D17" s="355" t="s">
        <v>15625</v>
      </c>
      <c r="E17" s="32"/>
      <c r="F17"/>
    </row>
    <row r="18" spans="1:6" s="33" customFormat="1" ht="15.75">
      <c r="A18" s="158"/>
      <c r="B18" s="354" t="s">
        <v>15616</v>
      </c>
      <c r="C18" s="355"/>
      <c r="D18" s="355" t="s">
        <v>15625</v>
      </c>
      <c r="E18" s="32"/>
      <c r="F18"/>
    </row>
    <row r="19" spans="1:6" s="33" customFormat="1" ht="15.75">
      <c r="A19" s="158"/>
      <c r="B19" s="354" t="s">
        <v>15617</v>
      </c>
      <c r="C19" s="355"/>
      <c r="D19" s="355" t="s">
        <v>15625</v>
      </c>
      <c r="E19" s="32"/>
      <c r="F19"/>
    </row>
    <row r="20" spans="1:6" s="33" customFormat="1" ht="15.75">
      <c r="A20" s="158"/>
      <c r="B20" s="354" t="s">
        <v>15618</v>
      </c>
      <c r="C20" s="355"/>
      <c r="D20" s="355" t="s">
        <v>15625</v>
      </c>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6" t="str">
        <f ca="1">OFFSET(L!$C$1,MATCH("General"&amp;"Cpy",L!$A:$A,0)-1,SL,,)</f>
        <v>© 2021 Responsible Minerals Initiative. All rights reserved.</v>
      </c>
      <c r="C1001" s="456"/>
      <c r="D1001" s="456"/>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4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950000000000003"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466B7DD5039874CA2DBA99A84733B33" ma:contentTypeVersion="10" ma:contentTypeDescription="Create a new document." ma:contentTypeScope="" ma:versionID="ac3533635e15943595e22a7ac1ad906f">
  <xsd:schema xmlns:xsd="http://www.w3.org/2001/XMLSchema" xmlns:xs="http://www.w3.org/2001/XMLSchema" xmlns:p="http://schemas.microsoft.com/office/2006/metadata/properties" xmlns:ns2="20436641-b54b-4f4f-8073-e28ee314ea1d" targetNamespace="http://schemas.microsoft.com/office/2006/metadata/properties" ma:root="true" ma:fieldsID="ff2a1d643e78cef92ddb5c62181e4a7f" ns2:_="">
    <xsd:import namespace="20436641-b54b-4f4f-8073-e28ee314ea1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436641-b54b-4f4f-8073-e28ee314ea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B93ECFD-6621-4244-9435-CBEF1043AF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436641-b54b-4f4f-8073-e28ee314ea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infopath/2007/PartnerControls"/>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20436641-b54b-4f4f-8073-e28ee314ea1d"/>
    <ds:schemaRef ds:uri="http://www.w3.org/XML/1998/namespace"/>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Tanya McClafferty</cp:lastModifiedBy>
  <cp:lastPrinted>2015-04-21T20:47:43Z</cp:lastPrinted>
  <dcterms:created xsi:type="dcterms:W3CDTF">2010-06-21T21:00:23Z</dcterms:created>
  <dcterms:modified xsi:type="dcterms:W3CDTF">2021-11-16T22:19:27Z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0x0101008466B7DD5039874CA2DBA99A84733B33</vt:lpwstr>
  </property>
  <property fmtid="{D5CDD505-2E9C-101B-9397-08002B2CF9AE}" pid="4" name="Order">
    <vt:r8>100</vt:r8>
  </property>
</Properties>
</file>