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elweissmf-my.sharepoint.com/personal/niranjan_avasthi_edelweissmf_com1/Documents/Desktop/Niranjan/Financial Planning/"/>
    </mc:Choice>
  </mc:AlternateContent>
  <xr:revisionPtr revIDLastSave="0" documentId="8_{F37606ED-FF0D-4D10-80AF-05D4BEC8D62A}" xr6:coauthVersionLast="47" xr6:coauthVersionMax="47" xr10:uidLastSave="{00000000-0000-0000-0000-000000000000}"/>
  <bookViews>
    <workbookView xWindow="-108" yWindow="-108" windowWidth="18648" windowHeight="11784" xr2:uid="{65784F06-E9DD-4E47-9790-A4AF6C248ADB}"/>
  </bookViews>
  <sheets>
    <sheet name="Retirement" sheetId="1" r:id="rId1"/>
  </sheets>
  <externalReferences>
    <externalReference r:id="rId2"/>
  </externalReferences>
  <definedNames>
    <definedName name="age">Retirement!$B$3</definedName>
    <definedName name="corptax">Retirement!$J$15</definedName>
    <definedName name="eryear1">Retirement!$H$9</definedName>
    <definedName name="eryear2">Retirement!$H$10</definedName>
    <definedName name="incpr">Retirement!$J$9</definedName>
    <definedName name="incpr1">Retirement!$J$10</definedName>
    <definedName name="inf">Retirement!$B$10</definedName>
    <definedName name="k">Retirement!$E$15</definedName>
    <definedName name="passiver">Retirement!$E$9</definedName>
    <definedName name="passiver1">Retirement!$E$10</definedName>
    <definedName name="preinf">Retirement!$B$9</definedName>
    <definedName name="retroi">Retirement!$B$11</definedName>
    <definedName name="rety">Retirement!$B$4</definedName>
    <definedName name="wy">Retirement!$E$14</definedName>
    <definedName name="y">Retirement!$B$2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I8" i="1"/>
  <c r="I4" i="1"/>
  <c r="Y2" i="1"/>
  <c r="B2" i="1"/>
  <c r="T16" i="1" s="1"/>
  <c r="E14" i="1" l="1"/>
  <c r="Y1" i="1"/>
  <c r="Y3" i="1" s="1"/>
  <c r="H9" i="1"/>
  <c r="H10" i="1"/>
  <c r="T13" i="1" s="1"/>
  <c r="E16" i="1" l="1"/>
  <c r="J14" i="1"/>
  <c r="E15" i="1"/>
  <c r="W10" i="1"/>
  <c r="T10" i="1"/>
  <c r="W2" i="1"/>
  <c r="T2" i="1"/>
  <c r="W8" i="1"/>
  <c r="S8" i="1"/>
  <c r="W7" i="1"/>
  <c r="W11" i="1"/>
  <c r="J15" i="1" l="1"/>
  <c r="G15" i="1"/>
  <c r="T3" i="1"/>
  <c r="T4" i="1" s="1"/>
  <c r="U4" i="1" s="1"/>
  <c r="L16" i="1" l="1"/>
  <c r="J16" i="1"/>
  <c r="L15" i="1"/>
  <c r="J17" i="1"/>
</calcChain>
</file>

<file path=xl/sharedStrings.xml><?xml version="1.0" encoding="utf-8"?>
<sst xmlns="http://schemas.openxmlformats.org/spreadsheetml/2006/main" count="46" uniqueCount="41">
  <si>
    <t>effective inflation calculation</t>
  </si>
  <si>
    <t>Current post-tax Monthly Salary *</t>
  </si>
  <si>
    <t xml:space="preserve">Annual increase of monthly salary </t>
  </si>
  <si>
    <t>income</t>
  </si>
  <si>
    <t>Exclude tax and misc. deductions but include EPF contribution</t>
  </si>
  <si>
    <t>expense</t>
  </si>
  <si>
    <t>Other sources of income like rent, business</t>
  </si>
  <si>
    <t>Start year</t>
  </si>
  <si>
    <t>End Year</t>
  </si>
  <si>
    <t>Life expectancy *</t>
  </si>
  <si>
    <t>1st source of income before retirement (current value)</t>
  </si>
  <si>
    <t>annual increase</t>
  </si>
  <si>
    <t>2nd source of income before retirement (current value)</t>
  </si>
  <si>
    <t>Current monthly expenses</t>
  </si>
  <si>
    <t>Other Annual expenses</t>
  </si>
  <si>
    <t>Other sources of income like rent, business, govt pension etc.</t>
  </si>
  <si>
    <t>Expected inflation upto retirement</t>
  </si>
  <si>
    <t>1st sources of income after retirement (current value)</t>
  </si>
  <si>
    <t>Expected inflation after retirement</t>
  </si>
  <si>
    <t>2nd source of income after retirement (current value)</t>
  </si>
  <si>
    <t>Anticipated post-retirement rate of interest (post-tax)</t>
  </si>
  <si>
    <t>Net rate of interest (pre-retirement)  (post-tax)#</t>
  </si>
  <si>
    <t>enter current as start year if loan is ongoing</t>
  </si>
  <si>
    <t>Amount invested so far (end of current year)</t>
  </si>
  <si>
    <t>rate of interest for this amount (post-tax)</t>
  </si>
  <si>
    <t>No of years you expect to work</t>
  </si>
  <si>
    <t>Post-tax monthly pension in 1st year of retirement</t>
  </si>
  <si>
    <t xml:space="preserve">Annual increase in monthly investment </t>
  </si>
  <si>
    <t>Estimated years in retirement</t>
  </si>
  <si>
    <t xml:space="preserve">When you retire amt invested so far will grow to </t>
  </si>
  <si>
    <t>Initial monthly investment required =</t>
  </si>
  <si>
    <t xml:space="preserve">Current expenses per month (annual/12)  </t>
  </si>
  <si>
    <t>Excess amount available for other needs</t>
  </si>
  <si>
    <t>Retirement Calculator</t>
  </si>
  <si>
    <t>Home loan EMI amount</t>
  </si>
  <si>
    <t>Edit only orange cells</t>
  </si>
  <si>
    <t>Current year</t>
  </si>
  <si>
    <t>Current Age</t>
  </si>
  <si>
    <t>Retirement Year</t>
  </si>
  <si>
    <t>*  Go for max possible years</t>
  </si>
  <si>
    <t>From Public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</si>
</sst>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6"/>
      <color theme="0"/>
      <name val="ADLaM Display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1" fontId="2" fillId="0" borderId="0" xfId="0" applyNumberFormat="1" applyFont="1"/>
    <xf numFmtId="9" fontId="2" fillId="0" borderId="0" xfId="0" applyNumberFormat="1" applyFont="1"/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165" fontId="2" fillId="2" borderId="2" xfId="1" applyNumberFormat="1" applyFont="1" applyFill="1" applyBorder="1"/>
    <xf numFmtId="165" fontId="2" fillId="0" borderId="0" xfId="1" applyNumberFormat="1" applyFont="1" applyFill="1" applyBorder="1"/>
    <xf numFmtId="165" fontId="2" fillId="2" borderId="0" xfId="1" applyNumberFormat="1" applyFont="1" applyFill="1" applyBorder="1"/>
    <xf numFmtId="10" fontId="2" fillId="2" borderId="0" xfId="0" applyNumberFormat="1" applyFont="1" applyFill="1"/>
    <xf numFmtId="0" fontId="4" fillId="0" borderId="1" xfId="0" applyFont="1" applyBorder="1"/>
    <xf numFmtId="0" fontId="4" fillId="2" borderId="1" xfId="0" applyFont="1" applyFill="1" applyBorder="1"/>
    <xf numFmtId="10" fontId="2" fillId="2" borderId="2" xfId="2" applyNumberFormat="1" applyFont="1" applyFill="1" applyBorder="1"/>
    <xf numFmtId="10" fontId="2" fillId="0" borderId="0" xfId="2" applyNumberFormat="1" applyFont="1" applyFill="1" applyBorder="1"/>
    <xf numFmtId="10" fontId="2" fillId="2" borderId="0" xfId="2" applyNumberFormat="1" applyFont="1" applyFill="1" applyBorder="1"/>
    <xf numFmtId="1" fontId="2" fillId="2" borderId="0" xfId="0" applyNumberFormat="1" applyFont="1" applyFill="1"/>
    <xf numFmtId="10" fontId="2" fillId="2" borderId="1" xfId="2" applyNumberFormat="1" applyFont="1" applyFill="1" applyBorder="1"/>
    <xf numFmtId="1" fontId="5" fillId="2" borderId="1" xfId="0" applyNumberFormat="1" applyFont="1" applyFill="1" applyBorder="1"/>
    <xf numFmtId="1" fontId="3" fillId="2" borderId="1" xfId="1" applyNumberFormat="1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4" fillId="2" borderId="3" xfId="0" applyFont="1" applyFill="1" applyBorder="1"/>
    <xf numFmtId="0" fontId="4" fillId="2" borderId="6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left"/>
    </xf>
    <xf numFmtId="0" fontId="2" fillId="2" borderId="8" xfId="0" applyFont="1" applyFill="1" applyBorder="1"/>
    <xf numFmtId="1" fontId="3" fillId="2" borderId="0" xfId="0" applyNumberFormat="1" applyFont="1" applyFill="1" applyAlignment="1">
      <alignment horizontal="left"/>
    </xf>
    <xf numFmtId="0" fontId="4" fillId="0" borderId="0" xfId="0" applyFont="1"/>
    <xf numFmtId="1" fontId="3" fillId="4" borderId="1" xfId="0" applyNumberFormat="1" applyFont="1" applyFill="1" applyBorder="1" applyAlignment="1" applyProtection="1">
      <alignment horizontal="left"/>
      <protection locked="0"/>
    </xf>
    <xf numFmtId="1" fontId="5" fillId="4" borderId="1" xfId="0" applyNumberFormat="1" applyFont="1" applyFill="1" applyBorder="1" applyAlignment="1" applyProtection="1">
      <alignment horizontal="left"/>
      <protection locked="0"/>
    </xf>
    <xf numFmtId="10" fontId="3" fillId="4" borderId="1" xfId="0" applyNumberFormat="1" applyFont="1" applyFill="1" applyBorder="1" applyAlignment="1" applyProtection="1">
      <alignment horizontal="left"/>
      <protection locked="0"/>
    </xf>
    <xf numFmtId="10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 applyProtection="1">
      <alignment horizontal="left"/>
      <protection locked="0"/>
    </xf>
    <xf numFmtId="3" fontId="3" fillId="4" borderId="1" xfId="0" applyNumberFormat="1" applyFont="1" applyFill="1" applyBorder="1" applyProtection="1">
      <protection locked="0"/>
    </xf>
    <xf numFmtId="1" fontId="3" fillId="4" borderId="1" xfId="1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Protection="1">
      <protection locked="0"/>
    </xf>
    <xf numFmtId="9" fontId="3" fillId="4" borderId="1" xfId="0" applyNumberFormat="1" applyFont="1" applyFill="1" applyBorder="1" applyProtection="1">
      <protection locked="0"/>
    </xf>
    <xf numFmtId="0" fontId="3" fillId="0" borderId="2" xfId="0" applyFont="1" applyBorder="1"/>
    <xf numFmtId="0" fontId="4" fillId="2" borderId="7" xfId="0" applyFont="1" applyFill="1" applyBorder="1"/>
    <xf numFmtId="1" fontId="3" fillId="5" borderId="2" xfId="0" applyNumberFormat="1" applyFont="1" applyFill="1" applyBorder="1"/>
    <xf numFmtId="0" fontId="3" fillId="5" borderId="2" xfId="0" applyFont="1" applyFill="1" applyBorder="1"/>
    <xf numFmtId="165" fontId="2" fillId="5" borderId="1" xfId="1" applyNumberFormat="1" applyFont="1" applyFill="1" applyBorder="1" applyAlignment="1">
      <alignment horizontal="left"/>
    </xf>
    <xf numFmtId="165" fontId="2" fillId="5" borderId="1" xfId="1" applyNumberFormat="1" applyFont="1" applyFill="1" applyBorder="1" applyAlignment="1"/>
    <xf numFmtId="0" fontId="3" fillId="5" borderId="1" xfId="0" applyFont="1" applyFill="1" applyBorder="1"/>
    <xf numFmtId="0" fontId="2" fillId="5" borderId="1" xfId="0" applyFont="1" applyFill="1" applyBorder="1"/>
    <xf numFmtId="166" fontId="3" fillId="5" borderId="1" xfId="0" quotePrefix="1" applyNumberFormat="1" applyFont="1" applyFill="1" applyBorder="1"/>
    <xf numFmtId="165" fontId="2" fillId="5" borderId="1" xfId="0" applyNumberFormat="1" applyFont="1" applyFill="1" applyBorder="1"/>
    <xf numFmtId="1" fontId="3" fillId="5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/>
    </xf>
    <xf numFmtId="0" fontId="6" fillId="3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lweissmf-my.sharepoint.com/personal/niranjan_avasthi_edelweissmf_com1/Documents/Desktop/Niranjan/Financial%20Planning/Integrated-Financial-planner-Jan-2016.xlsm" TargetMode="External"/><Relationship Id="rId1" Type="http://schemas.openxmlformats.org/officeDocument/2006/relationships/externalLinkPath" Target="Integrated-Financial-planner-Jan-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 first"/>
      <sheetName val="Life Insurance Calculator"/>
      <sheetName val="Retirement"/>
      <sheetName val="Financial Goals (recurring)"/>
      <sheetName val="Financial Goals (non-recurring)"/>
      <sheetName val="Report"/>
      <sheetName val="Analysis-1"/>
      <sheetName val="Analysis-2"/>
      <sheetName val="Cash flow summary"/>
      <sheetName val="Detailed Cash Flow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Y1">
            <v>1386105.4700205547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EC62-4DFE-4F90-9913-80E518A760CE}">
  <dimension ref="A1:BF44"/>
  <sheetViews>
    <sheetView tabSelected="1" zoomScale="90" zoomScaleNormal="90" workbookViewId="0">
      <selection activeCell="J17" sqref="J17"/>
    </sheetView>
  </sheetViews>
  <sheetFormatPr defaultColWidth="8.6640625" defaultRowHeight="13.8" x14ac:dyDescent="0.3"/>
  <cols>
    <col min="1" max="1" width="42.33203125" style="4" customWidth="1"/>
    <col min="2" max="2" width="13.33203125" style="4" customWidth="1"/>
    <col min="3" max="3" width="1.33203125" style="4" customWidth="1"/>
    <col min="4" max="4" width="48.6640625" style="1" customWidth="1"/>
    <col min="5" max="5" width="11.44140625" style="1" customWidth="1"/>
    <col min="6" max="6" width="1.44140625" style="4" customWidth="1"/>
    <col min="7" max="7" width="10.6640625" style="1" customWidth="1"/>
    <col min="8" max="8" width="10.33203125" style="1" customWidth="1"/>
    <col min="9" max="9" width="26.33203125" style="1" customWidth="1"/>
    <col min="10" max="10" width="12.44140625" style="1" bestFit="1" customWidth="1"/>
    <col min="11" max="11" width="1.33203125" style="4" customWidth="1"/>
    <col min="12" max="12" width="38.88671875" style="4" bestFit="1" customWidth="1"/>
    <col min="13" max="13" width="12" style="4" bestFit="1" customWidth="1"/>
    <col min="14" max="18" width="8.6640625" style="4"/>
    <col min="19" max="19" width="9.33203125" style="4" hidden="1" customWidth="1"/>
    <col min="20" max="20" width="11.33203125" style="4" hidden="1" customWidth="1"/>
    <col min="21" max="22" width="8.6640625" style="4" hidden="1" customWidth="1"/>
    <col min="23" max="23" width="16.6640625" style="4" hidden="1" customWidth="1"/>
    <col min="24" max="25" width="8.6640625" style="4" hidden="1" customWidth="1"/>
    <col min="26" max="56" width="8.6640625" style="4"/>
    <col min="57" max="58" width="0" style="4" hidden="1" customWidth="1"/>
    <col min="59" max="16384" width="8.6640625" style="4"/>
  </cols>
  <sheetData>
    <row r="1" spans="1:58" ht="22.2" x14ac:dyDescent="0.4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1"/>
      <c r="M1" s="1"/>
      <c r="N1" s="1"/>
      <c r="O1" s="1"/>
      <c r="P1" s="1"/>
      <c r="Q1" s="1"/>
      <c r="R1" s="1"/>
      <c r="S1" s="2" t="s">
        <v>0</v>
      </c>
      <c r="T1" s="2"/>
      <c r="U1" s="3"/>
      <c r="Y1" s="5">
        <f ca="1">B5-age+y</f>
        <v>2076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BE1" s="6">
        <v>0</v>
      </c>
      <c r="BF1" s="1">
        <v>0</v>
      </c>
    </row>
    <row r="2" spans="1:58" x14ac:dyDescent="0.3">
      <c r="A2" s="7" t="s">
        <v>36</v>
      </c>
      <c r="B2" s="8">
        <f ca="1">YEAR(TODAY())</f>
        <v>2026</v>
      </c>
      <c r="D2" s="9" t="s">
        <v>1</v>
      </c>
      <c r="E2" s="41">
        <v>200000</v>
      </c>
      <c r="G2" s="58" t="s">
        <v>2</v>
      </c>
      <c r="H2" s="58"/>
      <c r="I2" s="58"/>
      <c r="J2" s="44">
        <v>0.1</v>
      </c>
      <c r="L2" s="1"/>
      <c r="M2" s="1"/>
      <c r="N2" s="1"/>
      <c r="O2" s="1"/>
      <c r="P2" s="1"/>
      <c r="Q2" s="1"/>
      <c r="R2" s="1"/>
      <c r="S2" s="10" t="s">
        <v>3</v>
      </c>
      <c r="T2" s="11">
        <f ca="1">(IF(eryear1=B5-age+y,passiver,0))*(1+IF(eryear1=B5-age+y,incpr,0))^(B5-age)+(IF(eryear2=B5-age+y,passiver1,0))*(1+IF(eryear2=B5-age+y,incpr1,0))^(B5-age)</f>
        <v>0</v>
      </c>
      <c r="U2" s="12"/>
      <c r="V2" s="13"/>
      <c r="W2" s="13">
        <f ca="1">IF(eryear1=B5-age+y,passiver,IF(eryear2=B5-age+y,passiver1,0))*(1+IF(eryear1=B5-age+y,incpr,IF(eryear2=B5-age+y,incpr1,0)))^(rety-y)</f>
        <v>0</v>
      </c>
      <c r="X2" s="13"/>
      <c r="Y2" s="13">
        <f>rety</f>
        <v>2046</v>
      </c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3"/>
      <c r="AM2" s="13"/>
      <c r="AN2" s="13"/>
      <c r="AO2" s="13"/>
      <c r="AP2" s="13"/>
      <c r="AQ2" s="13"/>
      <c r="AR2" s="13"/>
      <c r="AS2" s="13"/>
      <c r="BE2" s="15">
        <v>0.10299999999999999</v>
      </c>
      <c r="BF2" s="1">
        <v>1</v>
      </c>
    </row>
    <row r="3" spans="1:58" x14ac:dyDescent="0.3">
      <c r="A3" s="9" t="s">
        <v>37</v>
      </c>
      <c r="B3" s="36">
        <v>40</v>
      </c>
      <c r="D3" s="59" t="s">
        <v>4</v>
      </c>
      <c r="E3" s="59"/>
      <c r="L3" s="1"/>
      <c r="M3" s="1"/>
      <c r="N3" s="1"/>
      <c r="O3" s="1"/>
      <c r="P3" s="1"/>
      <c r="Q3" s="1"/>
      <c r="R3" s="1"/>
      <c r="S3" s="10" t="s">
        <v>5</v>
      </c>
      <c r="T3" s="11">
        <f>'[1]Detailed Cash Flow Chart'!AY1</f>
        <v>1386105.4700205547</v>
      </c>
      <c r="U3" s="12"/>
      <c r="V3" s="13"/>
      <c r="W3" s="13"/>
      <c r="X3" s="13"/>
      <c r="Y3" s="13">
        <f ca="1">Y1-Y2</f>
        <v>30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3"/>
      <c r="AM3" s="13"/>
      <c r="AN3" s="13"/>
      <c r="AO3" s="13"/>
      <c r="AP3" s="13"/>
      <c r="AQ3" s="13"/>
      <c r="AR3" s="13"/>
      <c r="AS3" s="13"/>
      <c r="BE3" s="15">
        <v>0.20599999999999999</v>
      </c>
      <c r="BF3" s="1"/>
    </row>
    <row r="4" spans="1:58" x14ac:dyDescent="0.3">
      <c r="A4" s="9" t="s">
        <v>38</v>
      </c>
      <c r="B4" s="36">
        <v>2046</v>
      </c>
      <c r="D4" s="16" t="s">
        <v>6</v>
      </c>
      <c r="E4" s="16"/>
      <c r="G4" s="17" t="s">
        <v>7</v>
      </c>
      <c r="H4" s="17" t="s">
        <v>8</v>
      </c>
      <c r="I4" s="56" t="str">
        <f>CONCATENATE("Ensure end dates are on or before ",rety)</f>
        <v>Ensure end dates are on or before 2046</v>
      </c>
      <c r="J4" s="56"/>
      <c r="L4" s="1"/>
      <c r="M4" s="1"/>
      <c r="N4" s="1"/>
      <c r="O4" s="1"/>
      <c r="P4" s="1"/>
      <c r="Q4" s="1"/>
      <c r="R4" s="1"/>
      <c r="S4" s="10"/>
      <c r="T4" s="11">
        <f ca="1">IF(T2&gt;T3,0,T3-T2)</f>
        <v>1386105.4700205547</v>
      </c>
      <c r="U4" s="12">
        <f ca="1">T4/(1+inf)^Y3</f>
        <v>104472.34406874447</v>
      </c>
      <c r="V4" s="13"/>
      <c r="W4" s="13"/>
      <c r="X4" s="13"/>
      <c r="Y4" s="1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3"/>
      <c r="AM4" s="13"/>
      <c r="AN4" s="13"/>
      <c r="AO4" s="13"/>
      <c r="AP4" s="13"/>
      <c r="AQ4" s="13"/>
      <c r="AR4" s="13"/>
      <c r="AS4" s="13"/>
      <c r="BE4" s="15">
        <v>0.309</v>
      </c>
      <c r="BF4" s="1"/>
    </row>
    <row r="5" spans="1:58" x14ac:dyDescent="0.3">
      <c r="A5" s="7" t="s">
        <v>9</v>
      </c>
      <c r="B5" s="36">
        <v>90</v>
      </c>
      <c r="D5" s="3" t="s">
        <v>10</v>
      </c>
      <c r="E5" s="41">
        <v>0</v>
      </c>
      <c r="G5" s="42">
        <v>2013</v>
      </c>
      <c r="H5" s="42">
        <v>2020</v>
      </c>
      <c r="I5" s="45" t="s">
        <v>11</v>
      </c>
      <c r="J5" s="44">
        <v>0.12</v>
      </c>
      <c r="L5" s="1"/>
      <c r="M5" s="1"/>
      <c r="N5" s="1"/>
      <c r="O5" s="1"/>
      <c r="P5" s="1"/>
      <c r="Q5" s="1"/>
      <c r="R5" s="1"/>
      <c r="S5" s="10"/>
      <c r="U5" s="18"/>
      <c r="V5" s="19"/>
      <c r="W5" s="19"/>
      <c r="X5" s="19"/>
      <c r="Y5" s="19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19"/>
      <c r="AM5" s="19"/>
      <c r="AN5" s="19"/>
      <c r="AO5" s="19"/>
      <c r="AP5" s="19"/>
      <c r="AQ5" s="19"/>
      <c r="AR5" s="19"/>
      <c r="AS5" s="19"/>
    </row>
    <row r="6" spans="1:58" x14ac:dyDescent="0.3">
      <c r="A6" s="58" t="s">
        <v>39</v>
      </c>
      <c r="B6" s="58"/>
      <c r="D6" s="3" t="s">
        <v>12</v>
      </c>
      <c r="E6" s="41">
        <v>0</v>
      </c>
      <c r="G6" s="42">
        <v>2013</v>
      </c>
      <c r="H6" s="42">
        <v>2020</v>
      </c>
      <c r="I6" s="45" t="s">
        <v>11</v>
      </c>
      <c r="J6" s="44">
        <v>0.05</v>
      </c>
      <c r="L6" s="1"/>
      <c r="M6" s="21"/>
      <c r="N6" s="1"/>
      <c r="O6" s="1"/>
      <c r="P6" s="1"/>
      <c r="Q6" s="1"/>
      <c r="R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58" x14ac:dyDescent="0.3">
      <c r="A7" s="7" t="s">
        <v>13</v>
      </c>
      <c r="B7" s="36">
        <v>200000</v>
      </c>
      <c r="D7" s="4"/>
      <c r="L7" s="1"/>
      <c r="M7" s="1"/>
      <c r="N7" s="1"/>
      <c r="O7" s="1"/>
      <c r="P7" s="1"/>
      <c r="Q7" s="1"/>
      <c r="R7" s="1"/>
      <c r="U7" s="22"/>
      <c r="V7" s="1"/>
      <c r="W7" s="21">
        <f ca="1">eryear1-B5-age+y</f>
        <v>3972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58" x14ac:dyDescent="0.3">
      <c r="A8" s="23" t="s">
        <v>14</v>
      </c>
      <c r="B8" s="37">
        <v>0</v>
      </c>
      <c r="D8" s="16" t="s">
        <v>15</v>
      </c>
      <c r="E8" s="16"/>
      <c r="G8" s="17" t="s">
        <v>7</v>
      </c>
      <c r="H8" s="17" t="s">
        <v>8</v>
      </c>
      <c r="I8" s="60" t="str">
        <f>CONCATENATE("Ensure start dates are after ",rety)</f>
        <v>Ensure start dates are after 2046</v>
      </c>
      <c r="J8" s="61"/>
      <c r="L8" s="1"/>
      <c r="M8" s="1"/>
      <c r="N8" s="1"/>
      <c r="O8" s="1"/>
      <c r="P8" s="1"/>
      <c r="Q8" s="1"/>
      <c r="R8" s="1"/>
      <c r="S8" s="4">
        <f ca="1">IF(eryear1=B5-age+y,passiver,IF(eryear2=B5-age+y,passiver1,0))</f>
        <v>0</v>
      </c>
      <c r="V8" s="1"/>
      <c r="W8" s="21">
        <f ca="1">eryear1-B5-age+y</f>
        <v>3972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58" x14ac:dyDescent="0.3">
      <c r="A9" s="7" t="s">
        <v>16</v>
      </c>
      <c r="B9" s="38">
        <v>0.09</v>
      </c>
      <c r="D9" s="3" t="s">
        <v>17</v>
      </c>
      <c r="E9" s="41">
        <v>0</v>
      </c>
      <c r="G9" s="42">
        <v>2021</v>
      </c>
      <c r="H9" s="24">
        <f ca="1">B5-age+y</f>
        <v>2076</v>
      </c>
      <c r="I9" s="3" t="s">
        <v>11</v>
      </c>
      <c r="J9" s="44">
        <v>0</v>
      </c>
      <c r="L9" s="1"/>
      <c r="M9" s="1"/>
      <c r="N9" s="1"/>
      <c r="O9" s="1"/>
      <c r="P9" s="1"/>
      <c r="Q9" s="1"/>
      <c r="R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58" x14ac:dyDescent="0.3">
      <c r="A10" s="7" t="s">
        <v>18</v>
      </c>
      <c r="B10" s="38">
        <v>0.09</v>
      </c>
      <c r="D10" s="2" t="s">
        <v>19</v>
      </c>
      <c r="E10" s="41">
        <v>0</v>
      </c>
      <c r="G10" s="42">
        <v>2021</v>
      </c>
      <c r="H10" s="24">
        <f ca="1">B5-age+y</f>
        <v>2076</v>
      </c>
      <c r="I10" s="2" t="s">
        <v>11</v>
      </c>
      <c r="J10" s="44">
        <v>0</v>
      </c>
      <c r="L10" s="25"/>
      <c r="M10" s="1"/>
      <c r="N10" s="1"/>
      <c r="O10" s="1"/>
      <c r="P10" s="1"/>
      <c r="Q10" s="1"/>
      <c r="R10" s="1"/>
      <c r="T10" s="4">
        <f ca="1">IF(eryear1=B5-age+y,incpr,0)+IF(eryear2=B5-age+y,incpr1,0)</f>
        <v>0</v>
      </c>
      <c r="V10" s="1"/>
      <c r="W10" s="21">
        <f ca="1">(IF(eryear1=B5-age+y,passiver,0))</f>
        <v>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58" x14ac:dyDescent="0.3">
      <c r="A11" s="9" t="s">
        <v>20</v>
      </c>
      <c r="B11" s="39">
        <v>0.12</v>
      </c>
      <c r="H11" s="26"/>
      <c r="I11" s="26"/>
      <c r="J11" s="27"/>
      <c r="L11" s="1"/>
      <c r="M11" s="1"/>
      <c r="N11" s="1"/>
      <c r="O11" s="1"/>
      <c r="P11" s="1"/>
      <c r="Q11" s="1"/>
      <c r="R11" s="1"/>
      <c r="T11" s="5"/>
      <c r="V11" s="1"/>
      <c r="W11" s="21">
        <f ca="1">(1+IF(eryear1=B5-age+y,incpr,0))^(B5-age)</f>
        <v>1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58" x14ac:dyDescent="0.3">
      <c r="A12" s="9" t="s">
        <v>21</v>
      </c>
      <c r="B12" s="39">
        <v>0.12</v>
      </c>
      <c r="D12" s="28" t="s">
        <v>34</v>
      </c>
      <c r="E12" s="41">
        <v>0</v>
      </c>
      <c r="G12" s="43">
        <v>2013</v>
      </c>
      <c r="H12" s="43">
        <v>2030</v>
      </c>
      <c r="I12" s="29" t="s">
        <v>22</v>
      </c>
      <c r="J12" s="30"/>
      <c r="L12" s="1"/>
      <c r="M12" s="1"/>
      <c r="N12" s="1"/>
      <c r="O12" s="1"/>
      <c r="P12" s="1"/>
      <c r="Q12" s="1"/>
      <c r="R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58" x14ac:dyDescent="0.3">
      <c r="A13" s="9" t="s">
        <v>23</v>
      </c>
      <c r="B13" s="40">
        <v>0</v>
      </c>
      <c r="D13" s="31"/>
      <c r="E13" s="31"/>
      <c r="G13" s="31"/>
      <c r="H13" s="31"/>
      <c r="I13" s="31"/>
      <c r="J13" s="31"/>
      <c r="L13" s="1"/>
      <c r="M13" s="1"/>
      <c r="N13" s="1"/>
      <c r="O13" s="1"/>
      <c r="P13" s="1"/>
      <c r="Q13" s="1"/>
      <c r="R13" s="1"/>
      <c r="T13" s="4">
        <f ca="1">IF(eryear2=B5-age+y,passiver1,0)</f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58" x14ac:dyDescent="0.3">
      <c r="A14" s="9" t="s">
        <v>24</v>
      </c>
      <c r="B14" s="39">
        <v>0</v>
      </c>
      <c r="D14" s="47" t="s">
        <v>25</v>
      </c>
      <c r="E14" s="55">
        <f ca="1">B4-B2</f>
        <v>20</v>
      </c>
      <c r="G14" s="51" t="s">
        <v>26</v>
      </c>
      <c r="H14" s="52"/>
      <c r="I14" s="52"/>
      <c r="J14" s="50">
        <f ca="1">E17*(1+B9)^E14</f>
        <v>1120882.1535556596</v>
      </c>
      <c r="L14" s="1"/>
      <c r="M14" s="1"/>
      <c r="N14" s="1"/>
      <c r="O14" s="1"/>
      <c r="P14" s="1"/>
      <c r="Q14" s="1"/>
      <c r="R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58" x14ac:dyDescent="0.3">
      <c r="A15" s="32" t="s">
        <v>27</v>
      </c>
      <c r="B15" s="38">
        <v>0.05</v>
      </c>
      <c r="D15" s="47" t="s">
        <v>28</v>
      </c>
      <c r="E15" s="55">
        <f ca="1">B5-age-wy</f>
        <v>30</v>
      </c>
      <c r="G15" s="51" t="str">
        <f ca="1">CONCATENATE("Corpus required for funding retirement for ",k," years")</f>
        <v>Corpus required for funding retirement for 30 years</v>
      </c>
      <c r="H15" s="52"/>
      <c r="I15" s="52"/>
      <c r="J15" s="50">
        <f ca="1">PV((1+B11)/(1+B10)-1,E15,-J14*12,,1)</f>
        <v>279776996.60182434</v>
      </c>
      <c r="L15" s="1" t="str">
        <f ca="1">IF(corptax=0,"congratulations! You do not need a pension since your income from other sources is enough to cover your expenses","")</f>
        <v/>
      </c>
      <c r="M15" s="1"/>
      <c r="N15" s="1"/>
      <c r="O15" s="1"/>
      <c r="P15" s="1"/>
      <c r="Q15" s="1"/>
      <c r="R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58" x14ac:dyDescent="0.3">
      <c r="A16" s="46" t="s">
        <v>35</v>
      </c>
      <c r="B16" s="33"/>
      <c r="D16" s="48" t="s">
        <v>29</v>
      </c>
      <c r="E16" s="49">
        <f ca="1">B13*(1+B14)^(wy)</f>
        <v>0</v>
      </c>
      <c r="G16" s="53" t="s">
        <v>30</v>
      </c>
      <c r="H16" s="52"/>
      <c r="I16" s="52"/>
      <c r="J16" s="50">
        <f ca="1">IF(IF(B15=B12,(J15-E16)/(12*wy*(1+B12)^wy),(J15-E16)*(B12-B15)/(12*(1+B12)*((1+B12)^(wy)-(1+B15)^(wy))))&lt;0,"none",IF(B15=B12,(J15-E16)/(12*wy*(1+B12)^wy),(J15-E16)*(B12-B15)/(12*(1+B12)*((1+B12)^(wy)-(1+B15)^(wy)))))</f>
        <v>208375.92139335326</v>
      </c>
      <c r="L16" s="1" t="str">
        <f ca="1">IF(corptax=0,"please ignore the retirement coprus graph below. It is not relevant to you","")</f>
        <v/>
      </c>
      <c r="M16" s="1"/>
      <c r="N16" s="1"/>
      <c r="O16" s="1"/>
      <c r="P16" s="1"/>
      <c r="Q16" s="1"/>
      <c r="R16" s="1"/>
      <c r="T16" s="5">
        <f ca="1">B5-age+y</f>
        <v>2076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3">
      <c r="A17" s="62" t="s">
        <v>40</v>
      </c>
      <c r="B17" s="63"/>
      <c r="D17" s="48" t="s">
        <v>31</v>
      </c>
      <c r="E17" s="50">
        <f>(B7+(B8/12))</f>
        <v>200000</v>
      </c>
      <c r="G17" s="52" t="s">
        <v>32</v>
      </c>
      <c r="H17" s="52"/>
      <c r="I17" s="52"/>
      <c r="J17" s="54" t="str">
        <f ca="1">IF(E16-corptax&lt;0,"none",E16-corptax)</f>
        <v>none</v>
      </c>
      <c r="L17" s="1"/>
      <c r="M17" s="1"/>
      <c r="N17" s="1"/>
      <c r="O17" s="1"/>
      <c r="P17" s="1"/>
      <c r="Q17" s="1"/>
      <c r="R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3">
      <c r="A18" s="1"/>
      <c r="B18" s="34"/>
      <c r="L18" s="1"/>
      <c r="M18" s="1"/>
      <c r="N18" s="1"/>
      <c r="O18" s="1"/>
      <c r="P18" s="1"/>
      <c r="Q18" s="1"/>
      <c r="R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3">
      <c r="A19" s="1"/>
      <c r="B19" s="1"/>
      <c r="L19" s="1"/>
      <c r="M19" s="1"/>
      <c r="N19" s="1"/>
      <c r="O19" s="1"/>
      <c r="P19" s="1"/>
      <c r="Q19" s="1"/>
      <c r="R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">
      <c r="A20" s="1"/>
      <c r="B20" s="1"/>
      <c r="L20" s="1"/>
      <c r="M20" s="1"/>
      <c r="N20" s="1"/>
      <c r="O20" s="1"/>
      <c r="P20" s="1"/>
      <c r="Q20" s="1"/>
      <c r="R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 s="1"/>
      <c r="B21" s="1"/>
      <c r="L21" s="1"/>
      <c r="M21" s="1"/>
      <c r="N21" s="1"/>
      <c r="O21" s="1"/>
      <c r="P21" s="1"/>
      <c r="Q21" s="1"/>
      <c r="R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 s="1"/>
      <c r="B22" s="1"/>
      <c r="L22" s="1"/>
      <c r="M22" s="1"/>
      <c r="N22" s="1"/>
      <c r="O22" s="1"/>
      <c r="P22" s="1"/>
      <c r="Q22" s="1"/>
      <c r="R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3">
      <c r="A23" s="1"/>
      <c r="B23" s="1"/>
      <c r="L23" s="1"/>
      <c r="M23" s="1"/>
      <c r="N23" s="1"/>
      <c r="O23" s="1"/>
      <c r="P23" s="1"/>
      <c r="Q23" s="1"/>
      <c r="R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3">
      <c r="A24" s="1"/>
      <c r="B24" s="1"/>
      <c r="L24" s="1"/>
      <c r="M24" s="1"/>
      <c r="N24" s="1"/>
      <c r="O24" s="1"/>
      <c r="P24" s="1"/>
      <c r="Q24" s="1"/>
      <c r="R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3">
      <c r="A25" s="1"/>
      <c r="B25" s="1"/>
      <c r="L25" s="1"/>
      <c r="M25" s="1"/>
      <c r="N25" s="1"/>
      <c r="O25" s="1"/>
      <c r="P25" s="1"/>
      <c r="Q25" s="1"/>
      <c r="R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L26" s="1"/>
      <c r="M26" s="1"/>
      <c r="N26" s="1"/>
      <c r="O26" s="1"/>
      <c r="P26" s="1"/>
      <c r="Q26" s="1"/>
      <c r="R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L27" s="1"/>
      <c r="M27" s="1"/>
      <c r="N27" s="1"/>
      <c r="O27" s="1"/>
      <c r="P27" s="1"/>
      <c r="Q27" s="1"/>
      <c r="R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L28" s="1"/>
      <c r="M28" s="1"/>
      <c r="N28" s="1"/>
      <c r="O28" s="1"/>
      <c r="P28" s="1"/>
      <c r="Q28" s="1"/>
      <c r="R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L29" s="1"/>
      <c r="M29" s="1"/>
      <c r="N29" s="1"/>
      <c r="O29" s="1"/>
      <c r="P29" s="1"/>
      <c r="Q29" s="1"/>
      <c r="R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3">
      <c r="L30" s="1"/>
      <c r="M30" s="1"/>
      <c r="N30" s="1"/>
      <c r="O30" s="1"/>
      <c r="P30" s="1"/>
      <c r="Q30" s="1"/>
      <c r="R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3">
      <c r="L31" s="1"/>
      <c r="M31" s="1"/>
      <c r="N31" s="1"/>
      <c r="O31" s="1"/>
      <c r="P31" s="1"/>
      <c r="Q31" s="1"/>
      <c r="R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3">
      <c r="L32" s="1"/>
      <c r="M32" s="1"/>
      <c r="N32" s="1"/>
      <c r="O32" s="1"/>
      <c r="P32" s="1"/>
      <c r="Q32" s="1"/>
      <c r="R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2:37" x14ac:dyDescent="0.3">
      <c r="L33" s="1"/>
      <c r="M33" s="1"/>
      <c r="N33" s="1"/>
      <c r="O33" s="1"/>
      <c r="P33" s="1"/>
      <c r="Q33" s="1"/>
      <c r="R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2:37" x14ac:dyDescent="0.3">
      <c r="L34" s="1"/>
      <c r="M34" s="1"/>
      <c r="N34" s="1"/>
      <c r="O34" s="1"/>
      <c r="P34" s="1"/>
      <c r="Q34" s="1"/>
      <c r="R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2:37" x14ac:dyDescent="0.3">
      <c r="L35" s="1"/>
      <c r="M35" s="1"/>
      <c r="N35" s="1"/>
      <c r="O35" s="1"/>
      <c r="P35" s="1"/>
      <c r="Q35" s="1"/>
      <c r="R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2:37" x14ac:dyDescent="0.3">
      <c r="L36" s="1"/>
      <c r="M36" s="1"/>
      <c r="N36" s="1"/>
      <c r="O36" s="1"/>
      <c r="P36" s="1"/>
      <c r="Q36" s="1"/>
      <c r="R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2:37" x14ac:dyDescent="0.3">
      <c r="L37" s="1"/>
      <c r="M37" s="1"/>
      <c r="N37" s="1"/>
      <c r="O37" s="1"/>
      <c r="P37" s="1"/>
      <c r="Q37" s="1"/>
      <c r="R37" s="1"/>
      <c r="T37" s="35"/>
      <c r="U37" s="35"/>
      <c r="V37" s="1"/>
      <c r="W37" s="1"/>
      <c r="X37" s="1"/>
      <c r="Y37" s="1"/>
      <c r="Z37" s="1"/>
      <c r="AA37" s="1"/>
    </row>
    <row r="38" spans="12:37" x14ac:dyDescent="0.3">
      <c r="L38" s="1"/>
      <c r="M38" s="1"/>
      <c r="N38" s="1"/>
      <c r="O38" s="1"/>
      <c r="P38" s="1"/>
      <c r="Q38" s="1"/>
      <c r="R38" s="1"/>
      <c r="V38" s="1"/>
      <c r="W38" s="1"/>
      <c r="X38" s="1"/>
      <c r="Y38" s="1"/>
      <c r="Z38" s="1"/>
      <c r="AA38" s="1"/>
    </row>
    <row r="39" spans="12:37" x14ac:dyDescent="0.3">
      <c r="L39" s="1"/>
      <c r="M39" s="1"/>
      <c r="N39" s="1"/>
      <c r="O39" s="1"/>
      <c r="P39" s="1"/>
      <c r="Q39" s="1"/>
      <c r="R39" s="1"/>
    </row>
    <row r="40" spans="12:37" x14ac:dyDescent="0.3">
      <c r="L40" s="1"/>
      <c r="M40" s="1"/>
      <c r="N40" s="1"/>
      <c r="O40" s="1"/>
      <c r="P40" s="1"/>
      <c r="Q40" s="1"/>
      <c r="R40" s="1"/>
    </row>
    <row r="41" spans="12:37" x14ac:dyDescent="0.3">
      <c r="L41" s="1"/>
      <c r="M41" s="1"/>
      <c r="N41" s="1"/>
      <c r="O41" s="1"/>
      <c r="P41" s="1"/>
      <c r="Q41" s="1"/>
      <c r="R41" s="1"/>
    </row>
    <row r="42" spans="12:37" x14ac:dyDescent="0.3">
      <c r="L42" s="1"/>
      <c r="M42" s="1"/>
      <c r="N42" s="1"/>
      <c r="O42" s="1"/>
      <c r="P42" s="1"/>
      <c r="Q42" s="1"/>
      <c r="R42" s="1"/>
    </row>
    <row r="43" spans="12:37" x14ac:dyDescent="0.3">
      <c r="L43" s="1"/>
      <c r="M43" s="1"/>
      <c r="N43" s="1"/>
      <c r="O43" s="1"/>
      <c r="P43" s="1"/>
      <c r="Q43" s="1"/>
      <c r="R43" s="1"/>
    </row>
    <row r="44" spans="12:37" x14ac:dyDescent="0.3">
      <c r="L44" s="1"/>
      <c r="M44" s="1"/>
      <c r="N44" s="1"/>
      <c r="O44" s="1"/>
      <c r="P44" s="1"/>
      <c r="Q44" s="1"/>
      <c r="R44" s="1"/>
    </row>
  </sheetData>
  <mergeCells count="6">
    <mergeCell ref="A17:B17"/>
    <mergeCell ref="A1:K1"/>
    <mergeCell ref="G2:I2"/>
    <mergeCell ref="D3:E3"/>
    <mergeCell ref="A6:B6"/>
    <mergeCell ref="I8:J8"/>
  </mergeCells>
  <conditionalFormatting sqref="G16">
    <cfRule type="expression" dxfId="0" priority="1" stopIfTrue="1">
      <formula>$BX$33="Yes"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e7b159-da8a-4f43-b4ed-ba6115f6e9fb}" enabled="1" method="Standard" siteId="{76fd78b2-83b7-4fc7-b5ba-5f59f5beb8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Retirement</vt:lpstr>
      <vt:lpstr>age</vt:lpstr>
      <vt:lpstr>corptax</vt:lpstr>
      <vt:lpstr>eryear1</vt:lpstr>
      <vt:lpstr>eryear2</vt:lpstr>
      <vt:lpstr>incpr</vt:lpstr>
      <vt:lpstr>incpr1</vt:lpstr>
      <vt:lpstr>inf</vt:lpstr>
      <vt:lpstr>k</vt:lpstr>
      <vt:lpstr>passiver</vt:lpstr>
      <vt:lpstr>passiver1</vt:lpstr>
      <vt:lpstr>preinf</vt:lpstr>
      <vt:lpstr>retroi</vt:lpstr>
      <vt:lpstr>rety</vt:lpstr>
      <vt:lpstr>wy</vt:lpstr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Niranjan Avasthi - AMC</dc:creator>
  <cp:lastModifiedBy>Niranjan Avasthi - AMC</cp:lastModifiedBy>
  <dcterms:created xsi:type="dcterms:W3CDTF">2025-07-01T11:00:25Z</dcterms:created>
  <dcterms:modified xsi:type="dcterms:W3CDTF">2026-05-01T05:40:22Z</dcterms:modified>
</cp:coreProperties>
</file>