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056ca64ab54b4987/Desktop/Finesse/Sample/Final/"/>
    </mc:Choice>
  </mc:AlternateContent>
  <xr:revisionPtr revIDLastSave="3" documentId="8_{7D1DA581-BF10-4B12-B108-DB48C3998306}" xr6:coauthVersionLast="47" xr6:coauthVersionMax="47" xr10:uidLastSave="{9579F75B-C878-4481-BDCD-F9EB6C6CE229}"/>
  <bookViews>
    <workbookView xWindow="-108" yWindow="-108" windowWidth="23256" windowHeight="12456" xr2:uid="{00000000-000D-0000-FFFF-FFFF00000000}"/>
  </bookViews>
  <sheets>
    <sheet name="Snapshot" sheetId="2" r:id="rId1"/>
    <sheet name="VISA Model" sheetId="1" r:id="rId2"/>
    <sheet name="Valuation" sheetId="6" r:id="rId3"/>
    <sheet name="Consolidated" sheetId="3" r:id="rId4"/>
    <sheet name="Vs S&amp;P" sheetId="4" r:id="rId5"/>
    <sheet name="Visa Historical PE" sheetId="7" r:id="rId6"/>
    <sheet name="charts" sheetId="5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  <c r="F60" i="6"/>
  <c r="K52" i="6"/>
  <c r="K53" i="6"/>
  <c r="E101" i="1"/>
  <c r="G98" i="1"/>
  <c r="F98" i="1"/>
  <c r="E98" i="1"/>
  <c r="F101" i="1"/>
  <c r="F97" i="1"/>
  <c r="G97" i="1"/>
  <c r="E97" i="1"/>
  <c r="E129" i="1"/>
  <c r="D131" i="1"/>
  <c r="D129" i="1"/>
  <c r="C130" i="1"/>
  <c r="C131" i="1"/>
  <c r="D132" i="1"/>
  <c r="C132" i="1"/>
  <c r="C129" i="1"/>
  <c r="B130" i="1"/>
  <c r="B131" i="1"/>
  <c r="B187" i="1"/>
  <c r="C187" i="1"/>
  <c r="D187" i="1"/>
  <c r="N122" i="1"/>
  <c r="M122" i="1"/>
  <c r="L122" i="1"/>
  <c r="K122" i="1"/>
  <c r="J122" i="1"/>
  <c r="I122" i="1"/>
  <c r="C90" i="6"/>
  <c r="C86" i="6"/>
  <c r="C28" i="6"/>
  <c r="L4" i="6"/>
  <c r="D122" i="1"/>
  <c r="C122" i="1"/>
  <c r="B122" i="1"/>
  <c r="L8" i="6"/>
  <c r="C24" i="6"/>
  <c r="F8" i="6"/>
  <c r="G8" i="6"/>
  <c r="H8" i="6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5" i="4"/>
  <c r="I76" i="4"/>
  <c r="I77" i="4"/>
  <c r="I78" i="4"/>
  <c r="I79" i="4"/>
  <c r="I80" i="4"/>
  <c r="I81" i="4"/>
  <c r="I82" i="4"/>
  <c r="I83" i="4"/>
  <c r="I84" i="4"/>
  <c r="I85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63" i="4"/>
  <c r="I164" i="4"/>
  <c r="I165" i="4"/>
  <c r="I166" i="4"/>
  <c r="I167" i="4"/>
  <c r="I168" i="4"/>
  <c r="I169" i="4"/>
  <c r="I170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" i="4"/>
  <c r="C84" i="6"/>
  <c r="C83" i="6"/>
  <c r="A67" i="1"/>
  <c r="A68" i="1"/>
  <c r="A65" i="1"/>
  <c r="A66" i="1"/>
  <c r="A63" i="1"/>
  <c r="A64" i="1"/>
  <c r="A62" i="1"/>
  <c r="A113" i="1"/>
  <c r="N185" i="1"/>
  <c r="M185" i="1"/>
  <c r="K185" i="1"/>
  <c r="J185" i="1"/>
  <c r="I185" i="1"/>
  <c r="N184" i="1"/>
  <c r="M184" i="1"/>
  <c r="K184" i="1"/>
  <c r="J184" i="1"/>
  <c r="I184" i="1"/>
  <c r="N183" i="1"/>
  <c r="M183" i="1"/>
  <c r="K183" i="1"/>
  <c r="J183" i="1"/>
  <c r="I183" i="1"/>
  <c r="B183" i="1"/>
  <c r="C183" i="1"/>
  <c r="D183" i="1"/>
  <c r="N121" i="1"/>
  <c r="M121" i="1"/>
  <c r="K121" i="1"/>
  <c r="J121" i="1"/>
  <c r="I121" i="1"/>
  <c r="B26" i="1"/>
  <c r="B13" i="1"/>
  <c r="C17" i="3"/>
  <c r="C7" i="3"/>
  <c r="C56" i="1"/>
  <c r="D56" i="1"/>
  <c r="B54" i="1"/>
  <c r="D53" i="1"/>
  <c r="E53" i="1"/>
  <c r="C53" i="1"/>
  <c r="P6" i="1"/>
  <c r="P48" i="1"/>
  <c r="P46" i="1"/>
  <c r="P45" i="1"/>
  <c r="P44" i="1"/>
  <c r="P43" i="1"/>
  <c r="P29" i="1"/>
  <c r="P25" i="1"/>
  <c r="P23" i="1"/>
  <c r="P22" i="1"/>
  <c r="P5" i="1"/>
  <c r="P7" i="1"/>
  <c r="P8" i="1"/>
  <c r="P9" i="1"/>
  <c r="P10" i="1"/>
  <c r="P11" i="1"/>
  <c r="P12" i="1"/>
  <c r="P14" i="1"/>
  <c r="P16" i="1"/>
  <c r="P18" i="1"/>
  <c r="P20" i="1"/>
  <c r="P3" i="1"/>
  <c r="P162" i="1"/>
  <c r="P161" i="1"/>
  <c r="P180" i="1"/>
  <c r="P179" i="1"/>
  <c r="P178" i="1"/>
  <c r="P175" i="1"/>
  <c r="P174" i="1"/>
  <c r="P170" i="1"/>
  <c r="P169" i="1"/>
  <c r="P168" i="1"/>
  <c r="P167" i="1"/>
  <c r="P166" i="1"/>
  <c r="P165" i="1"/>
  <c r="P160" i="1"/>
  <c r="P159" i="1"/>
  <c r="P158" i="1"/>
  <c r="P157" i="1"/>
  <c r="P156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38" i="1"/>
  <c r="D191" i="1"/>
  <c r="C191" i="1"/>
  <c r="B191" i="1"/>
  <c r="J191" i="1"/>
  <c r="K191" i="1"/>
  <c r="L191" i="1"/>
  <c r="M191" i="1"/>
  <c r="N191" i="1"/>
  <c r="I191" i="1"/>
  <c r="I154" i="1"/>
  <c r="M177" i="1"/>
  <c r="I177" i="1"/>
  <c r="N172" i="1"/>
  <c r="M172" i="1"/>
  <c r="L172" i="1"/>
  <c r="K172" i="1"/>
  <c r="J172" i="1"/>
  <c r="I172" i="1"/>
  <c r="N163" i="1"/>
  <c r="M163" i="1"/>
  <c r="K163" i="1"/>
  <c r="J163" i="1"/>
  <c r="I163" i="1"/>
  <c r="N154" i="1"/>
  <c r="M154" i="1"/>
  <c r="J154" i="1"/>
  <c r="N119" i="1"/>
  <c r="M119" i="1"/>
  <c r="K119" i="1"/>
  <c r="J119" i="1"/>
  <c r="I119" i="1"/>
  <c r="N118" i="1"/>
  <c r="M118" i="1"/>
  <c r="K118" i="1"/>
  <c r="J118" i="1"/>
  <c r="I118" i="1"/>
  <c r="N117" i="1"/>
  <c r="M117" i="1"/>
  <c r="K117" i="1"/>
  <c r="J117" i="1"/>
  <c r="I117" i="1"/>
  <c r="N116" i="1"/>
  <c r="M116" i="1"/>
  <c r="K116" i="1"/>
  <c r="J116" i="1"/>
  <c r="I116" i="1"/>
  <c r="N125" i="1"/>
  <c r="M125" i="1"/>
  <c r="K125" i="1"/>
  <c r="J125" i="1"/>
  <c r="I125" i="1"/>
  <c r="N124" i="1"/>
  <c r="M124" i="1"/>
  <c r="K124" i="1"/>
  <c r="J124" i="1"/>
  <c r="I124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73" i="1"/>
  <c r="I47" i="1"/>
  <c r="J47" i="1"/>
  <c r="K47" i="1"/>
  <c r="L47" i="1"/>
  <c r="I27" i="1"/>
  <c r="J27" i="1"/>
  <c r="K27" i="1"/>
  <c r="L27" i="1"/>
  <c r="M27" i="1"/>
  <c r="N27" i="1"/>
  <c r="I30" i="1"/>
  <c r="J30" i="1"/>
  <c r="K30" i="1"/>
  <c r="L30" i="1"/>
  <c r="M30" i="1"/>
  <c r="N30" i="1"/>
  <c r="G2" i="7"/>
  <c r="C2" i="7"/>
  <c r="N26" i="1"/>
  <c r="M26" i="1"/>
  <c r="L26" i="1"/>
  <c r="K26" i="1"/>
  <c r="J26" i="1"/>
  <c r="N24" i="1"/>
  <c r="M24" i="1"/>
  <c r="L24" i="1"/>
  <c r="K24" i="1"/>
  <c r="J24" i="1"/>
  <c r="I24" i="1"/>
  <c r="N19" i="1"/>
  <c r="M19" i="1"/>
  <c r="K19" i="1"/>
  <c r="J19" i="1"/>
  <c r="I19" i="1"/>
  <c r="N17" i="1"/>
  <c r="M17" i="1"/>
  <c r="K17" i="1"/>
  <c r="J17" i="1"/>
  <c r="I17" i="1"/>
  <c r="N15" i="1"/>
  <c r="M15" i="1"/>
  <c r="L15" i="1"/>
  <c r="K15" i="1"/>
  <c r="J15" i="1"/>
  <c r="I15" i="1"/>
  <c r="N13" i="1"/>
  <c r="M13" i="1"/>
  <c r="L13" i="1"/>
  <c r="K13" i="1"/>
  <c r="J13" i="1"/>
  <c r="N4" i="1"/>
  <c r="M4" i="1"/>
  <c r="L4" i="1"/>
  <c r="K4" i="1"/>
  <c r="J4" i="1"/>
  <c r="K54" i="6"/>
  <c r="J54" i="6"/>
  <c r="J53" i="6"/>
  <c r="L53" i="6"/>
  <c r="L54" i="6"/>
  <c r="J52" i="6"/>
  <c r="I52" i="6"/>
  <c r="I53" i="6"/>
  <c r="I54" i="6"/>
  <c r="F52" i="6"/>
  <c r="F53" i="6"/>
  <c r="F54" i="6"/>
  <c r="C51" i="6"/>
  <c r="C45" i="6"/>
  <c r="E51" i="6"/>
  <c r="D51" i="6"/>
  <c r="C42" i="6"/>
  <c r="C39" i="6"/>
  <c r="C31" i="6"/>
  <c r="G1" i="6"/>
  <c r="C121" i="1"/>
  <c r="D121" i="1"/>
  <c r="B121" i="1"/>
  <c r="D12" i="6"/>
  <c r="E12" i="6"/>
  <c r="C12" i="6"/>
  <c r="D10" i="6"/>
  <c r="E10" i="6"/>
  <c r="C10" i="6"/>
  <c r="D7" i="6"/>
  <c r="E7" i="6"/>
  <c r="C7" i="6"/>
  <c r="D5" i="6"/>
  <c r="E5" i="6"/>
  <c r="C5" i="6"/>
  <c r="C4" i="6"/>
  <c r="D3" i="6"/>
  <c r="E3" i="6"/>
  <c r="C3" i="6"/>
  <c r="D96" i="5"/>
  <c r="E96" i="5"/>
  <c r="D97" i="5"/>
  <c r="E97" i="5"/>
  <c r="C97" i="5"/>
  <c r="C96" i="5"/>
  <c r="F194" i="1"/>
  <c r="G194" i="1"/>
  <c r="E194" i="1"/>
  <c r="D79" i="5"/>
  <c r="E79" i="5"/>
  <c r="C79" i="5"/>
  <c r="D62" i="5"/>
  <c r="E62" i="5"/>
  <c r="C62" i="5"/>
  <c r="D47" i="5"/>
  <c r="E47" i="5"/>
  <c r="D48" i="5"/>
  <c r="E48" i="5"/>
  <c r="D49" i="5"/>
  <c r="E49" i="5"/>
  <c r="D50" i="5"/>
  <c r="E50" i="5"/>
  <c r="C48" i="5"/>
  <c r="C49" i="5"/>
  <c r="C50" i="5"/>
  <c r="C47" i="5"/>
  <c r="C33" i="5"/>
  <c r="D32" i="5"/>
  <c r="E32" i="5"/>
  <c r="C32" i="5"/>
  <c r="C190" i="1"/>
  <c r="D190" i="1"/>
  <c r="B190" i="1"/>
  <c r="E75" i="1"/>
  <c r="E180" i="1"/>
  <c r="E176" i="1"/>
  <c r="E174" i="1"/>
  <c r="E169" i="1"/>
  <c r="E161" i="1"/>
  <c r="E162" i="1"/>
  <c r="E160" i="1"/>
  <c r="A112" i="1"/>
  <c r="E102" i="1"/>
  <c r="E96" i="1"/>
  <c r="C119" i="1"/>
  <c r="D119" i="1"/>
  <c r="B119" i="1"/>
  <c r="A119" i="1"/>
  <c r="E94" i="1"/>
  <c r="E87" i="1"/>
  <c r="E86" i="1"/>
  <c r="E85" i="1"/>
  <c r="E82" i="1"/>
  <c r="C125" i="1"/>
  <c r="D125" i="1"/>
  <c r="B125" i="1"/>
  <c r="C124" i="1"/>
  <c r="D124" i="1"/>
  <c r="B124" i="1"/>
  <c r="C116" i="1"/>
  <c r="D116" i="1"/>
  <c r="C117" i="1"/>
  <c r="D117" i="1"/>
  <c r="C118" i="1"/>
  <c r="D118" i="1"/>
  <c r="B118" i="1"/>
  <c r="B117" i="1"/>
  <c r="B116" i="1"/>
  <c r="A125" i="1"/>
  <c r="A124" i="1"/>
  <c r="A111" i="1"/>
  <c r="A118" i="1"/>
  <c r="A117" i="1"/>
  <c r="A116" i="1"/>
  <c r="A110" i="1"/>
  <c r="A109" i="1"/>
  <c r="A108" i="1"/>
  <c r="E46" i="1"/>
  <c r="E45" i="1"/>
  <c r="E44" i="1"/>
  <c r="E43" i="1"/>
  <c r="M47" i="1"/>
  <c r="N47" i="1"/>
  <c r="C47" i="1"/>
  <c r="D47" i="1"/>
  <c r="B47" i="1"/>
  <c r="H13" i="3"/>
  <c r="H11" i="3"/>
  <c r="D6" i="5"/>
  <c r="D41" i="3"/>
  <c r="E41" i="3"/>
  <c r="C41" i="3"/>
  <c r="E2" i="4"/>
  <c r="F2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E61" i="4"/>
  <c r="F61" i="4"/>
  <c r="E62" i="4"/>
  <c r="F62" i="4"/>
  <c r="E63" i="4"/>
  <c r="F63" i="4"/>
  <c r="E64" i="4"/>
  <c r="F64" i="4"/>
  <c r="E65" i="4"/>
  <c r="F65" i="4"/>
  <c r="E66" i="4"/>
  <c r="F66" i="4"/>
  <c r="E67" i="4"/>
  <c r="F67" i="4"/>
  <c r="E68" i="4"/>
  <c r="F68" i="4"/>
  <c r="E69" i="4"/>
  <c r="F69" i="4"/>
  <c r="E70" i="4"/>
  <c r="F70" i="4"/>
  <c r="E71" i="4"/>
  <c r="F71" i="4"/>
  <c r="E72" i="4"/>
  <c r="F72" i="4"/>
  <c r="E73" i="4"/>
  <c r="F73" i="4"/>
  <c r="E74" i="4"/>
  <c r="F74" i="4"/>
  <c r="E75" i="4"/>
  <c r="F75" i="4"/>
  <c r="E76" i="4"/>
  <c r="F76" i="4"/>
  <c r="E77" i="4"/>
  <c r="F77" i="4"/>
  <c r="E78" i="4"/>
  <c r="F78" i="4"/>
  <c r="E79" i="4"/>
  <c r="F79" i="4"/>
  <c r="E80" i="4"/>
  <c r="F80" i="4"/>
  <c r="E81" i="4"/>
  <c r="F81" i="4"/>
  <c r="E82" i="4"/>
  <c r="F82" i="4"/>
  <c r="E83" i="4"/>
  <c r="F83" i="4"/>
  <c r="E84" i="4"/>
  <c r="F84" i="4"/>
  <c r="E85" i="4"/>
  <c r="F85" i="4"/>
  <c r="E86" i="4"/>
  <c r="F86" i="4"/>
  <c r="E87" i="4"/>
  <c r="F87" i="4"/>
  <c r="E88" i="4"/>
  <c r="F88" i="4"/>
  <c r="E89" i="4"/>
  <c r="F89" i="4"/>
  <c r="E90" i="4"/>
  <c r="F90" i="4"/>
  <c r="E91" i="4"/>
  <c r="F91" i="4"/>
  <c r="E92" i="4"/>
  <c r="F92" i="4"/>
  <c r="E93" i="4"/>
  <c r="F93" i="4"/>
  <c r="E94" i="4"/>
  <c r="F94" i="4"/>
  <c r="E95" i="4"/>
  <c r="F95" i="4"/>
  <c r="E96" i="4"/>
  <c r="F96" i="4"/>
  <c r="E97" i="4"/>
  <c r="F97" i="4"/>
  <c r="E98" i="4"/>
  <c r="F98" i="4"/>
  <c r="E99" i="4"/>
  <c r="F99" i="4"/>
  <c r="E100" i="4"/>
  <c r="F100" i="4"/>
  <c r="E101" i="4"/>
  <c r="F101" i="4"/>
  <c r="E102" i="4"/>
  <c r="F102" i="4"/>
  <c r="E103" i="4"/>
  <c r="F103" i="4"/>
  <c r="E104" i="4"/>
  <c r="F104" i="4"/>
  <c r="E105" i="4"/>
  <c r="F105" i="4"/>
  <c r="E106" i="4"/>
  <c r="F106" i="4"/>
  <c r="E107" i="4"/>
  <c r="F107" i="4"/>
  <c r="E108" i="4"/>
  <c r="F108" i="4"/>
  <c r="E109" i="4"/>
  <c r="F109" i="4"/>
  <c r="E110" i="4"/>
  <c r="F110" i="4"/>
  <c r="E111" i="4"/>
  <c r="F111" i="4"/>
  <c r="E112" i="4"/>
  <c r="F112" i="4"/>
  <c r="E113" i="4"/>
  <c r="F113" i="4"/>
  <c r="E114" i="4"/>
  <c r="F114" i="4"/>
  <c r="E115" i="4"/>
  <c r="F115" i="4"/>
  <c r="E116" i="4"/>
  <c r="F116" i="4"/>
  <c r="E117" i="4"/>
  <c r="F117" i="4"/>
  <c r="E118" i="4"/>
  <c r="F118" i="4"/>
  <c r="E119" i="4"/>
  <c r="F119" i="4"/>
  <c r="E120" i="4"/>
  <c r="F120" i="4"/>
  <c r="E121" i="4"/>
  <c r="F121" i="4"/>
  <c r="E122" i="4"/>
  <c r="F122" i="4"/>
  <c r="E123" i="4"/>
  <c r="F123" i="4"/>
  <c r="E124" i="4"/>
  <c r="F124" i="4"/>
  <c r="E125" i="4"/>
  <c r="F125" i="4"/>
  <c r="E126" i="4"/>
  <c r="F126" i="4"/>
  <c r="E127" i="4"/>
  <c r="F127" i="4"/>
  <c r="E128" i="4"/>
  <c r="F128" i="4"/>
  <c r="E129" i="4"/>
  <c r="F129" i="4"/>
  <c r="E130" i="4"/>
  <c r="F130" i="4"/>
  <c r="E131" i="4"/>
  <c r="F131" i="4"/>
  <c r="E132" i="4"/>
  <c r="F132" i="4"/>
  <c r="E133" i="4"/>
  <c r="F133" i="4"/>
  <c r="E134" i="4"/>
  <c r="F134" i="4"/>
  <c r="E135" i="4"/>
  <c r="F135" i="4"/>
  <c r="E136" i="4"/>
  <c r="F136" i="4"/>
  <c r="E137" i="4"/>
  <c r="F137" i="4"/>
  <c r="E138" i="4"/>
  <c r="F138" i="4"/>
  <c r="E139" i="4"/>
  <c r="F139" i="4"/>
  <c r="E140" i="4"/>
  <c r="F140" i="4"/>
  <c r="E141" i="4"/>
  <c r="F141" i="4"/>
  <c r="E142" i="4"/>
  <c r="F142" i="4"/>
  <c r="E143" i="4"/>
  <c r="F143" i="4"/>
  <c r="E144" i="4"/>
  <c r="F144" i="4"/>
  <c r="E145" i="4"/>
  <c r="F145" i="4"/>
  <c r="E146" i="4"/>
  <c r="F146" i="4"/>
  <c r="E147" i="4"/>
  <c r="F147" i="4"/>
  <c r="E148" i="4"/>
  <c r="F148" i="4"/>
  <c r="E149" i="4"/>
  <c r="F149" i="4"/>
  <c r="E150" i="4"/>
  <c r="F150" i="4"/>
  <c r="E151" i="4"/>
  <c r="F151" i="4"/>
  <c r="E152" i="4"/>
  <c r="F152" i="4"/>
  <c r="E153" i="4"/>
  <c r="F153" i="4"/>
  <c r="E154" i="4"/>
  <c r="F154" i="4"/>
  <c r="E155" i="4"/>
  <c r="F155" i="4"/>
  <c r="E156" i="4"/>
  <c r="F156" i="4"/>
  <c r="E157" i="4"/>
  <c r="F157" i="4"/>
  <c r="E158" i="4"/>
  <c r="F158" i="4"/>
  <c r="E159" i="4"/>
  <c r="F159" i="4"/>
  <c r="E160" i="4"/>
  <c r="F160" i="4"/>
  <c r="E161" i="4"/>
  <c r="F161" i="4"/>
  <c r="E162" i="4"/>
  <c r="F162" i="4"/>
  <c r="E163" i="4"/>
  <c r="F163" i="4"/>
  <c r="E164" i="4"/>
  <c r="F164" i="4"/>
  <c r="E165" i="4"/>
  <c r="F165" i="4"/>
  <c r="E166" i="4"/>
  <c r="F166" i="4"/>
  <c r="E167" i="4"/>
  <c r="F167" i="4"/>
  <c r="E168" i="4"/>
  <c r="F168" i="4"/>
  <c r="E169" i="4"/>
  <c r="F169" i="4"/>
  <c r="E170" i="4"/>
  <c r="F170" i="4"/>
  <c r="E171" i="4"/>
  <c r="F171" i="4"/>
  <c r="E172" i="4"/>
  <c r="F172" i="4"/>
  <c r="E173" i="4"/>
  <c r="F173" i="4"/>
  <c r="E174" i="4"/>
  <c r="F174" i="4"/>
  <c r="E175" i="4"/>
  <c r="F175" i="4"/>
  <c r="E176" i="4"/>
  <c r="F176" i="4"/>
  <c r="E177" i="4"/>
  <c r="F177" i="4"/>
  <c r="E178" i="4"/>
  <c r="F178" i="4"/>
  <c r="E179" i="4"/>
  <c r="F179" i="4"/>
  <c r="E180" i="4"/>
  <c r="F180" i="4"/>
  <c r="E181" i="4"/>
  <c r="F181" i="4"/>
  <c r="E182" i="4"/>
  <c r="F182" i="4"/>
  <c r="E183" i="4"/>
  <c r="F183" i="4"/>
  <c r="E184" i="4"/>
  <c r="F184" i="4"/>
  <c r="E185" i="4"/>
  <c r="F185" i="4"/>
  <c r="E186" i="4"/>
  <c r="F186" i="4"/>
  <c r="E187" i="4"/>
  <c r="F187" i="4"/>
  <c r="E188" i="4"/>
  <c r="F188" i="4"/>
  <c r="E189" i="4"/>
  <c r="F189" i="4"/>
  <c r="E190" i="4"/>
  <c r="F190" i="4"/>
  <c r="E191" i="4"/>
  <c r="F191" i="4"/>
  <c r="E192" i="4"/>
  <c r="F192" i="4"/>
  <c r="E193" i="4"/>
  <c r="F193" i="4"/>
  <c r="E194" i="4"/>
  <c r="F194" i="4"/>
  <c r="E195" i="4"/>
  <c r="F195" i="4"/>
  <c r="E196" i="4"/>
  <c r="F196" i="4"/>
  <c r="E197" i="4"/>
  <c r="F197" i="4"/>
  <c r="E198" i="4"/>
  <c r="F198" i="4"/>
  <c r="E199" i="4"/>
  <c r="F199" i="4"/>
  <c r="E200" i="4"/>
  <c r="F200" i="4"/>
  <c r="E201" i="4"/>
  <c r="F201" i="4"/>
  <c r="E202" i="4"/>
  <c r="F202" i="4"/>
  <c r="E203" i="4"/>
  <c r="F203" i="4"/>
  <c r="E204" i="4"/>
  <c r="F204" i="4"/>
  <c r="E205" i="4"/>
  <c r="F205" i="4"/>
  <c r="E206" i="4"/>
  <c r="F206" i="4"/>
  <c r="E207" i="4"/>
  <c r="F207" i="4"/>
  <c r="E208" i="4"/>
  <c r="F208" i="4"/>
  <c r="E209" i="4"/>
  <c r="F209" i="4"/>
  <c r="E210" i="4"/>
  <c r="F210" i="4"/>
  <c r="E211" i="4"/>
  <c r="F211" i="4"/>
  <c r="E212" i="4"/>
  <c r="F212" i="4"/>
  <c r="E213" i="4"/>
  <c r="F213" i="4"/>
  <c r="E214" i="4"/>
  <c r="F214" i="4"/>
  <c r="E215" i="4"/>
  <c r="F215" i="4"/>
  <c r="E216" i="4"/>
  <c r="F216" i="4"/>
  <c r="E217" i="4"/>
  <c r="F217" i="4"/>
  <c r="E218" i="4"/>
  <c r="F218" i="4"/>
  <c r="E219" i="4"/>
  <c r="F219" i="4"/>
  <c r="E220" i="4"/>
  <c r="F220" i="4"/>
  <c r="E221" i="4"/>
  <c r="F221" i="4"/>
  <c r="E222" i="4"/>
  <c r="F222" i="4"/>
  <c r="E223" i="4"/>
  <c r="F223" i="4"/>
  <c r="E224" i="4"/>
  <c r="F224" i="4"/>
  <c r="E225" i="4"/>
  <c r="F225" i="4"/>
  <c r="E226" i="4"/>
  <c r="F226" i="4"/>
  <c r="E227" i="4"/>
  <c r="F227" i="4"/>
  <c r="E228" i="4"/>
  <c r="F228" i="4"/>
  <c r="E229" i="4"/>
  <c r="F229" i="4"/>
  <c r="E230" i="4"/>
  <c r="F230" i="4"/>
  <c r="E231" i="4"/>
  <c r="F231" i="4"/>
  <c r="E232" i="4"/>
  <c r="F232" i="4"/>
  <c r="E233" i="4"/>
  <c r="F233" i="4"/>
  <c r="E234" i="4"/>
  <c r="F234" i="4"/>
  <c r="E235" i="4"/>
  <c r="F235" i="4"/>
  <c r="E236" i="4"/>
  <c r="F236" i="4"/>
  <c r="E237" i="4"/>
  <c r="F237" i="4"/>
  <c r="E238" i="4"/>
  <c r="F238" i="4"/>
  <c r="E239" i="4"/>
  <c r="F239" i="4"/>
  <c r="E240" i="4"/>
  <c r="F240" i="4"/>
  <c r="E241" i="4"/>
  <c r="F241" i="4"/>
  <c r="E242" i="4"/>
  <c r="F242" i="4"/>
  <c r="E243" i="4"/>
  <c r="F243" i="4"/>
  <c r="E244" i="4"/>
  <c r="F244" i="4"/>
  <c r="E245" i="4"/>
  <c r="F245" i="4"/>
  <c r="E246" i="4"/>
  <c r="F246" i="4"/>
  <c r="E247" i="4"/>
  <c r="F247" i="4"/>
  <c r="E248" i="4"/>
  <c r="F248" i="4"/>
  <c r="E249" i="4"/>
  <c r="F249" i="4"/>
  <c r="E250" i="4"/>
  <c r="F250" i="4"/>
  <c r="E251" i="4"/>
  <c r="F251" i="4"/>
  <c r="D24" i="3"/>
  <c r="E24" i="3"/>
  <c r="C24" i="3"/>
  <c r="D25" i="3"/>
  <c r="E25" i="3"/>
  <c r="C25" i="3"/>
  <c r="D23" i="3"/>
  <c r="E23" i="3"/>
  <c r="C23" i="3"/>
  <c r="D18" i="3"/>
  <c r="E18" i="3"/>
  <c r="D19" i="3"/>
  <c r="E19" i="3"/>
  <c r="C19" i="3"/>
  <c r="C18" i="3"/>
  <c r="C16" i="3"/>
  <c r="D16" i="3"/>
  <c r="E16" i="3"/>
  <c r="B17" i="3"/>
  <c r="B16" i="3"/>
  <c r="C14" i="3"/>
  <c r="D14" i="3"/>
  <c r="E14" i="3"/>
  <c r="E15" i="3" s="1"/>
  <c r="B14" i="3"/>
  <c r="F13" i="3"/>
  <c r="G13" i="3"/>
  <c r="C12" i="3"/>
  <c r="D12" i="3"/>
  <c r="E12" i="3"/>
  <c r="B12" i="3"/>
  <c r="B13" i="3"/>
  <c r="F11" i="3"/>
  <c r="G11" i="3"/>
  <c r="C10" i="3"/>
  <c r="D10" i="3"/>
  <c r="E10" i="3"/>
  <c r="B11" i="3"/>
  <c r="B10" i="3"/>
  <c r="C8" i="3"/>
  <c r="D8" i="3"/>
  <c r="E8" i="3"/>
  <c r="B9" i="3"/>
  <c r="B8" i="3"/>
  <c r="B7" i="3"/>
  <c r="C6" i="3"/>
  <c r="D6" i="3"/>
  <c r="E6" i="3"/>
  <c r="B6" i="3"/>
  <c r="E74" i="1"/>
  <c r="C24" i="1"/>
  <c r="D24" i="1"/>
  <c r="B24" i="1"/>
  <c r="C19" i="1"/>
  <c r="D19" i="1"/>
  <c r="B19" i="1"/>
  <c r="C17" i="1"/>
  <c r="D17" i="1"/>
  <c r="B17" i="1"/>
  <c r="D26" i="1"/>
  <c r="C26" i="1"/>
  <c r="E12" i="1"/>
  <c r="F12" i="1" s="1"/>
  <c r="D13" i="1"/>
  <c r="C13" i="1"/>
  <c r="C15" i="1"/>
  <c r="D15" i="1"/>
  <c r="B15" i="1"/>
  <c r="D4" i="1"/>
  <c r="C4" i="1"/>
  <c r="C89" i="6" l="1"/>
  <c r="C85" i="6"/>
  <c r="C26" i="6"/>
  <c r="C87" i="6" s="1"/>
  <c r="G101" i="1"/>
  <c r="G153" i="1"/>
  <c r="F153" i="1"/>
  <c r="E153" i="1"/>
  <c r="E166" i="1"/>
  <c r="E131" i="1" s="1"/>
  <c r="E132" i="1" s="1"/>
  <c r="D130" i="1"/>
  <c r="M187" i="1"/>
  <c r="M182" i="1" s="1"/>
  <c r="I187" i="1"/>
  <c r="I182" i="1" s="1"/>
  <c r="B182" i="1"/>
  <c r="C182" i="1"/>
  <c r="D182" i="1"/>
  <c r="C14" i="6"/>
  <c r="E47" i="1"/>
  <c r="D14" i="6"/>
  <c r="E14" i="6"/>
  <c r="D8" i="6"/>
  <c r="E8" i="6"/>
  <c r="C8" i="6"/>
  <c r="J67" i="1"/>
  <c r="D62" i="1"/>
  <c r="E62" i="1" s="1"/>
  <c r="D65" i="1"/>
  <c r="E65" i="1" s="1"/>
  <c r="C68" i="1"/>
  <c r="B67" i="1"/>
  <c r="F62" i="1"/>
  <c r="G62" i="1" s="1"/>
  <c r="E8" i="1"/>
  <c r="J62" i="1"/>
  <c r="K62" i="1"/>
  <c r="L62" i="1"/>
  <c r="M62" i="1"/>
  <c r="N62" i="1"/>
  <c r="J63" i="1"/>
  <c r="K63" i="1"/>
  <c r="L63" i="1"/>
  <c r="M63" i="1"/>
  <c r="N63" i="1"/>
  <c r="J64" i="1"/>
  <c r="K64" i="1"/>
  <c r="L64" i="1"/>
  <c r="M64" i="1"/>
  <c r="N64" i="1"/>
  <c r="J65" i="1"/>
  <c r="K65" i="1"/>
  <c r="L65" i="1"/>
  <c r="M65" i="1"/>
  <c r="N65" i="1"/>
  <c r="J66" i="1"/>
  <c r="K66" i="1"/>
  <c r="L66" i="1"/>
  <c r="M66" i="1"/>
  <c r="N66" i="1"/>
  <c r="K67" i="1"/>
  <c r="L67" i="1"/>
  <c r="M67" i="1"/>
  <c r="N67" i="1"/>
  <c r="J68" i="1"/>
  <c r="K68" i="1"/>
  <c r="L68" i="1"/>
  <c r="M68" i="1"/>
  <c r="N68" i="1"/>
  <c r="I68" i="1"/>
  <c r="I67" i="1"/>
  <c r="I66" i="1"/>
  <c r="I65" i="1"/>
  <c r="I64" i="1"/>
  <c r="I63" i="1"/>
  <c r="I62" i="1"/>
  <c r="C62" i="1"/>
  <c r="C63" i="1"/>
  <c r="D63" i="1"/>
  <c r="E63" i="1" s="1"/>
  <c r="F63" i="1" s="1"/>
  <c r="G63" i="1" s="1"/>
  <c r="C64" i="1"/>
  <c r="D64" i="1"/>
  <c r="E64" i="1" s="1"/>
  <c r="F64" i="1" s="1"/>
  <c r="G64" i="1" s="1"/>
  <c r="C65" i="1"/>
  <c r="C66" i="1"/>
  <c r="D66" i="1"/>
  <c r="C67" i="1"/>
  <c r="D67" i="1"/>
  <c r="E67" i="1" s="1"/>
  <c r="F67" i="1" s="1"/>
  <c r="G67" i="1" s="1"/>
  <c r="D68" i="1"/>
  <c r="B68" i="1"/>
  <c r="B66" i="1"/>
  <c r="B65" i="1"/>
  <c r="B64" i="1"/>
  <c r="B63" i="1"/>
  <c r="B62" i="1"/>
  <c r="L3" i="4"/>
  <c r="E5" i="1"/>
  <c r="E7" i="1"/>
  <c r="F65" i="1"/>
  <c r="G65" i="1" s="1"/>
  <c r="N113" i="1"/>
  <c r="M113" i="1"/>
  <c r="L113" i="1"/>
  <c r="K113" i="1"/>
  <c r="J113" i="1"/>
  <c r="I113" i="1"/>
  <c r="C113" i="1"/>
  <c r="D113" i="1"/>
  <c r="E113" i="1" s="1"/>
  <c r="F113" i="1" s="1"/>
  <c r="G113" i="1" s="1"/>
  <c r="B113" i="1"/>
  <c r="N176" i="1"/>
  <c r="N177" i="1" s="1"/>
  <c r="N187" i="1" s="1"/>
  <c r="N182" i="1" s="1"/>
  <c r="J176" i="1"/>
  <c r="J177" i="1" s="1"/>
  <c r="L185" i="1"/>
  <c r="L184" i="1"/>
  <c r="L183" i="1" s="1"/>
  <c r="E184" i="1"/>
  <c r="C188" i="1"/>
  <c r="D188" i="1"/>
  <c r="B188" i="1"/>
  <c r="N50" i="1"/>
  <c r="M50" i="1"/>
  <c r="L50" i="1"/>
  <c r="K50" i="1"/>
  <c r="J50" i="1"/>
  <c r="I50" i="1"/>
  <c r="L121" i="1"/>
  <c r="F54" i="1"/>
  <c r="F56" i="1" s="1"/>
  <c r="F58" i="1" s="1"/>
  <c r="G54" i="1"/>
  <c r="G56" i="1" s="1"/>
  <c r="E54" i="1"/>
  <c r="E56" i="1" s="1"/>
  <c r="E58" i="1" s="1"/>
  <c r="C58" i="1"/>
  <c r="B56" i="1"/>
  <c r="B58" i="1" s="1"/>
  <c r="D58" i="1"/>
  <c r="D50" i="1"/>
  <c r="E48" i="1"/>
  <c r="B50" i="1"/>
  <c r="C50" i="1"/>
  <c r="P47" i="1"/>
  <c r="P30" i="1"/>
  <c r="P27" i="1"/>
  <c r="P4" i="1"/>
  <c r="P13" i="1"/>
  <c r="P15" i="1"/>
  <c r="D80" i="5"/>
  <c r="D63" i="5"/>
  <c r="E33" i="5"/>
  <c r="C63" i="5"/>
  <c r="L19" i="1"/>
  <c r="L17" i="1"/>
  <c r="E80" i="5"/>
  <c r="E63" i="5"/>
  <c r="E159" i="1"/>
  <c r="P172" i="1"/>
  <c r="N135" i="1"/>
  <c r="N190" i="1"/>
  <c r="K110" i="1"/>
  <c r="J110" i="1"/>
  <c r="I110" i="1"/>
  <c r="N109" i="1"/>
  <c r="M109" i="1"/>
  <c r="L109" i="1"/>
  <c r="K109" i="1"/>
  <c r="J109" i="1"/>
  <c r="I109" i="1"/>
  <c r="N108" i="1"/>
  <c r="M108" i="1"/>
  <c r="L108" i="1"/>
  <c r="K108" i="1"/>
  <c r="J108" i="1"/>
  <c r="M190" i="1"/>
  <c r="M135" i="1"/>
  <c r="K135" i="1"/>
  <c r="J135" i="1"/>
  <c r="I135" i="1"/>
  <c r="N134" i="1"/>
  <c r="M134" i="1"/>
  <c r="L134" i="1"/>
  <c r="K134" i="1"/>
  <c r="J134" i="1"/>
  <c r="I134" i="1"/>
  <c r="L119" i="1"/>
  <c r="L118" i="1"/>
  <c r="L117" i="1"/>
  <c r="L116" i="1"/>
  <c r="N112" i="1"/>
  <c r="M112" i="1"/>
  <c r="L112" i="1"/>
  <c r="K112" i="1"/>
  <c r="J112" i="1"/>
  <c r="I112" i="1"/>
  <c r="N111" i="1"/>
  <c r="M111" i="1"/>
  <c r="L111" i="1"/>
  <c r="K111" i="1"/>
  <c r="J111" i="1"/>
  <c r="I111" i="1"/>
  <c r="N110" i="1"/>
  <c r="M110" i="1"/>
  <c r="L110" i="1"/>
  <c r="I108" i="1"/>
  <c r="L125" i="1"/>
  <c r="L124" i="1"/>
  <c r="L49" i="1"/>
  <c r="L163" i="1"/>
  <c r="P163" i="1" s="1"/>
  <c r="L135" i="1"/>
  <c r="K154" i="1"/>
  <c r="J190" i="1"/>
  <c r="I190" i="1"/>
  <c r="M126" i="1"/>
  <c r="K126" i="1"/>
  <c r="J126" i="1"/>
  <c r="I126" i="1"/>
  <c r="N126" i="1"/>
  <c r="I49" i="1"/>
  <c r="J49" i="1"/>
  <c r="K49" i="1"/>
  <c r="D33" i="5"/>
  <c r="F161" i="1"/>
  <c r="G161" i="1" s="1"/>
  <c r="D101" i="5"/>
  <c r="E101" i="5"/>
  <c r="C101" i="5"/>
  <c r="F162" i="1"/>
  <c r="G162" i="1" s="1"/>
  <c r="D2" i="7"/>
  <c r="E2" i="7"/>
  <c r="F47" i="5"/>
  <c r="F48" i="5"/>
  <c r="F49" i="5"/>
  <c r="F50" i="5"/>
  <c r="F75" i="1"/>
  <c r="G75" i="1" s="1"/>
  <c r="F180" i="1"/>
  <c r="F174" i="1"/>
  <c r="G174" i="1" s="1"/>
  <c r="F169" i="1"/>
  <c r="F96" i="5"/>
  <c r="C80" i="5"/>
  <c r="C135" i="1"/>
  <c r="D135" i="1"/>
  <c r="C112" i="1"/>
  <c r="D112" i="1"/>
  <c r="B112" i="1"/>
  <c r="G96" i="5"/>
  <c r="H96" i="5"/>
  <c r="L52" i="6"/>
  <c r="H51" i="6"/>
  <c r="F51" i="6"/>
  <c r="F56" i="6" s="1"/>
  <c r="K51" i="6"/>
  <c r="K56" i="6" s="1"/>
  <c r="E60" i="6" s="1"/>
  <c r="H1" i="6"/>
  <c r="I1" i="6"/>
  <c r="J1" i="6" s="1"/>
  <c r="K1" i="6" s="1"/>
  <c r="L1" i="6" s="1"/>
  <c r="D6" i="6"/>
  <c r="E6" i="6"/>
  <c r="C6" i="6"/>
  <c r="E4" i="6"/>
  <c r="D4" i="6"/>
  <c r="D13" i="6"/>
  <c r="E13" i="6"/>
  <c r="C13" i="6"/>
  <c r="D11" i="6"/>
  <c r="E11" i="6"/>
  <c r="C11" i="6"/>
  <c r="D9" i="6"/>
  <c r="E9" i="6"/>
  <c r="C9" i="6"/>
  <c r="E157" i="1"/>
  <c r="F160" i="1"/>
  <c r="B135" i="1"/>
  <c r="C134" i="1"/>
  <c r="B134" i="1"/>
  <c r="D134" i="1"/>
  <c r="E134" i="1" s="1"/>
  <c r="E141" i="1" s="1"/>
  <c r="B126" i="1"/>
  <c r="B111" i="1"/>
  <c r="B110" i="1"/>
  <c r="B109" i="1"/>
  <c r="B108" i="1"/>
  <c r="F96" i="1"/>
  <c r="G96" i="1" s="1"/>
  <c r="E119" i="1"/>
  <c r="E95" i="1" s="1"/>
  <c r="F102" i="1"/>
  <c r="G102" i="1" s="1"/>
  <c r="F94" i="1"/>
  <c r="G94" i="1" s="1"/>
  <c r="E118" i="1"/>
  <c r="E93" i="1" s="1"/>
  <c r="E117" i="1"/>
  <c r="E92" i="1" s="1"/>
  <c r="E151" i="1" s="1"/>
  <c r="E116" i="1"/>
  <c r="E91" i="1" s="1"/>
  <c r="C109" i="1"/>
  <c r="D109" i="1"/>
  <c r="E109" i="1" s="1"/>
  <c r="F109" i="1" s="1"/>
  <c r="G109" i="1" s="1"/>
  <c r="C110" i="1"/>
  <c r="D110" i="1"/>
  <c r="E110" i="1" s="1"/>
  <c r="F110" i="1" s="1"/>
  <c r="G110" i="1" s="1"/>
  <c r="C111" i="1"/>
  <c r="D111" i="1"/>
  <c r="E111" i="1" s="1"/>
  <c r="F111" i="1" s="1"/>
  <c r="G111" i="1" s="1"/>
  <c r="C108" i="1"/>
  <c r="D108" i="1"/>
  <c r="E108" i="1" s="1"/>
  <c r="D126" i="1"/>
  <c r="C126" i="1"/>
  <c r="F87" i="1"/>
  <c r="G87" i="1" s="1"/>
  <c r="F86" i="1"/>
  <c r="G86" i="1" s="1"/>
  <c r="F85" i="1"/>
  <c r="G85" i="1" s="1"/>
  <c r="F82" i="1"/>
  <c r="G82" i="1" s="1"/>
  <c r="F46" i="1"/>
  <c r="F45" i="1"/>
  <c r="F44" i="1"/>
  <c r="F43" i="1"/>
  <c r="G47" i="5" s="1"/>
  <c r="M49" i="1"/>
  <c r="D49" i="1"/>
  <c r="N49" i="1"/>
  <c r="B49" i="1"/>
  <c r="C49" i="1"/>
  <c r="D35" i="3"/>
  <c r="E35" i="3"/>
  <c r="C35" i="3"/>
  <c r="D39" i="3"/>
  <c r="E39" i="3"/>
  <c r="C39" i="3"/>
  <c r="D40" i="3"/>
  <c r="E40" i="3"/>
  <c r="C40" i="3"/>
  <c r="G12" i="1"/>
  <c r="C13" i="3"/>
  <c r="D13" i="3"/>
  <c r="E13" i="3"/>
  <c r="C11" i="3"/>
  <c r="D11" i="3"/>
  <c r="E11" i="3"/>
  <c r="E9" i="3"/>
  <c r="E29" i="3" s="1"/>
  <c r="D7" i="3"/>
  <c r="E7" i="3"/>
  <c r="D36" i="3"/>
  <c r="E36" i="3"/>
  <c r="C36" i="3"/>
  <c r="D34" i="3"/>
  <c r="D106" i="5" s="1"/>
  <c r="E34" i="3"/>
  <c r="C34" i="3"/>
  <c r="C106" i="5" s="1"/>
  <c r="D33" i="3"/>
  <c r="D105" i="5" s="1"/>
  <c r="E33" i="3"/>
  <c r="E105" i="5" s="1"/>
  <c r="C33" i="3"/>
  <c r="C105" i="5" s="1"/>
  <c r="D32" i="3"/>
  <c r="D17" i="3"/>
  <c r="E17" i="3"/>
  <c r="C9" i="3"/>
  <c r="C29" i="3" s="1"/>
  <c r="D9" i="3"/>
  <c r="D29" i="3" s="1"/>
  <c r="F74" i="1"/>
  <c r="C5" i="5"/>
  <c r="C4" i="5"/>
  <c r="C3" i="5"/>
  <c r="C2" i="5"/>
  <c r="D8" i="5"/>
  <c r="D15" i="3"/>
  <c r="C30" i="3"/>
  <c r="E31" i="3"/>
  <c r="E102" i="5" s="1"/>
  <c r="E32" i="3"/>
  <c r="D30" i="3"/>
  <c r="D31" i="3"/>
  <c r="D102" i="5" s="1"/>
  <c r="C31" i="3"/>
  <c r="C102" i="5" s="1"/>
  <c r="E30" i="3"/>
  <c r="C32" i="3"/>
  <c r="C16" i="6" l="1"/>
  <c r="F129" i="1"/>
  <c r="E126" i="1"/>
  <c r="E125" i="1" s="1"/>
  <c r="E100" i="1" s="1"/>
  <c r="K176" i="1"/>
  <c r="K177" i="1" s="1"/>
  <c r="J187" i="1"/>
  <c r="J182" i="1" s="1"/>
  <c r="E10" i="1"/>
  <c r="E6" i="1"/>
  <c r="F10" i="6"/>
  <c r="E9" i="1"/>
  <c r="E66" i="1" s="1"/>
  <c r="N188" i="1"/>
  <c r="M188" i="1"/>
  <c r="G58" i="1"/>
  <c r="E80" i="1"/>
  <c r="E78" i="1"/>
  <c r="E185" i="1"/>
  <c r="E183" i="1" s="1"/>
  <c r="G74" i="1"/>
  <c r="G184" i="1" s="1"/>
  <c r="F184" i="1"/>
  <c r="J188" i="1"/>
  <c r="I188" i="1"/>
  <c r="L126" i="1"/>
  <c r="E59" i="1"/>
  <c r="E49" i="1"/>
  <c r="E3" i="1" s="1"/>
  <c r="E139" i="1"/>
  <c r="G160" i="1"/>
  <c r="P49" i="1"/>
  <c r="P17" i="1"/>
  <c r="P19" i="1"/>
  <c r="L154" i="1"/>
  <c r="L190" i="1" s="1"/>
  <c r="K190" i="1"/>
  <c r="D15" i="6"/>
  <c r="E15" i="6"/>
  <c r="D16" i="6"/>
  <c r="E16" i="6"/>
  <c r="G180" i="1"/>
  <c r="G169" i="1"/>
  <c r="E112" i="1"/>
  <c r="E135" i="1"/>
  <c r="C40" i="6"/>
  <c r="G51" i="6" s="1"/>
  <c r="C30" i="6"/>
  <c r="C32" i="6" s="1"/>
  <c r="C33" i="6" s="1"/>
  <c r="C34" i="6" s="1"/>
  <c r="C91" i="6" s="1"/>
  <c r="G46" i="1"/>
  <c r="H50" i="5" s="1"/>
  <c r="G50" i="5"/>
  <c r="G45" i="1"/>
  <c r="H49" i="5" s="1"/>
  <c r="G49" i="5"/>
  <c r="G44" i="1"/>
  <c r="H48" i="5" s="1"/>
  <c r="G48" i="5"/>
  <c r="C11" i="2"/>
  <c r="E106" i="5"/>
  <c r="G157" i="1"/>
  <c r="F157" i="1"/>
  <c r="F159" i="1"/>
  <c r="F134" i="1"/>
  <c r="F119" i="1"/>
  <c r="E99" i="1"/>
  <c r="E103" i="1" s="1"/>
  <c r="E150" i="1"/>
  <c r="E84" i="1"/>
  <c r="E79" i="1"/>
  <c r="E83" i="1"/>
  <c r="F108" i="1"/>
  <c r="E77" i="1"/>
  <c r="E147" i="1" s="1"/>
  <c r="F118" i="1"/>
  <c r="F117" i="1"/>
  <c r="F116" i="1"/>
  <c r="F47" i="1"/>
  <c r="G43" i="1"/>
  <c r="E168" i="1" l="1"/>
  <c r="E16" i="1"/>
  <c r="F100" i="1"/>
  <c r="G100" i="1" s="1"/>
  <c r="K187" i="1"/>
  <c r="L176" i="1"/>
  <c r="L177" i="1" s="1"/>
  <c r="L187" i="1" s="1"/>
  <c r="F6" i="1"/>
  <c r="F7" i="1"/>
  <c r="F10" i="1"/>
  <c r="F5" i="1"/>
  <c r="E148" i="1"/>
  <c r="F17" i="6"/>
  <c r="H17" i="6"/>
  <c r="I17" i="6"/>
  <c r="J17" i="6"/>
  <c r="L17" i="6"/>
  <c r="E17" i="6"/>
  <c r="E18" i="6" s="1"/>
  <c r="G17" i="6"/>
  <c r="K17" i="6"/>
  <c r="E11" i="1"/>
  <c r="E68" i="1" s="1"/>
  <c r="F80" i="1"/>
  <c r="F8" i="1"/>
  <c r="G159" i="1"/>
  <c r="E33" i="1"/>
  <c r="E167" i="1" s="1"/>
  <c r="F53" i="1"/>
  <c r="F59" i="1" s="1"/>
  <c r="P154" i="1"/>
  <c r="E195" i="1"/>
  <c r="F33" i="1"/>
  <c r="F167" i="1" s="1"/>
  <c r="G53" i="1"/>
  <c r="G59" i="1" s="1"/>
  <c r="G33" i="1" s="1"/>
  <c r="G167" i="1" s="1"/>
  <c r="G195" i="1" s="1"/>
  <c r="H97" i="5" s="1"/>
  <c r="P190" i="1"/>
  <c r="F3" i="6"/>
  <c r="F32" i="5"/>
  <c r="E14" i="1"/>
  <c r="F6" i="3"/>
  <c r="E4" i="1"/>
  <c r="F48" i="1"/>
  <c r="E156" i="1"/>
  <c r="F135" i="1"/>
  <c r="F112" i="1"/>
  <c r="G112" i="1" s="1"/>
  <c r="E76" i="1"/>
  <c r="E146" i="1" s="1"/>
  <c r="J51" i="6"/>
  <c r="I51" i="6"/>
  <c r="I56" i="6" s="1"/>
  <c r="G47" i="1"/>
  <c r="H47" i="5"/>
  <c r="G119" i="1"/>
  <c r="G95" i="1" s="1"/>
  <c r="F95" i="1"/>
  <c r="F141" i="1"/>
  <c r="G134" i="1"/>
  <c r="F77" i="1"/>
  <c r="F147" i="1" s="1"/>
  <c r="G108" i="1"/>
  <c r="F93" i="1"/>
  <c r="G118" i="1"/>
  <c r="G93" i="1" s="1"/>
  <c r="F92" i="1"/>
  <c r="F151" i="1" s="1"/>
  <c r="G117" i="1"/>
  <c r="G92" i="1" s="1"/>
  <c r="F91" i="1"/>
  <c r="F150" i="1" s="1"/>
  <c r="G116" i="1"/>
  <c r="G91" i="1" s="1"/>
  <c r="F79" i="1"/>
  <c r="F84" i="1"/>
  <c r="F83" i="1"/>
  <c r="F10" i="3" l="1"/>
  <c r="E179" i="1"/>
  <c r="G5" i="1"/>
  <c r="E122" i="1"/>
  <c r="F14" i="6" s="1"/>
  <c r="L182" i="1"/>
  <c r="L188" i="1"/>
  <c r="K188" i="1"/>
  <c r="K182" i="1"/>
  <c r="G80" i="1"/>
  <c r="G8" i="1"/>
  <c r="G7" i="1"/>
  <c r="G10" i="1"/>
  <c r="G6" i="1"/>
  <c r="G10" i="6"/>
  <c r="F9" i="1"/>
  <c r="E172" i="1"/>
  <c r="F78" i="1"/>
  <c r="F185" i="1"/>
  <c r="F183" i="1" s="1"/>
  <c r="G78" i="1"/>
  <c r="G185" i="1"/>
  <c r="G183" i="1" s="1"/>
  <c r="F97" i="5"/>
  <c r="F195" i="1"/>
  <c r="G97" i="5" s="1"/>
  <c r="F49" i="1"/>
  <c r="F3" i="1" s="1"/>
  <c r="G151" i="1"/>
  <c r="F12" i="6"/>
  <c r="F139" i="1"/>
  <c r="F11" i="6"/>
  <c r="F4" i="6"/>
  <c r="F8" i="3"/>
  <c r="E15" i="1"/>
  <c r="F62" i="5"/>
  <c r="F7" i="3"/>
  <c r="F33" i="5"/>
  <c r="G48" i="1"/>
  <c r="G139" i="1" s="1"/>
  <c r="E163" i="1"/>
  <c r="F24" i="3"/>
  <c r="F156" i="1"/>
  <c r="G135" i="1"/>
  <c r="G156" i="1" s="1"/>
  <c r="F76" i="1"/>
  <c r="F146" i="1" s="1"/>
  <c r="G76" i="1"/>
  <c r="G141" i="1"/>
  <c r="G77" i="1"/>
  <c r="G83" i="1"/>
  <c r="G79" i="1"/>
  <c r="G84" i="1"/>
  <c r="L51" i="6"/>
  <c r="L56" i="6" s="1"/>
  <c r="J56" i="6"/>
  <c r="G99" i="1"/>
  <c r="G150" i="1"/>
  <c r="F99" i="1"/>
  <c r="F148" i="1" l="1"/>
  <c r="F122" i="1"/>
  <c r="G14" i="6" s="1"/>
  <c r="G148" i="1"/>
  <c r="F11" i="1"/>
  <c r="F68" i="1" s="1"/>
  <c r="F66" i="1"/>
  <c r="H10" i="6"/>
  <c r="G9" i="1"/>
  <c r="G66" i="1" s="1"/>
  <c r="G32" i="5"/>
  <c r="F14" i="1"/>
  <c r="G6" i="3"/>
  <c r="G3" i="6"/>
  <c r="F4" i="1"/>
  <c r="F13" i="6"/>
  <c r="G146" i="1"/>
  <c r="F63" i="5"/>
  <c r="F9" i="3"/>
  <c r="F29" i="3" s="1"/>
  <c r="G49" i="1"/>
  <c r="G3" i="1" s="1"/>
  <c r="F163" i="1"/>
  <c r="G12" i="6"/>
  <c r="G24" i="3"/>
  <c r="G163" i="1"/>
  <c r="H24" i="3"/>
  <c r="H12" i="6"/>
  <c r="G147" i="1"/>
  <c r="G122" i="1" l="1"/>
  <c r="H14" i="6" s="1"/>
  <c r="G11" i="1"/>
  <c r="G68" i="1" s="1"/>
  <c r="F15" i="1"/>
  <c r="G62" i="5"/>
  <c r="G11" i="6"/>
  <c r="G8" i="3"/>
  <c r="G4" i="6"/>
  <c r="G7" i="3"/>
  <c r="G33" i="5"/>
  <c r="G13" i="6"/>
  <c r="G4" i="1"/>
  <c r="H3" i="6"/>
  <c r="H32" i="5"/>
  <c r="H6" i="3"/>
  <c r="G14" i="1"/>
  <c r="G63" i="5" l="1"/>
  <c r="G9" i="3"/>
  <c r="G29" i="3" s="1"/>
  <c r="H7" i="3"/>
  <c r="H33" i="5"/>
  <c r="H13" i="6"/>
  <c r="I13" i="6" s="1"/>
  <c r="J13" i="6" s="1"/>
  <c r="H11" i="6"/>
  <c r="I11" i="6" s="1"/>
  <c r="H4" i="6"/>
  <c r="I4" i="6" s="1"/>
  <c r="J4" i="6" s="1"/>
  <c r="K4" i="6" s="1"/>
  <c r="G15" i="1"/>
  <c r="H62" i="5"/>
  <c r="H8" i="3"/>
  <c r="H15" i="6"/>
  <c r="I15" i="6" s="1"/>
  <c r="K13" i="6" l="1"/>
  <c r="J11" i="6"/>
  <c r="H63" i="5"/>
  <c r="H9" i="3"/>
  <c r="H29" i="3" s="1"/>
  <c r="I3" i="6"/>
  <c r="J15" i="6"/>
  <c r="I14" i="6" l="1"/>
  <c r="I10" i="6"/>
  <c r="K15" i="6"/>
  <c r="K11" i="6"/>
  <c r="J3" i="6"/>
  <c r="I12" i="6"/>
  <c r="J10" i="6" l="1"/>
  <c r="I8" i="6"/>
  <c r="J8" i="6" s="1"/>
  <c r="K8" i="6" s="1"/>
  <c r="J14" i="6"/>
  <c r="J12" i="6"/>
  <c r="K3" i="6"/>
  <c r="K10" i="6" l="1"/>
  <c r="K14" i="6"/>
  <c r="K12" i="6"/>
  <c r="L3" i="6"/>
  <c r="L12" i="6" l="1"/>
  <c r="L10" i="6"/>
  <c r="L5" i="6"/>
  <c r="L14" i="6"/>
  <c r="C3" i="7"/>
  <c r="C4" i="7" s="1"/>
  <c r="L7" i="6" l="1"/>
  <c r="E4" i="7"/>
  <c r="D4" i="7"/>
  <c r="C5" i="7"/>
  <c r="D3" i="7"/>
  <c r="E3" i="7"/>
  <c r="L9" i="6" l="1"/>
  <c r="L16" i="6" s="1"/>
  <c r="C37" i="6" s="1"/>
  <c r="E5" i="7"/>
  <c r="D5" i="7"/>
  <c r="C6" i="7"/>
  <c r="L18" i="6" l="1"/>
  <c r="E6" i="7"/>
  <c r="D6" i="7"/>
  <c r="C7" i="7"/>
  <c r="D7" i="7" l="1"/>
  <c r="E7" i="7"/>
  <c r="C8" i="7"/>
  <c r="D8" i="7" l="1"/>
  <c r="E8" i="7"/>
  <c r="C9" i="7"/>
  <c r="E9" i="7" l="1"/>
  <c r="D9" i="7"/>
  <c r="C10" i="7"/>
  <c r="E10" i="7" l="1"/>
  <c r="D10" i="7"/>
  <c r="C11" i="7"/>
  <c r="D11" i="7" l="1"/>
  <c r="E11" i="7"/>
  <c r="C12" i="7"/>
  <c r="D12" i="7" l="1"/>
  <c r="E12" i="7"/>
  <c r="C13" i="7"/>
  <c r="E13" i="7" l="1"/>
  <c r="D13" i="7"/>
  <c r="C14" i="7"/>
  <c r="D14" i="7" l="1"/>
  <c r="E14" i="7"/>
  <c r="C15" i="7"/>
  <c r="E15" i="7" l="1"/>
  <c r="D15" i="7"/>
  <c r="C16" i="7"/>
  <c r="D16" i="7" l="1"/>
  <c r="E16" i="7"/>
  <c r="C17" i="7"/>
  <c r="D17" i="7" l="1"/>
  <c r="E17" i="7"/>
  <c r="C18" i="7"/>
  <c r="D18" i="7" l="1"/>
  <c r="E18" i="7"/>
  <c r="C19" i="7"/>
  <c r="D19" i="7" l="1"/>
  <c r="E19" i="7"/>
  <c r="C20" i="7"/>
  <c r="E20" i="7" l="1"/>
  <c r="D20" i="7"/>
  <c r="C21" i="7"/>
  <c r="E21" i="7" l="1"/>
  <c r="D21" i="7"/>
  <c r="C22" i="7"/>
  <c r="E22" i="7" l="1"/>
  <c r="D22" i="7"/>
  <c r="C23" i="7"/>
  <c r="E23" i="7" l="1"/>
  <c r="D23" i="7"/>
  <c r="C24" i="7"/>
  <c r="E24" i="7" l="1"/>
  <c r="D24" i="7"/>
  <c r="C25" i="7"/>
  <c r="D25" i="7" l="1"/>
  <c r="E25" i="7"/>
  <c r="C26" i="7"/>
  <c r="C27" i="7"/>
  <c r="D26" i="7"/>
  <c r="E26" i="7"/>
  <c r="D27" i="7"/>
  <c r="E27" i="7"/>
  <c r="F15" i="6"/>
  <c r="G15" i="6"/>
  <c r="E18" i="1"/>
  <c r="F23" i="3"/>
  <c r="F18" i="1"/>
  <c r="F12" i="3"/>
  <c r="G18" i="1"/>
  <c r="E81" i="1"/>
  <c r="G81" i="1"/>
  <c r="F81" i="1"/>
  <c r="F121" i="1"/>
  <c r="F88" i="1"/>
  <c r="F105" i="1"/>
  <c r="E88" i="1" l="1"/>
  <c r="G88" i="1"/>
  <c r="G121" i="1"/>
  <c r="H12" i="3"/>
  <c r="G12" i="3"/>
  <c r="G105" i="1"/>
  <c r="E105" i="1"/>
  <c r="E104" i="1" s="1"/>
  <c r="E121" i="1"/>
  <c r="E20" i="1"/>
  <c r="E22" i="1" s="1"/>
  <c r="F41" i="3" l="1"/>
  <c r="F36" i="3" s="1"/>
  <c r="C13" i="2" s="1"/>
  <c r="F34" i="3"/>
  <c r="F106" i="5" s="1"/>
  <c r="F5" i="6"/>
  <c r="E23" i="1"/>
  <c r="F14" i="3"/>
  <c r="F6" i="6" l="1"/>
  <c r="F7" i="6"/>
  <c r="E178" i="1"/>
  <c r="F15" i="3"/>
  <c r="E25" i="1"/>
  <c r="E138" i="1" l="1"/>
  <c r="F16" i="3"/>
  <c r="E26" i="1"/>
  <c r="F79" i="5"/>
  <c r="E30" i="1"/>
  <c r="F19" i="3" s="1"/>
  <c r="E27" i="1"/>
  <c r="F9" i="6"/>
  <c r="F16" i="6" s="1"/>
  <c r="F18" i="6" s="1"/>
  <c r="E191" i="1" l="1"/>
  <c r="E154" i="1"/>
  <c r="F30" i="3"/>
  <c r="F33" i="3"/>
  <c r="F80" i="5"/>
  <c r="F17" i="3"/>
  <c r="F35" i="3"/>
  <c r="F40" i="3"/>
  <c r="E29" i="1"/>
  <c r="F18" i="3" s="1"/>
  <c r="E175" i="1" l="1"/>
  <c r="E177" i="1" s="1"/>
  <c r="E190" i="1"/>
  <c r="F101" i="5" s="1"/>
  <c r="F25" i="3"/>
  <c r="C14" i="2"/>
  <c r="F105" i="5"/>
  <c r="E187" i="1" l="1"/>
  <c r="F176" i="1"/>
  <c r="F32" i="3"/>
  <c r="F39" i="3"/>
  <c r="F31" i="3"/>
  <c r="F102" i="5" s="1"/>
  <c r="E188" i="1" l="1"/>
  <c r="E182" i="1"/>
  <c r="F166" i="1" l="1"/>
  <c r="F131" i="1" s="1"/>
  <c r="F16" i="1"/>
  <c r="G166" i="1"/>
  <c r="G16" i="1"/>
  <c r="H10" i="3"/>
  <c r="G172" i="1"/>
  <c r="F172" i="1"/>
  <c r="G103" i="1"/>
  <c r="F103" i="1"/>
  <c r="G23" i="3"/>
  <c r="H23" i="3"/>
  <c r="G179" i="1" l="1"/>
  <c r="F179" i="1"/>
  <c r="G10" i="3"/>
  <c r="F104" i="1"/>
  <c r="G41" i="3" s="1"/>
  <c r="F132" i="1"/>
  <c r="G131" i="1"/>
  <c r="F20" i="1"/>
  <c r="F22" i="1" s="1"/>
  <c r="G20" i="1"/>
  <c r="G22" i="1" s="1"/>
  <c r="G104" i="1"/>
  <c r="H41" i="3" s="1"/>
  <c r="H36" i="3" s="1"/>
  <c r="H34" i="3" l="1"/>
  <c r="H106" i="5" s="1"/>
  <c r="G36" i="3"/>
  <c r="G34" i="3"/>
  <c r="G106" i="5" s="1"/>
  <c r="G129" i="1"/>
  <c r="G132" i="1" s="1"/>
  <c r="G126" i="1" s="1"/>
  <c r="G125" i="1" s="1"/>
  <c r="F126" i="1"/>
  <c r="F125" i="1" s="1"/>
  <c r="F23" i="1"/>
  <c r="G14" i="3"/>
  <c r="G15" i="3" s="1"/>
  <c r="G5" i="6"/>
  <c r="H5" i="6"/>
  <c r="H14" i="3"/>
  <c r="G23" i="1"/>
  <c r="G25" i="1" l="1"/>
  <c r="F178" i="1"/>
  <c r="G7" i="6"/>
  <c r="G6" i="6"/>
  <c r="H6" i="6"/>
  <c r="I6" i="6" s="1"/>
  <c r="H7" i="6"/>
  <c r="G178" i="1"/>
  <c r="H15" i="3"/>
  <c r="F25" i="1"/>
  <c r="G9" i="6" l="1"/>
  <c r="G16" i="6" s="1"/>
  <c r="G18" i="6" s="1"/>
  <c r="H79" i="5"/>
  <c r="H16" i="3"/>
  <c r="G138" i="1"/>
  <c r="G30" i="1"/>
  <c r="H19" i="3" s="1"/>
  <c r="H35" i="3"/>
  <c r="J6" i="6"/>
  <c r="I5" i="6"/>
  <c r="G16" i="3"/>
  <c r="G79" i="5"/>
  <c r="F138" i="1"/>
  <c r="F30" i="1"/>
  <c r="F26" i="1"/>
  <c r="F27" i="1"/>
  <c r="G26" i="1"/>
  <c r="H9" i="6"/>
  <c r="H16" i="6" s="1"/>
  <c r="H18" i="6" s="1"/>
  <c r="H33" i="3" l="1"/>
  <c r="H105" i="5" s="1"/>
  <c r="H40" i="3"/>
  <c r="G154" i="1"/>
  <c r="G191" i="1"/>
  <c r="H30" i="3"/>
  <c r="K6" i="6"/>
  <c r="K5" i="6" s="1"/>
  <c r="J5" i="6"/>
  <c r="I7" i="6"/>
  <c r="G33" i="3"/>
  <c r="G105" i="5" s="1"/>
  <c r="G30" i="3"/>
  <c r="F191" i="1"/>
  <c r="F154" i="1"/>
  <c r="C59" i="6"/>
  <c r="D68" i="6" s="1"/>
  <c r="C78" i="6" s="1"/>
  <c r="G19" i="3"/>
  <c r="G80" i="5"/>
  <c r="G17" i="3"/>
  <c r="G27" i="1"/>
  <c r="G29" i="1" s="1"/>
  <c r="H18" i="3" s="1"/>
  <c r="F29" i="1"/>
  <c r="G18" i="3" s="1"/>
  <c r="H17" i="3"/>
  <c r="H80" i="5"/>
  <c r="G190" i="1" l="1"/>
  <c r="H101" i="5" s="1"/>
  <c r="G175" i="1"/>
  <c r="H25" i="3"/>
  <c r="K7" i="6"/>
  <c r="J7" i="6"/>
  <c r="F175" i="1"/>
  <c r="F177" i="1" s="1"/>
  <c r="G25" i="3"/>
  <c r="F190" i="1"/>
  <c r="G101" i="5" s="1"/>
  <c r="G40" i="3"/>
  <c r="G35" i="3"/>
  <c r="I9" i="6"/>
  <c r="I16" i="6" s="1"/>
  <c r="I18" i="6" s="1"/>
  <c r="H31" i="3" l="1"/>
  <c r="H102" i="5" s="1"/>
  <c r="H39" i="3"/>
  <c r="H32" i="3"/>
  <c r="K9" i="6"/>
  <c r="K16" i="6" s="1"/>
  <c r="K18" i="6" s="1"/>
  <c r="F187" i="1"/>
  <c r="G176" i="1"/>
  <c r="G177" i="1" s="1"/>
  <c r="G187" i="1" s="1"/>
  <c r="G32" i="3"/>
  <c r="G39" i="3"/>
  <c r="G31" i="3"/>
  <c r="G102" i="5" s="1"/>
  <c r="J9" i="6"/>
  <c r="J16" i="6" s="1"/>
  <c r="J18" i="6" s="1"/>
  <c r="C36" i="6" l="1"/>
  <c r="C38" i="6" s="1"/>
  <c r="F188" i="1"/>
  <c r="F182" i="1"/>
  <c r="G188" i="1"/>
  <c r="G182" i="1"/>
  <c r="D37" i="6" l="1"/>
  <c r="D36" i="6" s="1"/>
  <c r="C41" i="6"/>
  <c r="C43" i="6" s="1"/>
  <c r="C46" i="6" l="1"/>
  <c r="D67" i="6"/>
  <c r="D70" i="6" l="1"/>
  <c r="C77" i="6"/>
  <c r="D71" i="6" l="1"/>
  <c r="C80" i="6"/>
  <c r="C5" i="2"/>
  <c r="C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FKP</author>
  </authors>
  <commentList>
    <comment ref="E73" authorId="0" shapeId="0" xr:uid="{48498FFD-C78E-46F9-9A3B-1EEECED09EA6}">
      <text>
        <r>
          <rPr>
            <b/>
            <sz val="9"/>
            <color indexed="81"/>
            <rFont val="Tahoma"/>
            <family val="2"/>
          </rPr>
          <t>FKP:</t>
        </r>
        <r>
          <rPr>
            <sz val="9"/>
            <color indexed="81"/>
            <rFont val="Tahoma"/>
            <family val="2"/>
          </rPr>
          <t xml:space="preserve">
Hardcoded to avoid circular ref with row 176</t>
        </r>
      </text>
    </comment>
  </commentList>
</comments>
</file>

<file path=xl/sharedStrings.xml><?xml version="1.0" encoding="utf-8"?>
<sst xmlns="http://schemas.openxmlformats.org/spreadsheetml/2006/main" count="830" uniqueCount="485">
  <si>
    <t>FY23 (A)</t>
  </si>
  <si>
    <t>FY24(A)</t>
  </si>
  <si>
    <t>FY25(A)</t>
  </si>
  <si>
    <t>FY26(E)</t>
  </si>
  <si>
    <t>FY27(E)</t>
  </si>
  <si>
    <t>Net revenue</t>
  </si>
  <si>
    <t>Personnel</t>
  </si>
  <si>
    <t>Marketing</t>
  </si>
  <si>
    <t>Network and processing</t>
  </si>
  <si>
    <t>Professional fees</t>
  </si>
  <si>
    <t>Depreciation and amortization</t>
  </si>
  <si>
    <t>General and administrative</t>
  </si>
  <si>
    <t>Litigation provision</t>
  </si>
  <si>
    <t>Total operating expenses</t>
  </si>
  <si>
    <t>Operating income</t>
  </si>
  <si>
    <t>Interest expense</t>
  </si>
  <si>
    <t>Investment income (expense) and other</t>
  </si>
  <si>
    <t>Total non-operating income (expense)</t>
  </si>
  <si>
    <t>Income before income taxes</t>
  </si>
  <si>
    <t>Income tax provision</t>
  </si>
  <si>
    <t>Net income</t>
  </si>
  <si>
    <t>Basic EPS - Class A</t>
  </si>
  <si>
    <t>Diluted EPS - Class A</t>
  </si>
  <si>
    <t>Basic Shares - Class A</t>
  </si>
  <si>
    <t>Diluted Shares - Class A</t>
  </si>
  <si>
    <t>Balance Sheet</t>
  </si>
  <si>
    <t>Assets</t>
  </si>
  <si>
    <t>Cash and cash equivalents</t>
  </si>
  <si>
    <t>Restricted cash equivalents—U.S. litigation escrow</t>
  </si>
  <si>
    <t>Investment securities</t>
  </si>
  <si>
    <t>Settlement receivable</t>
  </si>
  <si>
    <t>Accounts receivable</t>
  </si>
  <si>
    <t>Customer collateral</t>
  </si>
  <si>
    <t>Current portion of client incentives</t>
  </si>
  <si>
    <t>Prepaid expenses and other current assets</t>
  </si>
  <si>
    <t>Total current assets</t>
  </si>
  <si>
    <t>Investment securities (non-current)</t>
  </si>
  <si>
    <t>Client incentives</t>
  </si>
  <si>
    <t>Property, equipment and technology, net</t>
  </si>
  <si>
    <t>Goodwill</t>
  </si>
  <si>
    <t>Intangible assets, net</t>
  </si>
  <si>
    <t>Other assets</t>
  </si>
  <si>
    <t>Total assets</t>
  </si>
  <si>
    <t>Liabilities &amp; Equity</t>
  </si>
  <si>
    <t>Accounts payable</t>
  </si>
  <si>
    <t>Settlement payable</t>
  </si>
  <si>
    <t>Accrued compensation and benefits</t>
  </si>
  <si>
    <t>Accrued liabilities</t>
  </si>
  <si>
    <t>Current maturities of debt</t>
  </si>
  <si>
    <t>Accrued litigation</t>
  </si>
  <si>
    <t>Total current liabilities</t>
  </si>
  <si>
    <t>Long-term debt</t>
  </si>
  <si>
    <t>Deferred tax liabilities</t>
  </si>
  <si>
    <t>Other liabilities</t>
  </si>
  <si>
    <t>Total liabilities</t>
  </si>
  <si>
    <t>Total equity</t>
  </si>
  <si>
    <t>Total liabilities and equity</t>
  </si>
  <si>
    <t>Cash Flow Statements</t>
  </si>
  <si>
    <t>Share-based compensation</t>
  </si>
  <si>
    <t>Deferred income taxes</t>
  </si>
  <si>
    <t>VE territory covered losses</t>
  </si>
  <si>
    <t>(Gains) losses on equity investments, net</t>
  </si>
  <si>
    <t>Other</t>
  </si>
  <si>
    <t>Client incentives (change)</t>
  </si>
  <si>
    <t>Accrued and other liabilities</t>
  </si>
  <si>
    <t>Net cash provided by operating activities</t>
  </si>
  <si>
    <t>Purchases of property, equipment and technology</t>
  </si>
  <si>
    <t>Purchases of investment securities</t>
  </si>
  <si>
    <t>Proceeds from maturities and sales of investment securities</t>
  </si>
  <si>
    <t>Acquisitions, net of cash and restricted cash acquired</t>
  </si>
  <si>
    <t>Purchases of other investments</t>
  </si>
  <si>
    <t>Proceeds from settlement of derivative instruments</t>
  </si>
  <si>
    <t>Other investing activities</t>
  </si>
  <si>
    <t>Net cash provided by (used in) investing activities</t>
  </si>
  <si>
    <t>Repurchases of class A common stock</t>
  </si>
  <si>
    <t>Repayments of debt</t>
  </si>
  <si>
    <t>Dividends paid</t>
  </si>
  <si>
    <t>Proceeds from issuance of senior notes</t>
  </si>
  <si>
    <t>Proceeds from stock issued under equity plans</t>
  </si>
  <si>
    <t>Taxes paid related to stock issued under equity plans</t>
  </si>
  <si>
    <t>Other financing activities</t>
  </si>
  <si>
    <t>Net cash used in financing activities</t>
  </si>
  <si>
    <t>Effect of exchange rate changes</t>
  </si>
  <si>
    <t>Increase (decrease) in cash and restricted cash equivalents</t>
  </si>
  <si>
    <t>Cash at beginning of period</t>
  </si>
  <si>
    <t>Cash at end of period</t>
  </si>
  <si>
    <t>Cash paid for income taxes, net</t>
  </si>
  <si>
    <t>Interest payments on debt</t>
  </si>
  <si>
    <t>Accruals related to purchases of property, equipment and technology</t>
  </si>
  <si>
    <t>Bloomberg Ticker</t>
  </si>
  <si>
    <t>Sector</t>
  </si>
  <si>
    <t>Share Price (USD)</t>
  </si>
  <si>
    <t>Free float (%)</t>
  </si>
  <si>
    <t>Dividend yield (%)</t>
  </si>
  <si>
    <t>Net Debt to Equity (%)</t>
  </si>
  <si>
    <t>Fwd. P/E (x)</t>
  </si>
  <si>
    <t>P/Book (x)</t>
  </si>
  <si>
    <t>V US</t>
  </si>
  <si>
    <t>Information Technology / Payments</t>
  </si>
  <si>
    <t>Market Cap (USD bn)</t>
  </si>
  <si>
    <t>Volume (mn shares)</t>
  </si>
  <si>
    <t>% Growth</t>
  </si>
  <si>
    <t>% Margin</t>
  </si>
  <si>
    <t>% Int.cost</t>
  </si>
  <si>
    <t>% Tax rate</t>
  </si>
  <si>
    <t>September Ending</t>
  </si>
  <si>
    <t>% Income</t>
  </si>
  <si>
    <t>FY September ending</t>
  </si>
  <si>
    <t>Income Statement</t>
  </si>
  <si>
    <t>Basic EPS</t>
  </si>
  <si>
    <t>Diluted EPS</t>
  </si>
  <si>
    <t>Balance Sheet &amp; Cash Flow</t>
  </si>
  <si>
    <t>Net debt</t>
  </si>
  <si>
    <t>Capex</t>
  </si>
  <si>
    <t>Financial Summary in USD mn except per share data</t>
  </si>
  <si>
    <t>Free cash flow</t>
  </si>
  <si>
    <t>Ratios</t>
  </si>
  <si>
    <t>Operating margin%</t>
  </si>
  <si>
    <t>Net income margin%</t>
  </si>
  <si>
    <t>FCF margin%</t>
  </si>
  <si>
    <t>FCF/Net income %</t>
  </si>
  <si>
    <t>RoE%</t>
  </si>
  <si>
    <t>Items per share</t>
  </si>
  <si>
    <t>FCF per share</t>
  </si>
  <si>
    <t>Book value per share</t>
  </si>
  <si>
    <t>Dividend per share</t>
  </si>
  <si>
    <t>Price to Earnings</t>
  </si>
  <si>
    <t>Price to BV</t>
  </si>
  <si>
    <t>Net Debt/Equity%</t>
  </si>
  <si>
    <t xml:space="preserve">ROE (%) </t>
  </si>
  <si>
    <t>S&amp;P 500</t>
  </si>
  <si>
    <t>Visa</t>
  </si>
  <si>
    <t>05/18/2026</t>
  </si>
  <si>
    <t>05/15/2026</t>
  </si>
  <si>
    <t>05/14/2026</t>
  </si>
  <si>
    <t>05/13/2026</t>
  </si>
  <si>
    <t>04/30/2026</t>
  </si>
  <si>
    <t>04/29/2026</t>
  </si>
  <si>
    <t>04/28/2026</t>
  </si>
  <si>
    <t>04/27/2026</t>
  </si>
  <si>
    <t>04/24/2026</t>
  </si>
  <si>
    <t>04/23/2026</t>
  </si>
  <si>
    <t>04/22/2026</t>
  </si>
  <si>
    <t>04/21/2026</t>
  </si>
  <si>
    <t>04/20/2026</t>
  </si>
  <si>
    <t>04/17/2026</t>
  </si>
  <si>
    <t>04/16/2026</t>
  </si>
  <si>
    <t>04/15/2026</t>
  </si>
  <si>
    <t>04/14/2026</t>
  </si>
  <si>
    <t>04/13/2026</t>
  </si>
  <si>
    <t>03/31/2026</t>
  </si>
  <si>
    <t>03/30/2026</t>
  </si>
  <si>
    <t>03/27/2026</t>
  </si>
  <si>
    <t>03/26/2026</t>
  </si>
  <si>
    <t>03/25/2026</t>
  </si>
  <si>
    <t>03/24/2026</t>
  </si>
  <si>
    <t>03/23/2026</t>
  </si>
  <si>
    <t>03/20/2026</t>
  </si>
  <si>
    <t>03/19/2026</t>
  </si>
  <si>
    <t>03/18/2026</t>
  </si>
  <si>
    <t>03/17/2026</t>
  </si>
  <si>
    <t>03/16/2026</t>
  </si>
  <si>
    <t>03/13/2026</t>
  </si>
  <si>
    <t>02/27/2026</t>
  </si>
  <si>
    <t>02/26/2026</t>
  </si>
  <si>
    <t>02/25/2026</t>
  </si>
  <si>
    <t>02/24/2026</t>
  </si>
  <si>
    <t>02/23/2026</t>
  </si>
  <si>
    <t>02/20/2026</t>
  </si>
  <si>
    <t>02/19/2026</t>
  </si>
  <si>
    <t>02/18/2026</t>
  </si>
  <si>
    <t>02/17/2026</t>
  </si>
  <si>
    <t>02/13/2026</t>
  </si>
  <si>
    <t>01/30/2026</t>
  </si>
  <si>
    <t>01/29/2026</t>
  </si>
  <si>
    <t>01/28/2026</t>
  </si>
  <si>
    <t>01/27/2026</t>
  </si>
  <si>
    <t>01/26/2026</t>
  </si>
  <si>
    <t>01/23/2026</t>
  </si>
  <si>
    <t>01/22/2026</t>
  </si>
  <si>
    <t>01/21/2026</t>
  </si>
  <si>
    <t>01/20/2026</t>
  </si>
  <si>
    <t>01/16/2026</t>
  </si>
  <si>
    <t>01/15/2026</t>
  </si>
  <si>
    <t>01/14/2026</t>
  </si>
  <si>
    <t>01/13/2026</t>
  </si>
  <si>
    <t>12/31/2025</t>
  </si>
  <si>
    <t>12/30/2025</t>
  </si>
  <si>
    <t>12/29/2025</t>
  </si>
  <si>
    <t>12/26/2025</t>
  </si>
  <si>
    <t>12/24/2025</t>
  </si>
  <si>
    <t>12/23/2025</t>
  </si>
  <si>
    <t>12/22/2025</t>
  </si>
  <si>
    <t>12/19/2025</t>
  </si>
  <si>
    <t>12/18/2025</t>
  </si>
  <si>
    <t>12/17/2025</t>
  </si>
  <si>
    <t>12/16/2025</t>
  </si>
  <si>
    <t>12/15/2025</t>
  </si>
  <si>
    <t>11/28/2025</t>
  </si>
  <si>
    <t>11/26/2025</t>
  </si>
  <si>
    <t>11/25/2025</t>
  </si>
  <si>
    <t>11/24/2025</t>
  </si>
  <si>
    <t>11/21/2025</t>
  </si>
  <si>
    <t>11/20/2025</t>
  </si>
  <si>
    <t>11/19/2025</t>
  </si>
  <si>
    <t>11/18/2025</t>
  </si>
  <si>
    <t>11/17/2025</t>
  </si>
  <si>
    <t>11/14/2025</t>
  </si>
  <si>
    <t>11/13/2025</t>
  </si>
  <si>
    <t>10/31/2025</t>
  </si>
  <si>
    <t>10/30/2025</t>
  </si>
  <si>
    <t>10/29/2025</t>
  </si>
  <si>
    <t>10/28/2025</t>
  </si>
  <si>
    <t>10/27/2025</t>
  </si>
  <si>
    <t>10/24/2025</t>
  </si>
  <si>
    <t>10/23/2025</t>
  </si>
  <si>
    <t>10/22/2025</t>
  </si>
  <si>
    <t>10/21/2025</t>
  </si>
  <si>
    <t>10/20/2025</t>
  </si>
  <si>
    <t>10/17/2025</t>
  </si>
  <si>
    <t>10/16/2025</t>
  </si>
  <si>
    <t>10/15/2025</t>
  </si>
  <si>
    <t>10/14/2025</t>
  </si>
  <si>
    <t>10/13/2025</t>
  </si>
  <si>
    <t>09/30/2025</t>
  </si>
  <si>
    <t>09/29/2025</t>
  </si>
  <si>
    <t>09/26/2025</t>
  </si>
  <si>
    <t>09/25/2025</t>
  </si>
  <si>
    <t>09/24/2025</t>
  </si>
  <si>
    <t>09/23/2025</t>
  </si>
  <si>
    <t>09/22/2025</t>
  </si>
  <si>
    <t>09/19/2025</t>
  </si>
  <si>
    <t>09/18/2025</t>
  </si>
  <si>
    <t>09/17/2025</t>
  </si>
  <si>
    <t>09/16/2025</t>
  </si>
  <si>
    <t>09/15/2025</t>
  </si>
  <si>
    <t>08/29/2025</t>
  </si>
  <si>
    <t>08/28/2025</t>
  </si>
  <si>
    <t>08/27/2025</t>
  </si>
  <si>
    <t>08/26/2025</t>
  </si>
  <si>
    <t>08/25/2025</t>
  </si>
  <si>
    <t>08/22/2025</t>
  </si>
  <si>
    <t>08/21/2025</t>
  </si>
  <si>
    <t>08/20/2025</t>
  </si>
  <si>
    <t>08/19/2025</t>
  </si>
  <si>
    <t>08/18/2025</t>
  </si>
  <si>
    <t>08/15/2025</t>
  </si>
  <si>
    <t>08/14/2025</t>
  </si>
  <si>
    <t>08/13/2025</t>
  </si>
  <si>
    <t>07/31/2025</t>
  </si>
  <si>
    <t>07/30/2025</t>
  </si>
  <si>
    <t>07/29/2025</t>
  </si>
  <si>
    <t>07/28/2025</t>
  </si>
  <si>
    <t>07/25/2025</t>
  </si>
  <si>
    <t>07/24/2025</t>
  </si>
  <si>
    <t>07/23/2025</t>
  </si>
  <si>
    <t>07/22/2025</t>
  </si>
  <si>
    <t>07/21/2025</t>
  </si>
  <si>
    <t>07/18/2025</t>
  </si>
  <si>
    <t>07/17/2025</t>
  </si>
  <si>
    <t>07/16/2025</t>
  </si>
  <si>
    <t>07/15/2025</t>
  </si>
  <si>
    <t>07/14/2025</t>
  </si>
  <si>
    <t>06/30/2025</t>
  </si>
  <si>
    <t>06/27/2025</t>
  </si>
  <si>
    <t>06/26/2025</t>
  </si>
  <si>
    <t>06/25/2025</t>
  </si>
  <si>
    <t>06/24/2025</t>
  </si>
  <si>
    <t>06/23/2025</t>
  </si>
  <si>
    <t>06/20/2025</t>
  </si>
  <si>
    <t>06/18/2025</t>
  </si>
  <si>
    <t>06/17/2025</t>
  </si>
  <si>
    <t>06/16/2025</t>
  </si>
  <si>
    <t>06/13/2025</t>
  </si>
  <si>
    <t>05/30/2025</t>
  </si>
  <si>
    <t>05/29/2025</t>
  </si>
  <si>
    <t>05/28/2025</t>
  </si>
  <si>
    <t>05/27/2025</t>
  </si>
  <si>
    <t>05/23/2025</t>
  </si>
  <si>
    <t>05/22/2025</t>
  </si>
  <si>
    <t>05/21/2025</t>
  </si>
  <si>
    <t>05/20/2025</t>
  </si>
  <si>
    <t>05/19/2025</t>
  </si>
  <si>
    <t>Diluted Earnings per share</t>
  </si>
  <si>
    <t>Data Processing revenue</t>
  </si>
  <si>
    <t>Service revenue</t>
  </si>
  <si>
    <t>International  Transaction revenue</t>
  </si>
  <si>
    <t>Other revenue</t>
  </si>
  <si>
    <t>Q2FY26</t>
  </si>
  <si>
    <t>Client Incentives</t>
  </si>
  <si>
    <t>Gross revenue</t>
  </si>
  <si>
    <t>Payments Volume</t>
  </si>
  <si>
    <t>Cross-Border Volume Total</t>
  </si>
  <si>
    <t>Processed Transactions</t>
  </si>
  <si>
    <t>FY28(E)</t>
  </si>
  <si>
    <t>International Transaction revenue</t>
  </si>
  <si>
    <t>% of Gross Revenue</t>
  </si>
  <si>
    <t>% of Expenses</t>
  </si>
  <si>
    <t>Total debt</t>
  </si>
  <si>
    <t>Depreciation as % of sales</t>
  </si>
  <si>
    <t>Capex as % of sales</t>
  </si>
  <si>
    <t>Free Cash Flow</t>
  </si>
  <si>
    <t>Growth (%)</t>
  </si>
  <si>
    <t>Net revenue ($ mn)</t>
  </si>
  <si>
    <t>FY22 (A)</t>
  </si>
  <si>
    <t>Operating income ($ mn)</t>
  </si>
  <si>
    <t>Net income ($ mn)</t>
  </si>
  <si>
    <t>Returns to shareholders</t>
  </si>
  <si>
    <t>Share repurchases</t>
  </si>
  <si>
    <t>Dividends</t>
  </si>
  <si>
    <t>Free Cash Flow ($ mn)</t>
  </si>
  <si>
    <t>DCF</t>
  </si>
  <si>
    <t>EBIT</t>
  </si>
  <si>
    <t>Tax</t>
  </si>
  <si>
    <t>NOPAT</t>
  </si>
  <si>
    <t>D&amp;A</t>
  </si>
  <si>
    <t>Change in WC</t>
  </si>
  <si>
    <t>FCFF</t>
  </si>
  <si>
    <t>FY29(E)</t>
  </si>
  <si>
    <t>FY30(E)</t>
  </si>
  <si>
    <t>FY31(E)</t>
  </si>
  <si>
    <t>FY32(E)</t>
  </si>
  <si>
    <t>Net Revenue</t>
  </si>
  <si>
    <t>Net working capital</t>
  </si>
  <si>
    <t>% of rev</t>
  </si>
  <si>
    <t>Risk Free rate %</t>
  </si>
  <si>
    <t>Beta</t>
  </si>
  <si>
    <t>Risk Premium%</t>
  </si>
  <si>
    <t>Cost of Equity</t>
  </si>
  <si>
    <t>Cost of debt %</t>
  </si>
  <si>
    <t>Tax rate %</t>
  </si>
  <si>
    <t>Debt</t>
  </si>
  <si>
    <t>Equity</t>
  </si>
  <si>
    <t>WACC %</t>
  </si>
  <si>
    <t>PV of FCFF</t>
  </si>
  <si>
    <t>Sum of PVs</t>
  </si>
  <si>
    <t>Terminal Value</t>
  </si>
  <si>
    <t>EV</t>
  </si>
  <si>
    <t xml:space="preserve">Cash </t>
  </si>
  <si>
    <t>Equity Value</t>
  </si>
  <si>
    <t>Shares O/S</t>
  </si>
  <si>
    <t>Equity Value per Share</t>
  </si>
  <si>
    <t>VISA share price</t>
  </si>
  <si>
    <t>Upside</t>
  </si>
  <si>
    <t>Relative Valuations</t>
  </si>
  <si>
    <t>VISA</t>
  </si>
  <si>
    <t>MasterCard</t>
  </si>
  <si>
    <t>American Express</t>
  </si>
  <si>
    <t>PayPal</t>
  </si>
  <si>
    <t>MarketCap</t>
  </si>
  <si>
    <t>Revenue</t>
  </si>
  <si>
    <t>EBITDA</t>
  </si>
  <si>
    <t>EBITDA Margin%</t>
  </si>
  <si>
    <t>D/E</t>
  </si>
  <si>
    <t>EV/EBITDA</t>
  </si>
  <si>
    <t>TTM P/E</t>
  </si>
  <si>
    <t>As on 14th June 2026</t>
  </si>
  <si>
    <t>Peers Median</t>
  </si>
  <si>
    <t>Target</t>
  </si>
  <si>
    <t>2027 EPS</t>
  </si>
  <si>
    <t>P/E Based</t>
  </si>
  <si>
    <t>Blended Target Price</t>
  </si>
  <si>
    <t>Weightage</t>
  </si>
  <si>
    <t>P/E based</t>
  </si>
  <si>
    <t>TP</t>
  </si>
  <si>
    <t>Target Price</t>
  </si>
  <si>
    <t>Q1FY25 (A)</t>
  </si>
  <si>
    <t>Q2FY25 (A)</t>
  </si>
  <si>
    <t>Q3FY25 (A)</t>
  </si>
  <si>
    <t>Q4FY25 (A)</t>
  </si>
  <si>
    <t>Q1FY26 (A)</t>
  </si>
  <si>
    <t>Q2FY26 (A)</t>
  </si>
  <si>
    <t>Valuation Summary</t>
  </si>
  <si>
    <t>Methodology</t>
  </si>
  <si>
    <t>Value (USD/share)</t>
  </si>
  <si>
    <t>Weight</t>
  </si>
  <si>
    <t>Forward P/E</t>
  </si>
  <si>
    <t>DCF Assumptions</t>
  </si>
  <si>
    <t>Risk free rate %</t>
  </si>
  <si>
    <t>Risk premium%</t>
  </si>
  <si>
    <t>Cost of equity</t>
  </si>
  <si>
    <t>Date</t>
  </si>
  <si>
    <t>Stock Price</t>
  </si>
  <si>
    <t>TTM Net EPS</t>
  </si>
  <si>
    <t>PE Ratio</t>
  </si>
  <si>
    <t>2026-06-12</t>
  </si>
  <si>
    <t>2026-03-31</t>
  </si>
  <si>
    <t>2025-12-31</t>
  </si>
  <si>
    <t>2025-09-30</t>
  </si>
  <si>
    <t>2025-06-30</t>
  </si>
  <si>
    <t>2025-03-31</t>
  </si>
  <si>
    <t>2024-12-31</t>
  </si>
  <si>
    <t>2024-09-30</t>
  </si>
  <si>
    <t>2024-06-30</t>
  </si>
  <si>
    <t>2024-03-31</t>
  </si>
  <si>
    <t>2023-12-31</t>
  </si>
  <si>
    <t>2023-09-30</t>
  </si>
  <si>
    <t>2023-06-30</t>
  </si>
  <si>
    <t>2023-03-31</t>
  </si>
  <si>
    <t>2022-12-31</t>
  </si>
  <si>
    <t>2022-09-30</t>
  </si>
  <si>
    <t>2022-06-30</t>
  </si>
  <si>
    <t>2022-03-31</t>
  </si>
  <si>
    <t>2021-12-31</t>
  </si>
  <si>
    <t>2021-09-30</t>
  </si>
  <si>
    <t>2021-06-30</t>
  </si>
  <si>
    <t>2021-03-31</t>
  </si>
  <si>
    <t>2020-12-31</t>
  </si>
  <si>
    <t>2020-09-30</t>
  </si>
  <si>
    <t>2020-06-30</t>
  </si>
  <si>
    <t>2020-03-31</t>
  </si>
  <si>
    <t>Mean</t>
  </si>
  <si>
    <t xml:space="preserve"> -1 S.D.</t>
  </si>
  <si>
    <t xml:space="preserve"> +1 S.D.</t>
  </si>
  <si>
    <t>S.D.</t>
  </si>
  <si>
    <t>Income alloaction for Class A Basic Shares</t>
  </si>
  <si>
    <t>Check</t>
  </si>
  <si>
    <t>check</t>
  </si>
  <si>
    <t>Client Incentives as % of Gross Revenue</t>
  </si>
  <si>
    <t>Share Repurchase Schedule</t>
  </si>
  <si>
    <t>Average Repurchase Price ($)</t>
  </si>
  <si>
    <t xml:space="preserve">Beginning Diluted Shares </t>
  </si>
  <si>
    <t xml:space="preserve">Share Repurchases </t>
  </si>
  <si>
    <t>Shares Repurchased</t>
  </si>
  <si>
    <t xml:space="preserve">SBC / Other Dilution </t>
  </si>
  <si>
    <t>Net Share Reduction</t>
  </si>
  <si>
    <t xml:space="preserve">Ending Diluted Shares </t>
  </si>
  <si>
    <t>Annual</t>
  </si>
  <si>
    <t>Quarter</t>
  </si>
  <si>
    <t>USD mn except per share data</t>
  </si>
  <si>
    <t>Key Data</t>
  </si>
  <si>
    <t>Target Price (USD)</t>
  </si>
  <si>
    <t>Upside (%)</t>
  </si>
  <si>
    <t>Company Overview</t>
  </si>
  <si>
    <t>Visa is a global payments technology leader. Visa ranks #1 globally in card payments network, merchant acceptance, processed transactions, and cross border payment network. Its closest global competitors are Mastercard, American Express and PayPal. Visa covers 200+ countries and 150mn+ merchant locations globally as of FY25.</t>
  </si>
  <si>
    <t>Valuation and Rating</t>
  </si>
  <si>
    <t>Risks</t>
  </si>
  <si>
    <t>Visa faces regulatory risks related to interchange fees, merchant pricing, and market dominance. A global economic slowdown or geopolitical disruptions may weaken consumer spending, cross-border travel, and transaction volumes.</t>
  </si>
  <si>
    <t>Home</t>
  </si>
  <si>
    <t>Restricted cash and restricted cash equivalent</t>
  </si>
  <si>
    <t>U.S. litigation escrow</t>
  </si>
  <si>
    <t>Charts</t>
  </si>
  <si>
    <t>Expense as % Revenue</t>
  </si>
  <si>
    <t>US Corporate tax rate</t>
  </si>
  <si>
    <t>VISA is last 6 years has traded below 30x TTM P/E two times only.</t>
  </si>
  <si>
    <t>Currently its approaching the -1 S.D. range which is a good valuation support.</t>
  </si>
  <si>
    <t>Beta calculation</t>
  </si>
  <si>
    <t>Daily V Return</t>
  </si>
  <si>
    <t>Daily S&amp;P Return</t>
  </si>
  <si>
    <t xml:space="preserve"> = COVARIANCE.S(Visa_Returns,Market_Returns)
/VAR.S(Market_Returns)</t>
  </si>
  <si>
    <t xml:space="preserve"> =</t>
  </si>
  <si>
    <t>US 10 years T-Bills rate</t>
  </si>
  <si>
    <t>Calculated</t>
  </si>
  <si>
    <t>ERP by Aswath Damodaran as of April 2026</t>
  </si>
  <si>
    <t>US Long term economic growth</t>
  </si>
  <si>
    <t>Change in working capital</t>
  </si>
  <si>
    <t>Growth%</t>
  </si>
  <si>
    <t>Margin%</t>
  </si>
  <si>
    <t>Tax rate%</t>
  </si>
  <si>
    <t>% D&amp;A of rev</t>
  </si>
  <si>
    <t>Mid Year Convention</t>
  </si>
  <si>
    <t>Strong Bear Case</t>
  </si>
  <si>
    <t>20% premium on Peers Median P/E of 25.4</t>
  </si>
  <si>
    <t>Discount factor</t>
  </si>
  <si>
    <t>Enterprise Value</t>
  </si>
  <si>
    <t>Expected growth %</t>
  </si>
  <si>
    <t>Terminal growth %</t>
  </si>
  <si>
    <t>VISA earnings growth</t>
  </si>
  <si>
    <t>100bps corporate risk premium</t>
  </si>
  <si>
    <t>Less than 75% of the EV value comes from TV</t>
  </si>
  <si>
    <t>Debt to capital</t>
  </si>
  <si>
    <t>Equity to capital</t>
  </si>
  <si>
    <t>VISA's historical valuation premium over its peers is around 20%</t>
  </si>
  <si>
    <t>VISA is last 6 years has traded below 30x TTM P/E two times only</t>
  </si>
  <si>
    <t>Historical Low</t>
  </si>
  <si>
    <t>30x</t>
  </si>
  <si>
    <t>% over Median</t>
  </si>
  <si>
    <t xml:space="preserve"> -1 Standard Deviation of P/E range at 30x</t>
  </si>
  <si>
    <t>Debt Schedule</t>
  </si>
  <si>
    <t>Beginning debt</t>
  </si>
  <si>
    <t>Debt issued</t>
  </si>
  <si>
    <t>Debt repaid</t>
  </si>
  <si>
    <t>Ending debt</t>
  </si>
  <si>
    <t>Visa continues to command premium forward multiples supported by strong profitability, improving ROE profile and resilient free cash flow generation. We assign a Blended Target Price of $384. based on 70% weightage on DCF and 30% on Relative valuation. DCF target price comes at $378 based on a WACC of 6.6%.</t>
  </si>
  <si>
    <t>Forward P/E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</si>
</sst>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_ ;\-#,##0\ "/>
    <numFmt numFmtId="165" formatCode="0.0%"/>
    <numFmt numFmtId="166" formatCode="0.0"/>
    <numFmt numFmtId="167" formatCode="_ * #,##0_ ;_ * \-#,##0_ ;_ * &quot;-&quot;??_ ;_ @_ "/>
    <numFmt numFmtId="168" formatCode="_ * #,##0.0_ ;_ * \-#,##0.0_ ;_ * &quot;-&quot;??_ ;_ @_ "/>
    <numFmt numFmtId="169" formatCode="[$-14009]d\ mmmm\ yyyy;@"/>
    <numFmt numFmtId="170" formatCode="0.000"/>
    <numFmt numFmtId="171" formatCode="#,##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0"/>
      <name val="Times New Roman"/>
      <family val="1"/>
    </font>
    <font>
      <i/>
      <sz val="9"/>
      <color theme="0"/>
      <name val="Times New Roman"/>
      <family val="1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sz val="11"/>
      <color rgb="FF00B0F0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00B0F0"/>
      <name val="Times New Roman"/>
      <family val="1"/>
    </font>
    <font>
      <sz val="11"/>
      <color rgb="FF00B0F0"/>
      <name val="Calibri"/>
      <family val="2"/>
      <scheme val="minor"/>
    </font>
    <font>
      <i/>
      <sz val="10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5" fillId="0" borderId="0" xfId="0" applyFont="1"/>
    <xf numFmtId="0" fontId="6" fillId="4" borderId="0" xfId="0" applyFont="1" applyFill="1"/>
    <xf numFmtId="0" fontId="5" fillId="4" borderId="0" xfId="0" applyFont="1" applyFill="1"/>
    <xf numFmtId="0" fontId="5" fillId="3" borderId="0" xfId="0" applyFont="1" applyFill="1" applyAlignment="1">
      <alignment vertical="center"/>
    </xf>
    <xf numFmtId="166" fontId="5" fillId="4" borderId="0" xfId="0" applyNumberFormat="1" applyFont="1" applyFill="1" applyAlignment="1">
      <alignment horizontal="right" vertical="center"/>
    </xf>
    <xf numFmtId="165" fontId="5" fillId="4" borderId="0" xfId="0" applyNumberFormat="1" applyFont="1" applyFill="1" applyAlignment="1">
      <alignment horizontal="right" vertical="center"/>
    </xf>
    <xf numFmtId="165" fontId="5" fillId="4" borderId="0" xfId="1" applyNumberFormat="1" applyFont="1" applyFill="1" applyAlignment="1">
      <alignment horizontal="right" vertical="center"/>
    </xf>
    <xf numFmtId="0" fontId="7" fillId="0" borderId="0" xfId="0" applyFont="1"/>
    <xf numFmtId="0" fontId="9" fillId="2" borderId="0" xfId="0" applyFont="1" applyFill="1"/>
    <xf numFmtId="0" fontId="10" fillId="2" borderId="0" xfId="0" applyFont="1" applyFill="1"/>
    <xf numFmtId="0" fontId="9" fillId="5" borderId="0" xfId="0" applyFont="1" applyFill="1"/>
    <xf numFmtId="0" fontId="11" fillId="2" borderId="0" xfId="0" applyFont="1" applyFill="1" applyAlignment="1">
      <alignment horizontal="right"/>
    </xf>
    <xf numFmtId="3" fontId="5" fillId="4" borderId="0" xfId="0" applyNumberFormat="1" applyFont="1" applyFill="1"/>
    <xf numFmtId="3" fontId="4" fillId="4" borderId="0" xfId="0" applyNumberFormat="1" applyFont="1" applyFill="1"/>
    <xf numFmtId="165" fontId="7" fillId="4" borderId="0" xfId="1" applyNumberFormat="1" applyFont="1" applyFill="1"/>
    <xf numFmtId="0" fontId="7" fillId="4" borderId="0" xfId="0" applyFont="1" applyFill="1"/>
    <xf numFmtId="0" fontId="4" fillId="4" borderId="0" xfId="0" applyFont="1" applyFill="1"/>
    <xf numFmtId="2" fontId="5" fillId="4" borderId="0" xfId="0" applyNumberFormat="1" applyFont="1" applyFill="1"/>
    <xf numFmtId="166" fontId="5" fillId="4" borderId="0" xfId="0" applyNumberFormat="1" applyFont="1" applyFill="1"/>
    <xf numFmtId="1" fontId="5" fillId="4" borderId="0" xfId="0" applyNumberFormat="1" applyFont="1" applyFill="1"/>
    <xf numFmtId="165" fontId="5" fillId="4" borderId="0" xfId="1" applyNumberFormat="1" applyFont="1" applyFill="1"/>
    <xf numFmtId="165" fontId="5" fillId="4" borderId="0" xfId="0" applyNumberFormat="1" applyFont="1" applyFill="1"/>
    <xf numFmtId="0" fontId="0" fillId="4" borderId="0" xfId="0" applyFill="1"/>
    <xf numFmtId="0" fontId="2" fillId="4" borderId="0" xfId="0" applyFont="1" applyFill="1" applyAlignment="1">
      <alignment horizontal="right"/>
    </xf>
    <xf numFmtId="166" fontId="0" fillId="4" borderId="0" xfId="0" applyNumberFormat="1" applyFill="1"/>
    <xf numFmtId="0" fontId="17" fillId="2" borderId="0" xfId="0" applyFont="1" applyFill="1"/>
    <xf numFmtId="0" fontId="11" fillId="2" borderId="0" xfId="0" applyFont="1" applyFill="1"/>
    <xf numFmtId="0" fontId="14" fillId="4" borderId="0" xfId="0" applyFont="1" applyFill="1" applyAlignment="1">
      <alignment horizontal="right"/>
    </xf>
    <xf numFmtId="164" fontId="14" fillId="4" borderId="0" xfId="0" applyNumberFormat="1" applyFont="1" applyFill="1"/>
    <xf numFmtId="164" fontId="5" fillId="4" borderId="0" xfId="0" applyNumberFormat="1" applyFont="1" applyFill="1"/>
    <xf numFmtId="164" fontId="5" fillId="4" borderId="0" xfId="0" applyNumberFormat="1" applyFont="1" applyFill="1" applyAlignment="1">
      <alignment horizontal="right"/>
    </xf>
    <xf numFmtId="164" fontId="4" fillId="4" borderId="0" xfId="0" applyNumberFormat="1" applyFont="1" applyFill="1"/>
    <xf numFmtId="164" fontId="4" fillId="4" borderId="0" xfId="0" applyNumberFormat="1" applyFont="1" applyFill="1" applyAlignment="1">
      <alignment horizontal="right"/>
    </xf>
    <xf numFmtId="0" fontId="8" fillId="4" borderId="0" xfId="0" applyFont="1" applyFill="1"/>
    <xf numFmtId="165" fontId="7" fillId="4" borderId="0" xfId="1" applyNumberFormat="1" applyFont="1" applyFill="1" applyAlignment="1">
      <alignment horizontal="right"/>
    </xf>
    <xf numFmtId="165" fontId="15" fillId="4" borderId="0" xfId="0" applyNumberFormat="1" applyFont="1" applyFill="1"/>
    <xf numFmtId="9" fontId="5" fillId="4" borderId="0" xfId="1" applyFont="1" applyFill="1"/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165" fontId="0" fillId="4" borderId="0" xfId="0" applyNumberFormat="1" applyFill="1"/>
    <xf numFmtId="165" fontId="13" fillId="4" borderId="0" xfId="1" applyNumberFormat="1" applyFont="1" applyFill="1"/>
    <xf numFmtId="9" fontId="0" fillId="4" borderId="0" xfId="0" applyNumberFormat="1" applyFill="1"/>
    <xf numFmtId="9" fontId="5" fillId="4" borderId="0" xfId="0" applyNumberFormat="1" applyFont="1" applyFill="1"/>
    <xf numFmtId="0" fontId="5" fillId="4" borderId="0" xfId="0" applyFont="1" applyFill="1" applyAlignment="1">
      <alignment horizontal="left" indent="1"/>
    </xf>
    <xf numFmtId="0" fontId="5" fillId="4" borderId="0" xfId="0" applyFont="1" applyFill="1" applyAlignment="1">
      <alignment horizontal="left"/>
    </xf>
    <xf numFmtId="164" fontId="0" fillId="4" borderId="0" xfId="2" applyNumberFormat="1" applyFont="1" applyFill="1"/>
    <xf numFmtId="164" fontId="16" fillId="4" borderId="0" xfId="2" applyNumberFormat="1" applyFont="1" applyFill="1"/>
    <xf numFmtId="0" fontId="4" fillId="4" borderId="0" xfId="0" applyFont="1" applyFill="1" applyAlignment="1">
      <alignment horizontal="left"/>
    </xf>
    <xf numFmtId="164" fontId="2" fillId="4" borderId="0" xfId="2" applyNumberFormat="1" applyFont="1" applyFill="1"/>
    <xf numFmtId="9" fontId="2" fillId="4" borderId="0" xfId="0" applyNumberFormat="1" applyFont="1" applyFill="1"/>
    <xf numFmtId="167" fontId="0" fillId="4" borderId="0" xfId="2" applyNumberFormat="1" applyFont="1" applyFill="1"/>
    <xf numFmtId="0" fontId="14" fillId="4" borderId="0" xfId="0" applyFont="1" applyFill="1"/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wrapText="1"/>
    </xf>
    <xf numFmtId="0" fontId="19" fillId="4" borderId="0" xfId="0" applyFont="1" applyFill="1" applyAlignment="1">
      <alignment vertical="top" wrapText="1"/>
    </xf>
    <xf numFmtId="0" fontId="19" fillId="4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1" fontId="20" fillId="4" borderId="0" xfId="0" applyNumberFormat="1" applyFont="1" applyFill="1" applyAlignment="1">
      <alignment horizontal="right" vertical="center"/>
    </xf>
    <xf numFmtId="165" fontId="20" fillId="4" borderId="0" xfId="1" applyNumberFormat="1" applyFont="1" applyFill="1" applyAlignment="1">
      <alignment horizontal="right" vertical="center"/>
    </xf>
    <xf numFmtId="4" fontId="0" fillId="4" borderId="0" xfId="0" applyNumberFormat="1" applyFill="1"/>
    <xf numFmtId="14" fontId="0" fillId="4" borderId="0" xfId="0" applyNumberFormat="1" applyFill="1"/>
    <xf numFmtId="169" fontId="0" fillId="4" borderId="0" xfId="0" applyNumberFormat="1" applyFill="1"/>
    <xf numFmtId="166" fontId="0" fillId="4" borderId="0" xfId="0" applyNumberFormat="1" applyFill="1" applyAlignment="1">
      <alignment horizontal="right"/>
    </xf>
    <xf numFmtId="2" fontId="0" fillId="4" borderId="0" xfId="0" applyNumberFormat="1" applyFill="1"/>
    <xf numFmtId="165" fontId="0" fillId="4" borderId="0" xfId="1" applyNumberFormat="1" applyFont="1" applyFill="1"/>
    <xf numFmtId="0" fontId="5" fillId="4" borderId="0" xfId="0" applyFont="1" applyFill="1" applyAlignment="1">
      <alignment horizontal="right"/>
    </xf>
    <xf numFmtId="165" fontId="4" fillId="4" borderId="0" xfId="0" applyNumberFormat="1" applyFont="1" applyFill="1"/>
    <xf numFmtId="168" fontId="4" fillId="4" borderId="0" xfId="2" applyNumberFormat="1" applyFont="1" applyFill="1"/>
    <xf numFmtId="166" fontId="4" fillId="4" borderId="0" xfId="0" applyNumberFormat="1" applyFont="1" applyFill="1"/>
    <xf numFmtId="1" fontId="4" fillId="4" borderId="0" xfId="0" applyNumberFormat="1" applyFont="1" applyFill="1"/>
    <xf numFmtId="9" fontId="4" fillId="4" borderId="0" xfId="0" applyNumberFormat="1" applyFont="1" applyFill="1"/>
    <xf numFmtId="43" fontId="5" fillId="4" borderId="0" xfId="2" applyFont="1" applyFill="1" applyAlignment="1">
      <alignment horizontal="right"/>
    </xf>
    <xf numFmtId="0" fontId="5" fillId="2" borderId="0" xfId="0" applyFont="1" applyFill="1"/>
    <xf numFmtId="165" fontId="5" fillId="7" borderId="1" xfId="0" applyNumberFormat="1" applyFont="1" applyFill="1" applyBorder="1"/>
    <xf numFmtId="165" fontId="7" fillId="7" borderId="0" xfId="0" applyNumberFormat="1" applyFont="1" applyFill="1"/>
    <xf numFmtId="165" fontId="4" fillId="4" borderId="0" xfId="1" applyNumberFormat="1" applyFont="1" applyFill="1"/>
    <xf numFmtId="0" fontId="4" fillId="7" borderId="2" xfId="0" applyFont="1" applyFill="1" applyBorder="1"/>
    <xf numFmtId="0" fontId="4" fillId="7" borderId="3" xfId="0" applyFont="1" applyFill="1" applyBorder="1"/>
    <xf numFmtId="1" fontId="4" fillId="7" borderId="4" xfId="0" applyNumberFormat="1" applyFont="1" applyFill="1" applyBorder="1"/>
    <xf numFmtId="0" fontId="21" fillId="3" borderId="0" xfId="3" applyFill="1" applyAlignment="1">
      <alignment horizontal="center" vertical="center"/>
    </xf>
    <xf numFmtId="0" fontId="2" fillId="4" borderId="0" xfId="0" applyFont="1" applyFill="1"/>
    <xf numFmtId="0" fontId="0" fillId="4" borderId="0" xfId="0" applyFill="1" applyAlignment="1">
      <alignment horizontal="left"/>
    </xf>
    <xf numFmtId="164" fontId="13" fillId="4" borderId="0" xfId="0" applyNumberFormat="1" applyFont="1" applyFill="1"/>
    <xf numFmtId="170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4" fillId="4" borderId="5" xfId="0" applyFont="1" applyFill="1" applyBorder="1"/>
    <xf numFmtId="3" fontId="4" fillId="4" borderId="5" xfId="0" applyNumberFormat="1" applyFont="1" applyFill="1" applyBorder="1"/>
    <xf numFmtId="0" fontId="23" fillId="4" borderId="0" xfId="0" applyFont="1" applyFill="1"/>
    <xf numFmtId="0" fontId="2" fillId="4" borderId="0" xfId="0" applyFont="1" applyFill="1" applyAlignment="1">
      <alignment horizontal="center" wrapText="1"/>
    </xf>
    <xf numFmtId="165" fontId="0" fillId="4" borderId="0" xfId="0" applyNumberFormat="1" applyFill="1" applyAlignment="1">
      <alignment horizontal="center" vertical="center"/>
    </xf>
    <xf numFmtId="165" fontId="0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3" fontId="22" fillId="4" borderId="0" xfId="0" applyNumberFormat="1" applyFont="1" applyFill="1" applyAlignment="1">
      <alignment horizontal="center"/>
    </xf>
    <xf numFmtId="1" fontId="0" fillId="4" borderId="0" xfId="0" applyNumberFormat="1" applyFill="1" applyAlignment="1">
      <alignment vertical="center"/>
    </xf>
    <xf numFmtId="171" fontId="5" fillId="4" borderId="0" xfId="0" applyNumberFormat="1" applyFont="1" applyFill="1"/>
    <xf numFmtId="1" fontId="4" fillId="7" borderId="1" xfId="0" applyNumberFormat="1" applyFont="1" applyFill="1" applyBorder="1"/>
    <xf numFmtId="10" fontId="2" fillId="4" borderId="0" xfId="0" applyNumberFormat="1" applyFont="1" applyFill="1" applyAlignment="1">
      <alignment horizontal="right" vertical="center" wrapText="1"/>
    </xf>
    <xf numFmtId="10" fontId="2" fillId="4" borderId="0" xfId="0" applyNumberFormat="1" applyFont="1" applyFill="1" applyAlignment="1">
      <alignment vertical="center" wrapText="1"/>
    </xf>
    <xf numFmtId="0" fontId="0" fillId="4" borderId="0" xfId="0" applyFill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3" fontId="0" fillId="4" borderId="0" xfId="0" applyNumberFormat="1" applyFill="1" applyAlignment="1">
      <alignment horizontal="right" vertical="center" wrapText="1"/>
    </xf>
    <xf numFmtId="0" fontId="24" fillId="3" borderId="0" xfId="0" applyFont="1" applyFill="1"/>
    <xf numFmtId="0" fontId="22" fillId="4" borderId="0" xfId="0" applyFont="1" applyFill="1"/>
    <xf numFmtId="2" fontId="0" fillId="4" borderId="0" xfId="0" applyNumberFormat="1" applyFill="1" applyAlignment="1">
      <alignment vertical="center"/>
    </xf>
    <xf numFmtId="2" fontId="22" fillId="4" borderId="0" xfId="0" applyNumberFormat="1" applyFont="1" applyFill="1" applyAlignment="1">
      <alignment vertical="center"/>
    </xf>
    <xf numFmtId="0" fontId="13" fillId="4" borderId="0" xfId="0" applyFont="1" applyFill="1"/>
    <xf numFmtId="0" fontId="4" fillId="4" borderId="2" xfId="0" applyFont="1" applyFill="1" applyBorder="1"/>
    <xf numFmtId="2" fontId="4" fillId="4" borderId="3" xfId="0" applyNumberFormat="1" applyFont="1" applyFill="1" applyBorder="1"/>
    <xf numFmtId="166" fontId="4" fillId="4" borderId="3" xfId="0" applyNumberFormat="1" applyFont="1" applyFill="1" applyBorder="1"/>
    <xf numFmtId="0" fontId="4" fillId="4" borderId="4" xfId="0" applyFont="1" applyFill="1" applyBorder="1" applyAlignment="1">
      <alignment horizontal="right"/>
    </xf>
    <xf numFmtId="168" fontId="4" fillId="4" borderId="3" xfId="2" applyNumberFormat="1" applyFont="1" applyFill="1" applyBorder="1"/>
    <xf numFmtId="166" fontId="4" fillId="4" borderId="3" xfId="0" applyNumberFormat="1" applyFont="1" applyFill="1" applyBorder="1" applyAlignment="1">
      <alignment horizontal="right"/>
    </xf>
    <xf numFmtId="0" fontId="19" fillId="4" borderId="0" xfId="0" applyFont="1" applyFill="1" applyAlignment="1">
      <alignment horizontal="left" vertical="top" wrapText="1"/>
    </xf>
    <xf numFmtId="165" fontId="19" fillId="4" borderId="0" xfId="1" applyNumberFormat="1" applyFont="1" applyFill="1" applyAlignment="1">
      <alignment horizontal="left" vertical="top" wrapText="1"/>
    </xf>
    <xf numFmtId="0" fontId="11" fillId="6" borderId="0" xfId="0" applyFont="1" applyFill="1" applyAlignment="1">
      <alignment horizontal="center" wrapText="1"/>
    </xf>
    <xf numFmtId="0" fontId="18" fillId="6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vertical="center" wrapText="1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'Visa Historical PE'!$B$1</c:f>
              <c:strCache>
                <c:ptCount val="1"/>
                <c:pt idx="0">
                  <c:v>PE 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'Visa Historical PE'!$A$2:$A$27</c:f>
              <c:strCache>
                <c:ptCount val="26"/>
                <c:pt idx="0">
                  <c:v>2026-06-12</c:v>
                </c:pt>
                <c:pt idx="1">
                  <c:v>2026-03-31</c:v>
                </c:pt>
                <c:pt idx="2">
                  <c:v>2025-12-31</c:v>
                </c:pt>
                <c:pt idx="3">
                  <c:v>2025-09-30</c:v>
                </c:pt>
                <c:pt idx="4">
                  <c:v>2025-06-30</c:v>
                </c:pt>
                <c:pt idx="5">
                  <c:v>2025-03-31</c:v>
                </c:pt>
                <c:pt idx="6">
                  <c:v>2024-12-31</c:v>
                </c:pt>
                <c:pt idx="7">
                  <c:v>2024-09-30</c:v>
                </c:pt>
                <c:pt idx="8">
                  <c:v>2024-06-30</c:v>
                </c:pt>
                <c:pt idx="9">
                  <c:v>2024-03-31</c:v>
                </c:pt>
                <c:pt idx="10">
                  <c:v>2023-12-31</c:v>
                </c:pt>
                <c:pt idx="11">
                  <c:v>2023-09-30</c:v>
                </c:pt>
                <c:pt idx="12">
                  <c:v>2023-06-30</c:v>
                </c:pt>
                <c:pt idx="13">
                  <c:v>2023-03-31</c:v>
                </c:pt>
                <c:pt idx="14">
                  <c:v>2022-12-31</c:v>
                </c:pt>
                <c:pt idx="15">
                  <c:v>2022-09-30</c:v>
                </c:pt>
                <c:pt idx="16">
                  <c:v>2022-06-30</c:v>
                </c:pt>
                <c:pt idx="17">
                  <c:v>2022-03-31</c:v>
                </c:pt>
                <c:pt idx="18">
                  <c:v>2021-12-31</c:v>
                </c:pt>
                <c:pt idx="19">
                  <c:v>2021-09-30</c:v>
                </c:pt>
                <c:pt idx="20">
                  <c:v>2021-06-30</c:v>
                </c:pt>
                <c:pt idx="21">
                  <c:v>2021-03-31</c:v>
                </c:pt>
                <c:pt idx="22">
                  <c:v>2020-12-31</c:v>
                </c:pt>
                <c:pt idx="23">
                  <c:v>2020-09-30</c:v>
                </c:pt>
                <c:pt idx="24">
                  <c:v>2020-06-30</c:v>
                </c:pt>
                <c:pt idx="25">
                  <c:v>2020-03-31</c:v>
                </c:pt>
              </c:strCache>
            </c:strRef>
          </c:cat>
          <c:val>
            <c:numRef>
              <c:f>'Visa Historical PE'!$B$2:$B$27</c:f>
              <c:numCache>
                <c:formatCode>General</c:formatCode>
                <c:ptCount val="26"/>
                <c:pt idx="0">
                  <c:v>30.02</c:v>
                </c:pt>
                <c:pt idx="1">
                  <c:v>28.08</c:v>
                </c:pt>
                <c:pt idx="2">
                  <c:v>35.03</c:v>
                </c:pt>
                <c:pt idx="3">
                  <c:v>35.53</c:v>
                </c:pt>
                <c:pt idx="4">
                  <c:v>36.85</c:v>
                </c:pt>
                <c:pt idx="5">
                  <c:v>37.61</c:v>
                </c:pt>
                <c:pt idx="6">
                  <c:v>34.380000000000003</c:v>
                </c:pt>
                <c:pt idx="7">
                  <c:v>30.8</c:v>
                </c:pt>
                <c:pt idx="8">
                  <c:v>30.89</c:v>
                </c:pt>
                <c:pt idx="9">
                  <c:v>34.47</c:v>
                </c:pt>
                <c:pt idx="10">
                  <c:v>33.01</c:v>
                </c:pt>
                <c:pt idx="11">
                  <c:v>30.52</c:v>
                </c:pt>
                <c:pt idx="12">
                  <c:v>33.020000000000003</c:v>
                </c:pt>
                <c:pt idx="13">
                  <c:v>32.92</c:v>
                </c:pt>
                <c:pt idx="14">
                  <c:v>31.65</c:v>
                </c:pt>
                <c:pt idx="15">
                  <c:v>27.57</c:v>
                </c:pt>
                <c:pt idx="16">
                  <c:v>31.51</c:v>
                </c:pt>
                <c:pt idx="17">
                  <c:v>37.72</c:v>
                </c:pt>
                <c:pt idx="18">
                  <c:v>38.71</c:v>
                </c:pt>
                <c:pt idx="19">
                  <c:v>42.63</c:v>
                </c:pt>
                <c:pt idx="20">
                  <c:v>50.73</c:v>
                </c:pt>
                <c:pt idx="21">
                  <c:v>46.93</c:v>
                </c:pt>
                <c:pt idx="22">
                  <c:v>48.4</c:v>
                </c:pt>
                <c:pt idx="23">
                  <c:v>43.78</c:v>
                </c:pt>
                <c:pt idx="24">
                  <c:v>39.19</c:v>
                </c:pt>
                <c:pt idx="25">
                  <c:v>30.86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D-4562-A67F-2F47FFBA9C71}"/>
            </c:ext>
          </c:extLst>
        </c:ser>
        <c:ser>
          <c:idx val="1"/>
          <c:order val="1"/>
          <c:tx>
            <c:strRef>
              <c:f>'Visa Historical PE'!$C$1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'Visa Historical PE'!$A$2:$A$27</c:f>
              <c:strCache>
                <c:ptCount val="26"/>
                <c:pt idx="0">
                  <c:v>2026-06-12</c:v>
                </c:pt>
                <c:pt idx="1">
                  <c:v>2026-03-31</c:v>
                </c:pt>
                <c:pt idx="2">
                  <c:v>2025-12-31</c:v>
                </c:pt>
                <c:pt idx="3">
                  <c:v>2025-09-30</c:v>
                </c:pt>
                <c:pt idx="4">
                  <c:v>2025-06-30</c:v>
                </c:pt>
                <c:pt idx="5">
                  <c:v>2025-03-31</c:v>
                </c:pt>
                <c:pt idx="6">
                  <c:v>2024-12-31</c:v>
                </c:pt>
                <c:pt idx="7">
                  <c:v>2024-09-30</c:v>
                </c:pt>
                <c:pt idx="8">
                  <c:v>2024-06-30</c:v>
                </c:pt>
                <c:pt idx="9">
                  <c:v>2024-03-31</c:v>
                </c:pt>
                <c:pt idx="10">
                  <c:v>2023-12-31</c:v>
                </c:pt>
                <c:pt idx="11">
                  <c:v>2023-09-30</c:v>
                </c:pt>
                <c:pt idx="12">
                  <c:v>2023-06-30</c:v>
                </c:pt>
                <c:pt idx="13">
                  <c:v>2023-03-31</c:v>
                </c:pt>
                <c:pt idx="14">
                  <c:v>2022-12-31</c:v>
                </c:pt>
                <c:pt idx="15">
                  <c:v>2022-09-30</c:v>
                </c:pt>
                <c:pt idx="16">
                  <c:v>2022-06-30</c:v>
                </c:pt>
                <c:pt idx="17">
                  <c:v>2022-03-31</c:v>
                </c:pt>
                <c:pt idx="18">
                  <c:v>2021-12-31</c:v>
                </c:pt>
                <c:pt idx="19">
                  <c:v>2021-09-30</c:v>
                </c:pt>
                <c:pt idx="20">
                  <c:v>2021-06-30</c:v>
                </c:pt>
                <c:pt idx="21">
                  <c:v>2021-03-31</c:v>
                </c:pt>
                <c:pt idx="22">
                  <c:v>2020-12-31</c:v>
                </c:pt>
                <c:pt idx="23">
                  <c:v>2020-09-30</c:v>
                </c:pt>
                <c:pt idx="24">
                  <c:v>2020-06-30</c:v>
                </c:pt>
                <c:pt idx="25">
                  <c:v>2020-03-31</c:v>
                </c:pt>
              </c:strCache>
            </c:strRef>
          </c:cat>
          <c:val>
            <c:numRef>
              <c:f>'Visa Historical PE'!$C$2:$C$27</c:f>
              <c:numCache>
                <c:formatCode>0.0</c:formatCode>
                <c:ptCount val="26"/>
                <c:pt idx="0">
                  <c:v>35.877307692307689</c:v>
                </c:pt>
                <c:pt idx="1">
                  <c:v>35.877307692307689</c:v>
                </c:pt>
                <c:pt idx="2">
                  <c:v>35.877307692307689</c:v>
                </c:pt>
                <c:pt idx="3">
                  <c:v>35.877307692307689</c:v>
                </c:pt>
                <c:pt idx="4">
                  <c:v>35.877307692307689</c:v>
                </c:pt>
                <c:pt idx="5">
                  <c:v>35.877307692307689</c:v>
                </c:pt>
                <c:pt idx="6">
                  <c:v>35.877307692307689</c:v>
                </c:pt>
                <c:pt idx="7">
                  <c:v>35.877307692307689</c:v>
                </c:pt>
                <c:pt idx="8">
                  <c:v>35.877307692307689</c:v>
                </c:pt>
                <c:pt idx="9">
                  <c:v>35.877307692307689</c:v>
                </c:pt>
                <c:pt idx="10">
                  <c:v>35.877307692307689</c:v>
                </c:pt>
                <c:pt idx="11">
                  <c:v>35.877307692307689</c:v>
                </c:pt>
                <c:pt idx="12">
                  <c:v>35.877307692307689</c:v>
                </c:pt>
                <c:pt idx="13">
                  <c:v>35.877307692307689</c:v>
                </c:pt>
                <c:pt idx="14">
                  <c:v>35.877307692307689</c:v>
                </c:pt>
                <c:pt idx="15">
                  <c:v>35.877307692307689</c:v>
                </c:pt>
                <c:pt idx="16">
                  <c:v>35.877307692307689</c:v>
                </c:pt>
                <c:pt idx="17">
                  <c:v>35.877307692307689</c:v>
                </c:pt>
                <c:pt idx="18">
                  <c:v>35.877307692307689</c:v>
                </c:pt>
                <c:pt idx="19">
                  <c:v>35.877307692307689</c:v>
                </c:pt>
                <c:pt idx="20">
                  <c:v>35.877307692307689</c:v>
                </c:pt>
                <c:pt idx="21">
                  <c:v>35.877307692307689</c:v>
                </c:pt>
                <c:pt idx="22">
                  <c:v>35.877307692307689</c:v>
                </c:pt>
                <c:pt idx="23">
                  <c:v>35.877307692307689</c:v>
                </c:pt>
                <c:pt idx="24">
                  <c:v>35.877307692307689</c:v>
                </c:pt>
                <c:pt idx="25">
                  <c:v>35.877307692307689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D-4562-A67F-2F47FFBA9C71}"/>
            </c:ext>
          </c:extLst>
        </c:ser>
        <c:ser>
          <c:idx val="2"/>
          <c:order val="2"/>
          <c:tx>
            <c:strRef>
              <c:f>'Visa Historical PE'!$D$1</c:f>
              <c:strCache>
                <c:ptCount val="1"/>
                <c:pt idx="0">
                  <c:v> +1 S.D.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'Visa Historical PE'!$A$2:$A$27</c:f>
              <c:strCache>
                <c:ptCount val="26"/>
                <c:pt idx="0">
                  <c:v>2026-06-12</c:v>
                </c:pt>
                <c:pt idx="1">
                  <c:v>2026-03-31</c:v>
                </c:pt>
                <c:pt idx="2">
                  <c:v>2025-12-31</c:v>
                </c:pt>
                <c:pt idx="3">
                  <c:v>2025-09-30</c:v>
                </c:pt>
                <c:pt idx="4">
                  <c:v>2025-06-30</c:v>
                </c:pt>
                <c:pt idx="5">
                  <c:v>2025-03-31</c:v>
                </c:pt>
                <c:pt idx="6">
                  <c:v>2024-12-31</c:v>
                </c:pt>
                <c:pt idx="7">
                  <c:v>2024-09-30</c:v>
                </c:pt>
                <c:pt idx="8">
                  <c:v>2024-06-30</c:v>
                </c:pt>
                <c:pt idx="9">
                  <c:v>2024-03-31</c:v>
                </c:pt>
                <c:pt idx="10">
                  <c:v>2023-12-31</c:v>
                </c:pt>
                <c:pt idx="11">
                  <c:v>2023-09-30</c:v>
                </c:pt>
                <c:pt idx="12">
                  <c:v>2023-06-30</c:v>
                </c:pt>
                <c:pt idx="13">
                  <c:v>2023-03-31</c:v>
                </c:pt>
                <c:pt idx="14">
                  <c:v>2022-12-31</c:v>
                </c:pt>
                <c:pt idx="15">
                  <c:v>2022-09-30</c:v>
                </c:pt>
                <c:pt idx="16">
                  <c:v>2022-06-30</c:v>
                </c:pt>
                <c:pt idx="17">
                  <c:v>2022-03-31</c:v>
                </c:pt>
                <c:pt idx="18">
                  <c:v>2021-12-31</c:v>
                </c:pt>
                <c:pt idx="19">
                  <c:v>2021-09-30</c:v>
                </c:pt>
                <c:pt idx="20">
                  <c:v>2021-06-30</c:v>
                </c:pt>
                <c:pt idx="21">
                  <c:v>2021-03-31</c:v>
                </c:pt>
                <c:pt idx="22">
                  <c:v>2020-12-31</c:v>
                </c:pt>
                <c:pt idx="23">
                  <c:v>2020-09-30</c:v>
                </c:pt>
                <c:pt idx="24">
                  <c:v>2020-06-30</c:v>
                </c:pt>
                <c:pt idx="25">
                  <c:v>2020-03-31</c:v>
                </c:pt>
              </c:strCache>
            </c:strRef>
          </c:cat>
          <c:val>
            <c:numRef>
              <c:f>'Visa Historical PE'!$D$2:$D$27</c:f>
              <c:numCache>
                <c:formatCode>0.0</c:formatCode>
                <c:ptCount val="26"/>
                <c:pt idx="0">
                  <c:v>41.984539570418939</c:v>
                </c:pt>
                <c:pt idx="1">
                  <c:v>41.984539570418939</c:v>
                </c:pt>
                <c:pt idx="2">
                  <c:v>41.984539570418939</c:v>
                </c:pt>
                <c:pt idx="3">
                  <c:v>41.984539570418939</c:v>
                </c:pt>
                <c:pt idx="4">
                  <c:v>41.984539570418939</c:v>
                </c:pt>
                <c:pt idx="5">
                  <c:v>41.984539570418939</c:v>
                </c:pt>
                <c:pt idx="6">
                  <c:v>41.984539570418939</c:v>
                </c:pt>
                <c:pt idx="7">
                  <c:v>41.984539570418939</c:v>
                </c:pt>
                <c:pt idx="8">
                  <c:v>41.984539570418939</c:v>
                </c:pt>
                <c:pt idx="9">
                  <c:v>41.984539570418939</c:v>
                </c:pt>
                <c:pt idx="10">
                  <c:v>41.984539570418939</c:v>
                </c:pt>
                <c:pt idx="11">
                  <c:v>41.984539570418939</c:v>
                </c:pt>
                <c:pt idx="12">
                  <c:v>41.984539570418939</c:v>
                </c:pt>
                <c:pt idx="13">
                  <c:v>41.984539570418939</c:v>
                </c:pt>
                <c:pt idx="14">
                  <c:v>41.984539570418939</c:v>
                </c:pt>
                <c:pt idx="15">
                  <c:v>41.984539570418939</c:v>
                </c:pt>
                <c:pt idx="16">
                  <c:v>41.984539570418939</c:v>
                </c:pt>
                <c:pt idx="17">
                  <c:v>41.984539570418939</c:v>
                </c:pt>
                <c:pt idx="18">
                  <c:v>41.984539570418939</c:v>
                </c:pt>
                <c:pt idx="19">
                  <c:v>41.984539570418939</c:v>
                </c:pt>
                <c:pt idx="20">
                  <c:v>41.984539570418939</c:v>
                </c:pt>
                <c:pt idx="21">
                  <c:v>41.984539570418939</c:v>
                </c:pt>
                <c:pt idx="22">
                  <c:v>41.984539570418939</c:v>
                </c:pt>
                <c:pt idx="23">
                  <c:v>41.984539570418939</c:v>
                </c:pt>
                <c:pt idx="24">
                  <c:v>41.984539570418939</c:v>
                </c:pt>
                <c:pt idx="25">
                  <c:v>41.984539570418939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D-4562-A67F-2F47FFBA9C71}"/>
            </c:ext>
          </c:extLst>
        </c:ser>
        <c:ser>
          <c:idx val="3"/>
          <c:order val="3"/>
          <c:tx>
            <c:strRef>
              <c:f>'Visa Historical PE'!$E$1</c:f>
              <c:strCache>
                <c:ptCount val="1"/>
                <c:pt idx="0">
                  <c:v> -1 S.D.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'Visa Historical PE'!$A$2:$A$27</c:f>
              <c:strCache>
                <c:ptCount val="26"/>
                <c:pt idx="0">
                  <c:v>2026-06-12</c:v>
                </c:pt>
                <c:pt idx="1">
                  <c:v>2026-03-31</c:v>
                </c:pt>
                <c:pt idx="2">
                  <c:v>2025-12-31</c:v>
                </c:pt>
                <c:pt idx="3">
                  <c:v>2025-09-30</c:v>
                </c:pt>
                <c:pt idx="4">
                  <c:v>2025-06-30</c:v>
                </c:pt>
                <c:pt idx="5">
                  <c:v>2025-03-31</c:v>
                </c:pt>
                <c:pt idx="6">
                  <c:v>2024-12-31</c:v>
                </c:pt>
                <c:pt idx="7">
                  <c:v>2024-09-30</c:v>
                </c:pt>
                <c:pt idx="8">
                  <c:v>2024-06-30</c:v>
                </c:pt>
                <c:pt idx="9">
                  <c:v>2024-03-31</c:v>
                </c:pt>
                <c:pt idx="10">
                  <c:v>2023-12-31</c:v>
                </c:pt>
                <c:pt idx="11">
                  <c:v>2023-09-30</c:v>
                </c:pt>
                <c:pt idx="12">
                  <c:v>2023-06-30</c:v>
                </c:pt>
                <c:pt idx="13">
                  <c:v>2023-03-31</c:v>
                </c:pt>
                <c:pt idx="14">
                  <c:v>2022-12-31</c:v>
                </c:pt>
                <c:pt idx="15">
                  <c:v>2022-09-30</c:v>
                </c:pt>
                <c:pt idx="16">
                  <c:v>2022-06-30</c:v>
                </c:pt>
                <c:pt idx="17">
                  <c:v>2022-03-31</c:v>
                </c:pt>
                <c:pt idx="18">
                  <c:v>2021-12-31</c:v>
                </c:pt>
                <c:pt idx="19">
                  <c:v>2021-09-30</c:v>
                </c:pt>
                <c:pt idx="20">
                  <c:v>2021-06-30</c:v>
                </c:pt>
                <c:pt idx="21">
                  <c:v>2021-03-31</c:v>
                </c:pt>
                <c:pt idx="22">
                  <c:v>2020-12-31</c:v>
                </c:pt>
                <c:pt idx="23">
                  <c:v>2020-09-30</c:v>
                </c:pt>
                <c:pt idx="24">
                  <c:v>2020-06-30</c:v>
                </c:pt>
                <c:pt idx="25">
                  <c:v>2020-03-31</c:v>
                </c:pt>
              </c:strCache>
            </c:strRef>
          </c:cat>
          <c:val>
            <c:numRef>
              <c:f>'Visa Historical PE'!$E$2:$E$27</c:f>
              <c:numCache>
                <c:formatCode>0.0</c:formatCode>
                <c:ptCount val="26"/>
                <c:pt idx="0">
                  <c:v>29.770075814196439</c:v>
                </c:pt>
                <c:pt idx="1">
                  <c:v>29.770075814196439</c:v>
                </c:pt>
                <c:pt idx="2">
                  <c:v>29.770075814196439</c:v>
                </c:pt>
                <c:pt idx="3">
                  <c:v>29.770075814196439</c:v>
                </c:pt>
                <c:pt idx="4">
                  <c:v>29.770075814196439</c:v>
                </c:pt>
                <c:pt idx="5">
                  <c:v>29.770075814196439</c:v>
                </c:pt>
                <c:pt idx="6">
                  <c:v>29.770075814196439</c:v>
                </c:pt>
                <c:pt idx="7">
                  <c:v>29.770075814196439</c:v>
                </c:pt>
                <c:pt idx="8">
                  <c:v>29.770075814196439</c:v>
                </c:pt>
                <c:pt idx="9">
                  <c:v>29.770075814196439</c:v>
                </c:pt>
                <c:pt idx="10">
                  <c:v>29.770075814196439</c:v>
                </c:pt>
                <c:pt idx="11">
                  <c:v>29.770075814196439</c:v>
                </c:pt>
                <c:pt idx="12">
                  <c:v>29.770075814196439</c:v>
                </c:pt>
                <c:pt idx="13">
                  <c:v>29.770075814196439</c:v>
                </c:pt>
                <c:pt idx="14">
                  <c:v>29.770075814196439</c:v>
                </c:pt>
                <c:pt idx="15">
                  <c:v>29.770075814196439</c:v>
                </c:pt>
                <c:pt idx="16">
                  <c:v>29.770075814196439</c:v>
                </c:pt>
                <c:pt idx="17">
                  <c:v>29.770075814196439</c:v>
                </c:pt>
                <c:pt idx="18">
                  <c:v>29.770075814196439</c:v>
                </c:pt>
                <c:pt idx="19">
                  <c:v>29.770075814196439</c:v>
                </c:pt>
                <c:pt idx="20">
                  <c:v>29.770075814196439</c:v>
                </c:pt>
                <c:pt idx="21">
                  <c:v>29.770075814196439</c:v>
                </c:pt>
                <c:pt idx="22">
                  <c:v>29.770075814196439</c:v>
                </c:pt>
                <c:pt idx="23">
                  <c:v>29.770075814196439</c:v>
                </c:pt>
                <c:pt idx="24">
                  <c:v>29.770075814196439</c:v>
                </c:pt>
                <c:pt idx="25">
                  <c:v>29.770075814196439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1D-4562-A67F-2F47FFBA9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8389344"/>
        <c:axId val="1388389824"/>
      </c:lineChart>
      <c:catAx>
        <c:axId val="138838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8389824"/>
        <c:crosses val="autoZero"/>
        <c:auto val="1"/>
        <c:lblAlgn val="ctr"/>
        <c:lblOffset val="100"/>
        <c:noMultiLvlLbl val="0"/>
      </c:catAx>
      <c:valAx>
        <c:axId val="1388389824"/>
        <c:scaling>
          <c:orientation val="minMax"/>
          <c:min val="2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8838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RoE</a:t>
            </a:r>
            <a:r>
              <a:rPr lang="en-IN" baseline="0"/>
              <a:t> (%) and Net Debt/Equity (%)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charts!$B$105</c:f>
              <c:strCache>
                <c:ptCount val="1"/>
                <c:pt idx="0">
                  <c:v>RoE%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charts!$C$104:$H$104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charts!$C$105:$H$105</c:f>
              <c:numCache>
                <c:formatCode>0.0%</c:formatCode>
                <c:ptCount val="6"/>
                <c:pt idx="0">
                  <c:v>0.44595048150156197</c:v>
                </c:pt>
                <c:pt idx="1">
                  <c:v>0.50445869637427498</c:v>
                </c:pt>
                <c:pt idx="2">
                  <c:v>0.52910918251602523</c:v>
                </c:pt>
                <c:pt idx="3">
                  <c:v>0.53544653071141424</c:v>
                </c:pt>
                <c:pt idx="4">
                  <c:v>0.54461171399678099</c:v>
                </c:pt>
                <c:pt idx="5">
                  <c:v>0.57103650356853575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C-41A3-8C2F-7684865F6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64944"/>
        <c:axId val="479765424"/>
      </c:barChart>
      <c:barChart>
        <c:barDir val="col"/>
        <c:grouping val="clustered"/>
        <c:varyColors val="0"/>
        <c:ser>
          <c:idx val="1"/>
          <c:order val="1"/>
          <c:tx>
            <c:strRef>
              <c:f>charts!$B$106</c:f>
              <c:strCache>
                <c:ptCount val="1"/>
                <c:pt idx="0">
                  <c:v>Net Debt/Equity%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charts!$C$104:$H$104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charts!$C$106:$H$106</c:f>
              <c:numCache>
                <c:formatCode>0.0%</c:formatCode>
                <c:ptCount val="6"/>
                <c:pt idx="0">
                  <c:v>6.2298298608421759E-2</c:v>
                </c:pt>
                <c:pt idx="1">
                  <c:v>0.14748192247745101</c:v>
                </c:pt>
                <c:pt idx="2">
                  <c:v>0.13234324302935979</c:v>
                </c:pt>
                <c:pt idx="3">
                  <c:v>9.4198899157084279E-2</c:v>
                </c:pt>
                <c:pt idx="4">
                  <c:v>4.4280144121475164E-2</c:v>
                </c:pt>
                <c:pt idx="5">
                  <c:v>2.3314530375382333E-2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DC-41A3-8C2F-7684865F6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0"/>
        <c:axId val="1052842080"/>
        <c:axId val="1052847840"/>
      </c:barChart>
      <c:catAx>
        <c:axId val="47976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65424"/>
        <c:crosses val="autoZero"/>
        <c:auto val="1"/>
        <c:lblAlgn val="ctr"/>
        <c:lblOffset val="100"/>
        <c:noMultiLvlLbl val="0"/>
      </c:catAx>
      <c:valAx>
        <c:axId val="47976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64944"/>
        <c:crosses val="autoZero"/>
        <c:crossBetween val="between"/>
      </c:valAx>
      <c:valAx>
        <c:axId val="10528478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2842080"/>
        <c:crosses val="max"/>
        <c:crossBetween val="between"/>
      </c:valAx>
      <c:catAx>
        <c:axId val="105284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284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58005249343835"/>
          <c:y val="6.2817876932050168E-2"/>
          <c:w val="0.43250678040244966"/>
          <c:h val="0.72084463400408272"/>
        </c:manualLayout>
      </c:layout>
      <c:pieChart>
        <c:varyColors val="1"/>
        <c:ser>
          <c:idx val="0"/>
          <c:order val="0"/>
          <c:tx>
            <c:strRef>
              <c:f>charts!$C$1</c:f>
              <c:strCache>
                <c:ptCount val="1"/>
                <c:pt idx="0">
                  <c:v>Q2FY26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2B-404E-B47D-6A90E2F8E8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2B-404E-B47D-6A90E2F8E8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2B-404E-B47D-6A90E2F8E8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2B-404E-B47D-6A90E2F8E8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charts!$B$2:$B$5</c:f>
              <c:strCache>
                <c:ptCount val="4"/>
                <c:pt idx="0">
                  <c:v>Service revenue</c:v>
                </c:pt>
                <c:pt idx="1">
                  <c:v>Data Processing revenue</c:v>
                </c:pt>
                <c:pt idx="2">
                  <c:v>International  Transaction revenue</c:v>
                </c:pt>
                <c:pt idx="3">
                  <c:v>Other revenue</c:v>
                </c:pt>
              </c:strCache>
            </c:strRef>
          </c:cat>
          <c:val>
            <c:numRef>
              <c:f>charts!$C$2:$C$5</c:f>
              <c:numCache>
                <c:formatCode>0.0%</c:formatCode>
                <c:ptCount val="4"/>
                <c:pt idx="0">
                  <c:v>0.32187399030694669</c:v>
                </c:pt>
                <c:pt idx="1">
                  <c:v>0.35819063004846524</c:v>
                </c:pt>
                <c:pt idx="2">
                  <c:v>0.23463651050080775</c:v>
                </c:pt>
                <c:pt idx="3">
                  <c:v>8.5298869143780293E-2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5-414A-AB51-20CB81E46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Business Drivers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charts!$B$18</c:f>
              <c:strCache>
                <c:ptCount val="1"/>
                <c:pt idx="0">
                  <c:v>Payments Volume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charts!$D$17:$I$17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charts!$D$18:$I$18</c:f>
              <c:numCache>
                <c:formatCode>0%</c:formatCode>
                <c:ptCount val="6"/>
                <c:pt idx="0">
                  <c:v>0.09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8-4F90-8699-9BD80A9748F2}"/>
            </c:ext>
          </c:extLst>
        </c:ser>
        <c:ser>
          <c:idx val="1"/>
          <c:order val="1"/>
          <c:tx>
            <c:strRef>
              <c:f>charts!$B$19</c:f>
              <c:strCache>
                <c:ptCount val="1"/>
                <c:pt idx="0">
                  <c:v>Cross-Border Volume 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charts!$D$17:$I$17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charts!$D$19:$I$19</c:f>
              <c:numCache>
                <c:formatCode>0%</c:formatCode>
                <c:ptCount val="6"/>
                <c:pt idx="0">
                  <c:v>0.2</c:v>
                </c:pt>
                <c:pt idx="1">
                  <c:v>0.15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8-4F90-8699-9BD80A9748F2}"/>
            </c:ext>
          </c:extLst>
        </c:ser>
        <c:ser>
          <c:idx val="2"/>
          <c:order val="2"/>
          <c:tx>
            <c:strRef>
              <c:f>charts!$B$20</c:f>
              <c:strCache>
                <c:ptCount val="1"/>
                <c:pt idx="0">
                  <c:v>Processed Transactions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charts!$D$17:$I$17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charts!$D$20:$I$20</c:f>
              <c:numCache>
                <c:formatCode>0%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8-4F90-8699-9BD80A974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8616559"/>
        <c:axId val="2058612239"/>
      </c:barChart>
      <c:catAx>
        <c:axId val="2058616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8612239"/>
        <c:crosses val="autoZero"/>
        <c:auto val="1"/>
        <c:lblAlgn val="ctr"/>
        <c:lblOffset val="100"/>
        <c:noMultiLvlLbl val="0"/>
      </c:catAx>
      <c:valAx>
        <c:axId val="2058612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8616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Stable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charts!$B$32</c:f>
              <c:strCache>
                <c:ptCount val="1"/>
                <c:pt idx="0">
                  <c:v>Net revenue ($ mn)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charts!$C$31:$H$31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charts!$C$32:$H$32</c:f>
              <c:numCache>
                <c:formatCode>#,##0_ ;\-#,##0\ </c:formatCode>
                <c:ptCount val="6"/>
                <c:pt idx="0">
                  <c:v>32653</c:v>
                </c:pt>
                <c:pt idx="1">
                  <c:v>35926</c:v>
                </c:pt>
                <c:pt idx="2">
                  <c:v>40000</c:v>
                </c:pt>
                <c:pt idx="3">
                  <c:v>44400.000000000007</c:v>
                </c:pt>
                <c:pt idx="4">
                  <c:v>48840.000000000015</c:v>
                </c:pt>
                <c:pt idx="5">
                  <c:v>54212.400000000023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F-48E0-B17A-AE050CB7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5080656"/>
        <c:axId val="985080176"/>
      </c:barChart>
      <c:lineChart>
        <c:grouping val="standard"/>
        <c:varyColors val="0"/>
        <c:ser>
          <c:idx val="1"/>
          <c:order val="1"/>
          <c:tx>
            <c:strRef>
              <c:f>charts!$B$33</c:f>
              <c:strCache>
                <c:ptCount val="1"/>
                <c:pt idx="0">
                  <c:v>Growth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charts!$C$31:$H$31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charts!$C$33:$H$33</c:f>
              <c:numCache>
                <c:formatCode>0.0%</c:formatCode>
                <c:ptCount val="6"/>
                <c:pt idx="0">
                  <c:v>0.114</c:v>
                </c:pt>
                <c:pt idx="1">
                  <c:v>0.10023581294214923</c:v>
                </c:pt>
                <c:pt idx="2">
                  <c:v>0.11339976618604908</c:v>
                </c:pt>
                <c:pt idx="3">
                  <c:v>0.1100000000000001</c:v>
                </c:pt>
                <c:pt idx="4">
                  <c:v>0.10000000000000009</c:v>
                </c:pt>
                <c:pt idx="5">
                  <c:v>0.1100000000000001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5F-48E0-B17A-AE050CB7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147616"/>
        <c:axId val="986148096"/>
      </c:lineChart>
      <c:catAx>
        <c:axId val="98508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80176"/>
        <c:crosses val="autoZero"/>
        <c:auto val="1"/>
        <c:lblAlgn val="ctr"/>
        <c:lblOffset val="100"/>
        <c:noMultiLvlLbl val="0"/>
      </c:catAx>
      <c:valAx>
        <c:axId val="985080176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80656"/>
        <c:crosses val="autoZero"/>
        <c:crossBetween val="between"/>
        <c:majorUnit val="10000"/>
      </c:valAx>
      <c:valAx>
        <c:axId val="9861480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147616"/>
        <c:crosses val="max"/>
        <c:crossBetween val="between"/>
      </c:valAx>
      <c:catAx>
        <c:axId val="986147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6148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Segment</a:t>
            </a:r>
            <a:r>
              <a:rPr lang="en-IN" baseline="0"/>
              <a:t> Revenue ($ mn)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charts!$B$47</c:f>
              <c:strCache>
                <c:ptCount val="1"/>
                <c:pt idx="0">
                  <c:v>Service 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charts!$C$46:$H$46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charts!$C$47:$H$47</c:f>
              <c:numCache>
                <c:formatCode>_ * #,##0_ ;_ * \-#,##0_ ;_ * "-"??_ ;_ @_ </c:formatCode>
                <c:ptCount val="6"/>
                <c:pt idx="0">
                  <c:v>14826</c:v>
                </c:pt>
                <c:pt idx="1">
                  <c:v>16114</c:v>
                </c:pt>
                <c:pt idx="2">
                  <c:v>17539</c:v>
                </c:pt>
                <c:pt idx="3">
                  <c:v>18942.120000000003</c:v>
                </c:pt>
                <c:pt idx="4">
                  <c:v>20646.910800000005</c:v>
                </c:pt>
                <c:pt idx="5">
                  <c:v>22505.132772000008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FA-46C3-BDCA-2CB88BA9BD38}"/>
            </c:ext>
          </c:extLst>
        </c:ser>
        <c:ser>
          <c:idx val="1"/>
          <c:order val="1"/>
          <c:tx>
            <c:strRef>
              <c:f>charts!$B$48</c:f>
              <c:strCache>
                <c:ptCount val="1"/>
                <c:pt idx="0">
                  <c:v>Data Processing revenue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charts!$C$46:$H$46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charts!$C$48:$H$48</c:f>
              <c:numCache>
                <c:formatCode>_ * #,##0_ ;_ * \-#,##0_ ;_ * "-"??_ ;_ @_ </c:formatCode>
                <c:ptCount val="6"/>
                <c:pt idx="0">
                  <c:v>16007</c:v>
                </c:pt>
                <c:pt idx="1">
                  <c:v>17714</c:v>
                </c:pt>
                <c:pt idx="2">
                  <c:v>19993</c:v>
                </c:pt>
                <c:pt idx="3">
                  <c:v>21992.300000000003</c:v>
                </c:pt>
                <c:pt idx="4">
                  <c:v>24191.530000000006</c:v>
                </c:pt>
                <c:pt idx="5">
                  <c:v>26610.683000000008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FA-46C3-BDCA-2CB88BA9BD38}"/>
            </c:ext>
          </c:extLst>
        </c:ser>
        <c:ser>
          <c:idx val="2"/>
          <c:order val="2"/>
          <c:tx>
            <c:strRef>
              <c:f>charts!$B$49</c:f>
              <c:strCache>
                <c:ptCount val="1"/>
                <c:pt idx="0">
                  <c:v>International Transaction revenue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charts!$C$46:$H$46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charts!$C$49:$H$49</c:f>
              <c:numCache>
                <c:formatCode>_ * #,##0_ ;_ * \-#,##0_ ;_ * "-"??_ ;_ @_ </c:formatCode>
                <c:ptCount val="6"/>
                <c:pt idx="0">
                  <c:v>11638</c:v>
                </c:pt>
                <c:pt idx="1">
                  <c:v>12665</c:v>
                </c:pt>
                <c:pt idx="2">
                  <c:v>14166</c:v>
                </c:pt>
                <c:pt idx="3">
                  <c:v>16149.240000000002</c:v>
                </c:pt>
                <c:pt idx="4">
                  <c:v>18571.626</c:v>
                </c:pt>
                <c:pt idx="5">
                  <c:v>21914.518679999997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FA-46C3-BDCA-2CB88BA9BD38}"/>
            </c:ext>
          </c:extLst>
        </c:ser>
        <c:ser>
          <c:idx val="3"/>
          <c:order val="3"/>
          <c:tx>
            <c:strRef>
              <c:f>charts!$B$50</c:f>
              <c:strCache>
                <c:ptCount val="1"/>
                <c:pt idx="0">
                  <c:v>Other revenue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charts!$C$46:$H$46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charts!$C$50:$H$50</c:f>
              <c:numCache>
                <c:formatCode>_ * #,##0_ ;_ * \-#,##0_ ;_ * "-"??_ ;_ @_ </c:formatCode>
                <c:ptCount val="6"/>
                <c:pt idx="0">
                  <c:v>2479</c:v>
                </c:pt>
                <c:pt idx="1">
                  <c:v>3197</c:v>
                </c:pt>
                <c:pt idx="2">
                  <c:v>4053</c:v>
                </c:pt>
                <c:pt idx="3">
                  <c:v>5068</c:v>
                </c:pt>
                <c:pt idx="4">
                  <c:v>5828.2</c:v>
                </c:pt>
                <c:pt idx="5">
                  <c:v>6702.4299999999994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FA-46C3-BDCA-2CB88BA9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9244128"/>
        <c:axId val="1069243648"/>
      </c:barChart>
      <c:catAx>
        <c:axId val="10692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243648"/>
        <c:crosses val="autoZero"/>
        <c:auto val="1"/>
        <c:lblAlgn val="ctr"/>
        <c:lblOffset val="100"/>
        <c:noMultiLvlLbl val="0"/>
      </c:catAx>
      <c:valAx>
        <c:axId val="10692436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24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60542432195976"/>
          <c:y val="0.82291557305336838"/>
          <c:w val="0.79401137357830276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Industry Leading Margin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charts!$B$62</c:f>
              <c:strCache>
                <c:ptCount val="1"/>
                <c:pt idx="0">
                  <c:v>Operating income ($ mn)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charts!$C$61:$H$61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charts!$C$62:$H$62</c:f>
              <c:numCache>
                <c:formatCode>_ * #,##0_ ;_ * \-#,##0_ ;_ * "-"??_ ;_ @_ </c:formatCode>
                <c:ptCount val="6"/>
                <c:pt idx="0">
                  <c:v>21000</c:v>
                </c:pt>
                <c:pt idx="1">
                  <c:v>23595</c:v>
                </c:pt>
                <c:pt idx="2">
                  <c:v>23994</c:v>
                </c:pt>
                <c:pt idx="3">
                  <c:v>26873.430000000008</c:v>
                </c:pt>
                <c:pt idx="4">
                  <c:v>29736.038700000012</c:v>
                </c:pt>
                <c:pt idx="5">
                  <c:v>33389.08218300002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F-440D-978E-FD8A97137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9252336"/>
        <c:axId val="1069254256"/>
      </c:barChart>
      <c:lineChart>
        <c:grouping val="standard"/>
        <c:varyColors val="0"/>
        <c:ser>
          <c:idx val="1"/>
          <c:order val="1"/>
          <c:tx>
            <c:strRef>
              <c:f>charts!$B$63</c:f>
              <c:strCache>
                <c:ptCount val="1"/>
                <c:pt idx="0">
                  <c:v>% Margin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charts!$C$61:$H$61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charts!$C$63:$H$63</c:f>
              <c:numCache>
                <c:formatCode>0.0%</c:formatCode>
                <c:ptCount val="6"/>
                <c:pt idx="0">
                  <c:v>0.64312620586163594</c:v>
                </c:pt>
                <c:pt idx="1">
                  <c:v>0.65676668707899566</c:v>
                </c:pt>
                <c:pt idx="2">
                  <c:v>0.59984999999999999</c:v>
                </c:pt>
                <c:pt idx="3">
                  <c:v>0.60525743243243246</c:v>
                </c:pt>
                <c:pt idx="4">
                  <c:v>0.6088460012285013</c:v>
                </c:pt>
                <c:pt idx="5">
                  <c:v>0.61589382102618595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1F-440D-978E-FD8A97137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255216"/>
        <c:axId val="1069253296"/>
      </c:lineChart>
      <c:catAx>
        <c:axId val="106925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254256"/>
        <c:crosses val="autoZero"/>
        <c:auto val="1"/>
        <c:lblAlgn val="ctr"/>
        <c:lblOffset val="100"/>
        <c:noMultiLvlLbl val="0"/>
      </c:catAx>
      <c:valAx>
        <c:axId val="106925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252336"/>
        <c:crosses val="autoZero"/>
        <c:crossBetween val="between"/>
      </c:valAx>
      <c:valAx>
        <c:axId val="10692532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255216"/>
        <c:crosses val="max"/>
        <c:crossBetween val="between"/>
        <c:majorUnit val="2.0000000000000004E-2"/>
      </c:valAx>
      <c:catAx>
        <c:axId val="1069255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69253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Strong Return Profile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charts!$B$79</c:f>
              <c:strCache>
                <c:ptCount val="1"/>
                <c:pt idx="0">
                  <c:v>Net income ($ mn)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charts!$C$78:$H$78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charts!$C$79:$H$79</c:f>
              <c:numCache>
                <c:formatCode>_ * #,##0_ ;_ * \-#,##0_ ;_ * "-"??_ ;_ @_ </c:formatCode>
                <c:ptCount val="6"/>
                <c:pt idx="0">
                  <c:v>17273</c:v>
                </c:pt>
                <c:pt idx="1">
                  <c:v>19743</c:v>
                </c:pt>
                <c:pt idx="2">
                  <c:v>20058</c:v>
                </c:pt>
                <c:pt idx="3">
                  <c:v>22497.543420000009</c:v>
                </c:pt>
                <c:pt idx="4">
                  <c:v>24925.51051895001</c:v>
                </c:pt>
                <c:pt idx="5">
                  <c:v>27979.706380450018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0-4845-ADD5-3BC1366A3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0067680"/>
        <c:axId val="1070068640"/>
      </c:barChart>
      <c:lineChart>
        <c:grouping val="standard"/>
        <c:varyColors val="0"/>
        <c:ser>
          <c:idx val="1"/>
          <c:order val="1"/>
          <c:tx>
            <c:strRef>
              <c:f>charts!$B$80</c:f>
              <c:strCache>
                <c:ptCount val="1"/>
                <c:pt idx="0">
                  <c:v>%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charts!$C$78:$H$78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charts!$C$80:$H$80</c:f>
              <c:numCache>
                <c:formatCode>0.0%</c:formatCode>
                <c:ptCount val="6"/>
                <c:pt idx="0">
                  <c:v>0.15461229946524058</c:v>
                </c:pt>
                <c:pt idx="1">
                  <c:v>0.14299774214091365</c:v>
                </c:pt>
                <c:pt idx="2">
                  <c:v>1.595502203312571E-2</c:v>
                </c:pt>
                <c:pt idx="3">
                  <c:v>0.12162446006580963</c:v>
                </c:pt>
                <c:pt idx="4">
                  <c:v>0.10792143184804659</c:v>
                </c:pt>
                <c:pt idx="5">
                  <c:v>0.12253293103778184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0-4845-ADD5-3BC1366A3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256656"/>
        <c:axId val="468536384"/>
      </c:lineChart>
      <c:catAx>
        <c:axId val="107006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068640"/>
        <c:crosses val="autoZero"/>
        <c:auto val="1"/>
        <c:lblAlgn val="ctr"/>
        <c:lblOffset val="100"/>
        <c:noMultiLvlLbl val="0"/>
      </c:catAx>
      <c:valAx>
        <c:axId val="107006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0067680"/>
        <c:crosses val="autoZero"/>
        <c:crossBetween val="between"/>
      </c:valAx>
      <c:valAx>
        <c:axId val="468536384"/>
        <c:scaling>
          <c:orientation val="minMax"/>
          <c:min val="0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256656"/>
        <c:crosses val="max"/>
        <c:crossBetween val="between"/>
        <c:majorUnit val="4.0000000000000008E-2"/>
      </c:valAx>
      <c:catAx>
        <c:axId val="1069256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8536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Returns to</a:t>
            </a:r>
            <a:r>
              <a:rPr lang="en-IN" baseline="0"/>
              <a:t> shareholder ($ mn)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charts!$B$96</c:f>
              <c:strCache>
                <c:ptCount val="1"/>
                <c:pt idx="0">
                  <c:v>Share repurchases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charts!$C$95:$H$95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charts!$C$96:$H$96</c:f>
              <c:numCache>
                <c:formatCode>#,##0_ ;\-#,##0\ </c:formatCode>
                <c:ptCount val="6"/>
                <c:pt idx="0">
                  <c:v>12362</c:v>
                </c:pt>
                <c:pt idx="1">
                  <c:v>16658</c:v>
                </c:pt>
                <c:pt idx="2">
                  <c:v>18185</c:v>
                </c:pt>
                <c:pt idx="3">
                  <c:v>15000</c:v>
                </c:pt>
                <c:pt idx="4">
                  <c:v>11000</c:v>
                </c:pt>
                <c:pt idx="5">
                  <c:v>11000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1-4349-AA5C-5365A5ABF216}"/>
            </c:ext>
          </c:extLst>
        </c:ser>
        <c:ser>
          <c:idx val="1"/>
          <c:order val="1"/>
          <c:tx>
            <c:strRef>
              <c:f>charts!$B$97</c:f>
              <c:strCache>
                <c:ptCount val="1"/>
                <c:pt idx="0">
                  <c:v>Dividends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charts!$C$95:$H$95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charts!$C$97:$H$97</c:f>
              <c:numCache>
                <c:formatCode>#,##0_ ;\-#,##0\ </c:formatCode>
                <c:ptCount val="6"/>
                <c:pt idx="0">
                  <c:v>3751</c:v>
                </c:pt>
                <c:pt idx="1">
                  <c:v>4217</c:v>
                </c:pt>
                <c:pt idx="2">
                  <c:v>4634</c:v>
                </c:pt>
                <c:pt idx="3">
                  <c:v>4810.3125</c:v>
                </c:pt>
                <c:pt idx="4">
                  <c:v>4736.875</c:v>
                </c:pt>
                <c:pt idx="5">
                  <c:v>4663.4375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E1-4349-AA5C-5365A5ABF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1184768"/>
        <c:axId val="981184288"/>
      </c:barChart>
      <c:catAx>
        <c:axId val="98118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1184288"/>
        <c:crosses val="autoZero"/>
        <c:auto val="1"/>
        <c:lblAlgn val="ctr"/>
        <c:lblOffset val="100"/>
        <c:noMultiLvlLbl val="0"/>
      </c:catAx>
      <c:valAx>
        <c:axId val="981184288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118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Free</a:t>
            </a:r>
            <a:r>
              <a:rPr lang="en-IN" baseline="0"/>
              <a:t> Cash Flow &amp; Margins (%)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charts!$B$101</c:f>
              <c:strCache>
                <c:ptCount val="1"/>
                <c:pt idx="0">
                  <c:v>Free Cash Flow ($ mn)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charts!$C$100:$H$100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charts!$C$101:$H$101</c:f>
              <c:numCache>
                <c:formatCode>#,##0_ ;\-#,##0\ </c:formatCode>
                <c:ptCount val="6"/>
                <c:pt idx="0">
                  <c:v>19696</c:v>
                </c:pt>
                <c:pt idx="1">
                  <c:v>18693</c:v>
                </c:pt>
                <c:pt idx="2">
                  <c:v>21577</c:v>
                </c:pt>
                <c:pt idx="3">
                  <c:v>21328.888551085136</c:v>
                </c:pt>
                <c:pt idx="4">
                  <c:v>19729.088278037787</c:v>
                </c:pt>
                <c:pt idx="5">
                  <c:v>20017.53572799527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8-4FFF-B29E-F91C56113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9232560"/>
        <c:axId val="1109238800"/>
      </c:barChart>
      <c:lineChart>
        <c:grouping val="standard"/>
        <c:varyColors val="0"/>
        <c:ser>
          <c:idx val="1"/>
          <c:order val="1"/>
          <c:tx>
            <c:strRef>
              <c:f>charts!$B$102</c:f>
              <c:strCache>
                <c:ptCount val="1"/>
                <c:pt idx="0">
                  <c:v>FCF margin%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charts!$C$100:$H$100</c:f>
              <c:strCache>
                <c:ptCount val="6"/>
                <c:pt idx="0">
                  <c:v>FY23 (A)</c:v>
                </c:pt>
                <c:pt idx="1">
                  <c:v>FY24(A)</c:v>
                </c:pt>
                <c:pt idx="2">
                  <c:v>FY25(A)</c:v>
                </c:pt>
                <c:pt idx="3">
                  <c:v>FY26(E)</c:v>
                </c:pt>
                <c:pt idx="4">
                  <c:v>FY27(E)</c:v>
                </c:pt>
                <c:pt idx="5">
                  <c:v>FY28(E)</c:v>
                </c:pt>
              </c:strCache>
            </c:strRef>
          </c:cat>
          <c:val>
            <c:numRef>
              <c:f>charts!$C$102:$H$102</c:f>
              <c:numCache>
                <c:formatCode>0.0%</c:formatCode>
                <c:ptCount val="6"/>
                <c:pt idx="0">
                  <c:v>0.60319113098337063</c:v>
                </c:pt>
                <c:pt idx="1">
                  <c:v>0.52031954573289541</c:v>
                </c:pt>
                <c:pt idx="2">
                  <c:v>0.53942500000000004</c:v>
                </c:pt>
                <c:pt idx="3">
                  <c:v>0.48038037277218765</c:v>
                </c:pt>
                <c:pt idx="4">
                  <c:v>0.40395348644631002</c:v>
                </c:pt>
                <c:pt idx="5">
                  <c:v>0.36924275125239359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8-4FFF-B29E-F91C56113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244560"/>
        <c:axId val="1109247920"/>
      </c:lineChart>
      <c:catAx>
        <c:axId val="110923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238800"/>
        <c:crosses val="autoZero"/>
        <c:auto val="1"/>
        <c:lblAlgn val="ctr"/>
        <c:lblOffset val="100"/>
        <c:noMultiLvlLbl val="0"/>
      </c:catAx>
      <c:valAx>
        <c:axId val="1109238800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232560"/>
        <c:crosses val="autoZero"/>
        <c:crossBetween val="between"/>
      </c:valAx>
      <c:valAx>
        <c:axId val="1109247920"/>
        <c:scaling>
          <c:orientation val="minMax"/>
          <c:min val="0.2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244560"/>
        <c:crosses val="max"/>
        <c:crossBetween val="between"/>
        <c:majorUnit val="0.1"/>
      </c:valAx>
      <c:catAx>
        <c:axId val="1109244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09247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nsolidated!A1"/><Relationship Id="rId2" Type="http://schemas.openxmlformats.org/officeDocument/2006/relationships/hyperlink" Target="#Valuation!A1"/><Relationship Id="rId1" Type="http://schemas.openxmlformats.org/officeDocument/2006/relationships/hyperlink" Target="#'VISA Model'!A1"/><Relationship Id="rId5" Type="http://schemas.openxmlformats.org/officeDocument/2006/relationships/image" Target="../media/image1.png"/><Relationship Id="rId4" Type="http://schemas.openxmlformats.org/officeDocument/2006/relationships/hyperlink" Target="#'Visa Historical P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426720</xdr:colOff>
      <xdr:row>0</xdr:row>
      <xdr:rowOff>236220</xdr:rowOff>
    </xdr:from>
    <xdr:to>
      <xdr:col>13</xdr:col>
      <xdr:colOff>91440</xdr:colOff>
      <xdr:row>2</xdr:row>
      <xdr:rowOff>281940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33FED-67E3-7493-071D-60D13D33181D}"/>
            </a:ext>
          </a:extLst>
        </xdr:cNvPr>
        <xdr:cNvSpPr/>
      </xdr:nvSpPr>
      <xdr:spPr>
        <a:xfrm>
          <a:off x="8084820" y="411480"/>
          <a:ext cx="1493520" cy="60198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solidFill>
                <a:srgbClr val="002060"/>
              </a:solidFill>
            </a:rPr>
            <a:t>VISA Model</a:t>
          </a:r>
        </a:p>
      </xdr:txBody>
    </xdr:sp>
    <xdr:clientData/>
  </xdr:twoCellAnchor>
  <xdr:twoCellAnchor>
    <xdr:from>
      <xdr:col>10</xdr:col>
      <xdr:colOff>434340</xdr:colOff>
      <xdr:row>4</xdr:row>
      <xdr:rowOff>121920</xdr:rowOff>
    </xdr:from>
    <xdr:to>
      <xdr:col>13</xdr:col>
      <xdr:colOff>99060</xdr:colOff>
      <xdr:row>6</xdr:row>
      <xdr:rowOff>99060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62EE6-9227-4F69-BF9C-A634CB151E29}"/>
            </a:ext>
          </a:extLst>
        </xdr:cNvPr>
        <xdr:cNvSpPr/>
      </xdr:nvSpPr>
      <xdr:spPr>
        <a:xfrm>
          <a:off x="8092440" y="1478280"/>
          <a:ext cx="1493520" cy="60198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solidFill>
                <a:srgbClr val="002060"/>
              </a:solidFill>
            </a:rPr>
            <a:t>Valuation</a:t>
          </a:r>
        </a:p>
      </xdr:txBody>
    </xdr:sp>
    <xdr:clientData/>
  </xdr:twoCellAnchor>
  <xdr:twoCellAnchor>
    <xdr:from>
      <xdr:col>10</xdr:col>
      <xdr:colOff>441960</xdr:colOff>
      <xdr:row>7</xdr:row>
      <xdr:rowOff>266700</xdr:rowOff>
    </xdr:from>
    <xdr:to>
      <xdr:col>13</xdr:col>
      <xdr:colOff>106680</xdr:colOff>
      <xdr:row>9</xdr:row>
      <xdr:rowOff>259080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F519FB-A0CD-4CA0-BD54-A8A7A0489B18}"/>
            </a:ext>
          </a:extLst>
        </xdr:cNvPr>
        <xdr:cNvSpPr/>
      </xdr:nvSpPr>
      <xdr:spPr>
        <a:xfrm>
          <a:off x="8100060" y="2560320"/>
          <a:ext cx="1493520" cy="60198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solidFill>
                <a:srgbClr val="002060"/>
              </a:solidFill>
            </a:rPr>
            <a:t>Consolidated</a:t>
          </a:r>
        </a:p>
      </xdr:txBody>
    </xdr:sp>
    <xdr:clientData/>
  </xdr:twoCellAnchor>
  <xdr:twoCellAnchor>
    <xdr:from>
      <xdr:col>10</xdr:col>
      <xdr:colOff>449580</xdr:colOff>
      <xdr:row>11</xdr:row>
      <xdr:rowOff>99060</xdr:rowOff>
    </xdr:from>
    <xdr:to>
      <xdr:col>13</xdr:col>
      <xdr:colOff>114300</xdr:colOff>
      <xdr:row>13</xdr:row>
      <xdr:rowOff>228600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BF44E4-86BE-4BB5-BCAA-26D5673DF59C}"/>
            </a:ext>
          </a:extLst>
        </xdr:cNvPr>
        <xdr:cNvSpPr/>
      </xdr:nvSpPr>
      <xdr:spPr>
        <a:xfrm>
          <a:off x="7711440" y="3451860"/>
          <a:ext cx="1493520" cy="75438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solidFill>
                <a:srgbClr val="002060"/>
              </a:solidFill>
            </a:rPr>
            <a:t>Historical P/E</a:t>
          </a:r>
        </a:p>
      </xdr:txBody>
    </xdr:sp>
    <xdr:clientData/>
  </xdr:twoCellAnchor>
  <xdr:twoCellAnchor editAs="oneCell">
    <xdr:from>
      <xdr:col>15</xdr:col>
      <xdr:colOff>0</xdr:colOff>
      <xdr:row>4</xdr:row>
      <xdr:rowOff>0</xdr:rowOff>
    </xdr:from>
    <xdr:to>
      <xdr:col>16</xdr:col>
      <xdr:colOff>160020</xdr:colOff>
      <xdr:row>4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5A2F64E-0640-08DA-D5B4-CFAEA16A5F8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181100"/>
          <a:ext cx="7696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190500</xdr:colOff>
      <xdr:row>3</xdr:row>
      <xdr:rowOff>251460</xdr:rowOff>
    </xdr:from>
    <xdr:to>
      <xdr:col>21</xdr:col>
      <xdr:colOff>84406</xdr:colOff>
      <xdr:row>9</xdr:row>
      <xdr:rowOff>70264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C38E151-FD6C-0C8B-F1DA-B0A9856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81160" y="1120140"/>
          <a:ext cx="4770706" cy="1678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38100</xdr:rowOff>
    </xdr:from>
    <xdr:to>
      <xdr:col>7</xdr:col>
      <xdr:colOff>1371600</xdr:colOff>
      <xdr:row>2</xdr:row>
      <xdr:rowOff>133775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36AFFD-28EF-BAFA-0A74-72939849E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4160" y="38100"/>
          <a:ext cx="1333500" cy="469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792480</xdr:colOff>
      <xdr:row>19</xdr:row>
      <xdr:rowOff>76200</xdr:rowOff>
    </xdr:from>
    <xdr:to>
      <xdr:col>14</xdr:col>
      <xdr:colOff>311590</xdr:colOff>
      <xdr:row>34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43ED9-FFF7-6C8B-5E5E-033A29D74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8340" y="3421380"/>
          <a:ext cx="8015410" cy="2819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129540</xdr:colOff>
      <xdr:row>1</xdr:row>
      <xdr:rowOff>121920</xdr:rowOff>
    </xdr:from>
    <xdr:to>
      <xdr:col>19</xdr:col>
      <xdr:colOff>183466</xdr:colOff>
      <xdr:row>15</xdr:row>
      <xdr:rowOff>45926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EF6B6-4058-AD1F-F9C9-86F0522B7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100" y="304800"/>
          <a:ext cx="6759526" cy="23776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411480</xdr:colOff>
      <xdr:row>3</xdr:row>
      <xdr:rowOff>160020</xdr:rowOff>
    </xdr:from>
    <xdr:to>
      <xdr:col>19</xdr:col>
      <xdr:colOff>297766</xdr:colOff>
      <xdr:row>16</xdr:row>
      <xdr:rowOff>160226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CC9209-AE10-9F2B-6A75-2F6B420A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1360" y="708660"/>
          <a:ext cx="6759526" cy="23776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9</xdr:row>
      <xdr:rowOff>41910</xdr:rowOff>
    </xdr:from>
    <xdr:to>
      <xdr:col>14</xdr:col>
      <xdr:colOff>15240</xdr:colOff>
      <xdr:row>25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B5E912-9E3E-E768-7496-D98F1D885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563880</xdr:colOff>
      <xdr:row>1</xdr:row>
      <xdr:rowOff>106680</xdr:rowOff>
    </xdr:from>
    <xdr:to>
      <xdr:col>14</xdr:col>
      <xdr:colOff>427306</xdr:colOff>
      <xdr:row>7</xdr:row>
      <xdr:rowOff>33487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5321AF-85AB-0DFB-CDC1-5E6356484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83780" y="289560"/>
          <a:ext cx="2911426" cy="10240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373380</xdr:colOff>
      <xdr:row>0</xdr:row>
      <xdr:rowOff>11430</xdr:rowOff>
    </xdr:from>
    <xdr:to>
      <xdr:col>12</xdr:col>
      <xdr:colOff>571500</xdr:colOff>
      <xdr:row>13</xdr:row>
      <xdr:rowOff>144780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F744DB-7CDE-E6A7-5FD5-F74577BAD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259080</xdr:colOff>
      <xdr:row>14</xdr:row>
      <xdr:rowOff>57150</xdr:rowOff>
    </xdr:from>
    <xdr:to>
      <xdr:col>16</xdr:col>
      <xdr:colOff>563880</xdr:colOff>
      <xdr:row>29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811BE01-240C-2625-3C1F-52A3134B1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29</xdr:row>
      <xdr:rowOff>110490</xdr:rowOff>
    </xdr:from>
    <xdr:to>
      <xdr:col>16</xdr:col>
      <xdr:colOff>571500</xdr:colOff>
      <xdr:row>44</xdr:row>
      <xdr:rowOff>110490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105F2D-6629-C8F4-24CC-D596E6A26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266700</xdr:colOff>
      <xdr:row>45</xdr:row>
      <xdr:rowOff>19050</xdr:rowOff>
    </xdr:from>
    <xdr:to>
      <xdr:col>16</xdr:col>
      <xdr:colOff>571500</xdr:colOff>
      <xdr:row>60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F7862F-B76B-5463-24A1-4A51AF944A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266700</xdr:colOff>
      <xdr:row>60</xdr:row>
      <xdr:rowOff>102870</xdr:rowOff>
    </xdr:from>
    <xdr:to>
      <xdr:col>16</xdr:col>
      <xdr:colOff>571500</xdr:colOff>
      <xdr:row>75</xdr:row>
      <xdr:rowOff>102870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30CB8DC-DD06-F40A-7ECF-B666DE3FC6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289560</xdr:colOff>
      <xdr:row>75</xdr:row>
      <xdr:rowOff>171450</xdr:rowOff>
    </xdr:from>
    <xdr:to>
      <xdr:col>16</xdr:col>
      <xdr:colOff>594360</xdr:colOff>
      <xdr:row>90</xdr:row>
      <xdr:rowOff>171450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DCF878C-909F-02A8-D8C3-C78F4A85AD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281940</xdr:colOff>
      <xdr:row>91</xdr:row>
      <xdr:rowOff>57150</xdr:rowOff>
    </xdr:from>
    <xdr:to>
      <xdr:col>16</xdr:col>
      <xdr:colOff>586740</xdr:colOff>
      <xdr:row>106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CFD9172-2906-8E97-538D-EAF7ED5D6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297180</xdr:colOff>
      <xdr:row>106</xdr:row>
      <xdr:rowOff>102870</xdr:rowOff>
    </xdr:from>
    <xdr:to>
      <xdr:col>16</xdr:col>
      <xdr:colOff>601980</xdr:colOff>
      <xdr:row>121</xdr:row>
      <xdr:rowOff>102870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195DF96-4044-7246-2C5E-7D786339B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1165860</xdr:colOff>
      <xdr:row>106</xdr:row>
      <xdr:rowOff>64770</xdr:rowOff>
    </xdr:from>
    <xdr:to>
      <xdr:col>8</xdr:col>
      <xdr:colOff>22860</xdr:colOff>
      <xdr:row>121</xdr:row>
      <xdr:rowOff>167640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2113D2-4F6B-5CC2-3D00-3BDD2A2445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B6B3-E530-48A2-B7A0-587221B87FCF}">
  <dimension ref="B1:P15"/>
  <sheetViews>
    <sheetView tabSelected="1" workbookViewId="0"/>
  </sheetViews>
  <sheetFormatPr defaultRowHeight="13.8" x14ac:dyDescent="0.25"/>
  <cols>
    <col min="1" max="1" width="3.109375" style="4" customWidth="1"/>
    <col min="2" max="2" width="20.6640625" style="4" customWidth="1"/>
    <col min="3" max="3" width="19.88671875" style="4" customWidth="1"/>
    <col min="4" max="16384" width="8.88671875" style="4"/>
  </cols>
  <sheetData>
    <row r="1" spans="2:16" ht="19.2" customHeight="1" x14ac:dyDescent="0.25">
      <c r="B1" s="3" t="s">
        <v>430</v>
      </c>
      <c r="E1" s="3" t="s">
        <v>433</v>
      </c>
    </row>
    <row r="2" spans="2:16" ht="24.6" customHeight="1" x14ac:dyDescent="0.25">
      <c r="B2" s="5" t="s">
        <v>89</v>
      </c>
      <c r="C2" s="55" t="s">
        <v>97</v>
      </c>
      <c r="E2" s="115" t="s">
        <v>434</v>
      </c>
      <c r="F2" s="115"/>
      <c r="G2" s="115"/>
      <c r="H2" s="115"/>
      <c r="I2" s="115"/>
      <c r="J2" s="115"/>
    </row>
    <row r="3" spans="2:16" ht="24.6" customHeight="1" x14ac:dyDescent="0.25">
      <c r="B3" s="5" t="s">
        <v>90</v>
      </c>
      <c r="C3" s="56" t="s">
        <v>98</v>
      </c>
      <c r="E3" s="115"/>
      <c r="F3" s="115"/>
      <c r="G3" s="115"/>
      <c r="H3" s="115"/>
      <c r="I3" s="115"/>
      <c r="J3" s="115"/>
    </row>
    <row r="4" spans="2:16" ht="24.6" customHeight="1" x14ac:dyDescent="0.25">
      <c r="B4" s="59" t="s">
        <v>91</v>
      </c>
      <c r="C4" s="60">
        <v>322.39</v>
      </c>
      <c r="E4" s="115"/>
      <c r="F4" s="115"/>
      <c r="G4" s="115"/>
      <c r="H4" s="115"/>
      <c r="I4" s="115"/>
      <c r="J4" s="115"/>
    </row>
    <row r="5" spans="2:16" ht="24.6" customHeight="1" x14ac:dyDescent="0.3">
      <c r="B5" s="59" t="s">
        <v>431</v>
      </c>
      <c r="C5" s="60">
        <f>Valuation!D70</f>
        <v>384.42184157297794</v>
      </c>
      <c r="E5" s="115"/>
      <c r="F5" s="115"/>
      <c r="G5" s="115"/>
      <c r="H5" s="115"/>
      <c r="I5" s="115"/>
      <c r="J5" s="115"/>
      <c r="P5"/>
    </row>
    <row r="6" spans="2:16" ht="24.6" customHeight="1" x14ac:dyDescent="0.25">
      <c r="B6" s="59" t="s">
        <v>432</v>
      </c>
      <c r="C6" s="61">
        <f>C5/C4-1</f>
        <v>0.19241242461918162</v>
      </c>
      <c r="E6" s="3" t="s">
        <v>435</v>
      </c>
      <c r="F6" s="57"/>
      <c r="G6" s="57"/>
      <c r="H6" s="57"/>
      <c r="I6" s="57"/>
      <c r="J6" s="57"/>
    </row>
    <row r="7" spans="2:16" ht="24.6" customHeight="1" x14ac:dyDescent="0.25">
      <c r="B7" s="5" t="s">
        <v>99</v>
      </c>
      <c r="C7" s="6">
        <v>607.41999999999996</v>
      </c>
      <c r="E7" s="115" t="s">
        <v>483</v>
      </c>
      <c r="F7" s="115"/>
      <c r="G7" s="115"/>
      <c r="H7" s="115"/>
      <c r="I7" s="115"/>
      <c r="J7" s="115"/>
    </row>
    <row r="8" spans="2:16" ht="23.4" customHeight="1" x14ac:dyDescent="0.25">
      <c r="B8" s="5" t="s">
        <v>100</v>
      </c>
      <c r="C8" s="6">
        <v>5.31</v>
      </c>
      <c r="E8" s="115"/>
      <c r="F8" s="115"/>
      <c r="G8" s="115"/>
      <c r="H8" s="115"/>
      <c r="I8" s="115"/>
      <c r="J8" s="115"/>
    </row>
    <row r="9" spans="2:16" ht="24.6" customHeight="1" x14ac:dyDescent="0.25">
      <c r="B9" s="5" t="s">
        <v>92</v>
      </c>
      <c r="C9" s="7">
        <v>0.8306</v>
      </c>
      <c r="E9" s="115"/>
      <c r="F9" s="115"/>
      <c r="G9" s="115"/>
      <c r="H9" s="115"/>
      <c r="I9" s="115"/>
      <c r="J9" s="115"/>
    </row>
    <row r="10" spans="2:16" ht="24.6" customHeight="1" x14ac:dyDescent="0.25">
      <c r="B10" s="5" t="s">
        <v>93</v>
      </c>
      <c r="C10" s="7">
        <v>8.0999999999999996E-3</v>
      </c>
      <c r="E10" s="115"/>
      <c r="F10" s="115"/>
      <c r="G10" s="115"/>
      <c r="H10" s="115"/>
      <c r="I10" s="115"/>
      <c r="J10" s="115"/>
    </row>
    <row r="11" spans="2:16" ht="24.6" customHeight="1" x14ac:dyDescent="0.25">
      <c r="B11" s="5" t="s">
        <v>94</v>
      </c>
      <c r="C11" s="8">
        <f>Consolidated!E34</f>
        <v>0.13234324302935979</v>
      </c>
      <c r="E11" s="3" t="s">
        <v>436</v>
      </c>
      <c r="F11" s="58"/>
      <c r="G11" s="58"/>
      <c r="H11" s="58"/>
      <c r="I11" s="58"/>
      <c r="J11" s="58"/>
    </row>
    <row r="12" spans="2:16" ht="24.6" customHeight="1" x14ac:dyDescent="0.25">
      <c r="B12" s="5" t="s">
        <v>95</v>
      </c>
      <c r="C12" s="6">
        <f>Consolidated!F35</f>
        <v>27.57272859393818</v>
      </c>
      <c r="E12" s="116" t="s">
        <v>437</v>
      </c>
      <c r="F12" s="116"/>
      <c r="G12" s="116"/>
      <c r="H12" s="116"/>
      <c r="I12" s="116"/>
      <c r="J12" s="116"/>
    </row>
    <row r="13" spans="2:16" ht="24.6" customHeight="1" x14ac:dyDescent="0.25">
      <c r="B13" s="5" t="s">
        <v>96</v>
      </c>
      <c r="C13" s="6">
        <f>Consolidated!F36</f>
        <v>14.763721867871608</v>
      </c>
      <c r="E13" s="116"/>
      <c r="F13" s="116"/>
      <c r="G13" s="116"/>
      <c r="H13" s="116"/>
      <c r="I13" s="116"/>
      <c r="J13" s="116"/>
    </row>
    <row r="14" spans="2:16" ht="24.6" customHeight="1" x14ac:dyDescent="0.25">
      <c r="B14" s="5" t="s">
        <v>129</v>
      </c>
      <c r="C14" s="8">
        <f>Consolidated!F33</f>
        <v>0.53544653071141424</v>
      </c>
      <c r="E14" s="116"/>
      <c r="F14" s="116"/>
      <c r="G14" s="116"/>
      <c r="H14" s="116"/>
      <c r="I14" s="116"/>
      <c r="J14" s="116"/>
    </row>
    <row r="15" spans="2:16" ht="19.2" customHeight="1" x14ac:dyDescent="0.25">
      <c r="C15" s="4" t="s">
        <v>356</v>
      </c>
      <c r="E15" s="116"/>
      <c r="F15" s="116"/>
      <c r="G15" s="116"/>
      <c r="H15" s="116"/>
      <c r="I15" s="116"/>
      <c r="J15" s="116"/>
    </row>
  </sheetData>
  <mergeCells count="3">
    <mergeCell ref="E2:J5"/>
    <mergeCell ref="E7:J10"/>
    <mergeCell ref="E12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20"/>
  <sheetViews>
    <sheetView workbookViewId="0">
      <selection activeCell="G98" sqref="G98"/>
    </sheetView>
  </sheetViews>
  <sheetFormatPr defaultRowHeight="13.8" x14ac:dyDescent="0.25"/>
  <cols>
    <col min="1" max="1" width="42.5546875" style="2" bestFit="1" customWidth="1"/>
    <col min="2" max="4" width="8.88671875" style="2"/>
    <col min="5" max="5" width="8.88671875" style="2" customWidth="1"/>
    <col min="6" max="6" width="8.88671875" style="2"/>
    <col min="7" max="7" width="8.88671875" style="2" customWidth="1"/>
    <col min="8" max="8" width="20.77734375" style="2" customWidth="1"/>
    <col min="9" max="14" width="11.33203125" style="2" bestFit="1" customWidth="1"/>
    <col min="15" max="38" width="8.88671875" style="4"/>
    <col min="39" max="16384" width="8.88671875" style="2"/>
  </cols>
  <sheetData>
    <row r="1" spans="1:38" ht="15.6" x14ac:dyDescent="0.3">
      <c r="A1" s="4" t="s">
        <v>429</v>
      </c>
      <c r="B1" s="117" t="s">
        <v>427</v>
      </c>
      <c r="C1" s="117"/>
      <c r="D1" s="117"/>
      <c r="E1" s="117"/>
      <c r="F1" s="117"/>
      <c r="G1" s="117"/>
      <c r="H1" s="4"/>
      <c r="I1" s="118" t="s">
        <v>428</v>
      </c>
      <c r="J1" s="118"/>
      <c r="K1" s="118"/>
      <c r="L1" s="118"/>
      <c r="M1" s="118"/>
      <c r="N1" s="118"/>
      <c r="P1" s="82" t="s">
        <v>438</v>
      </c>
    </row>
    <row r="2" spans="1:38" x14ac:dyDescent="0.25">
      <c r="A2" s="27" t="s">
        <v>105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294</v>
      </c>
      <c r="H2" s="4"/>
      <c r="I2" s="28" t="s">
        <v>366</v>
      </c>
      <c r="J2" s="28" t="s">
        <v>367</v>
      </c>
      <c r="K2" s="28" t="s">
        <v>368</v>
      </c>
      <c r="L2" s="28" t="s">
        <v>369</v>
      </c>
      <c r="M2" s="13" t="s">
        <v>370</v>
      </c>
      <c r="N2" s="13" t="s">
        <v>371</v>
      </c>
      <c r="P2" s="29" t="s">
        <v>417</v>
      </c>
    </row>
    <row r="3" spans="1:38" x14ac:dyDescent="0.25">
      <c r="A3" s="18" t="s">
        <v>5</v>
      </c>
      <c r="B3" s="34">
        <v>32653</v>
      </c>
      <c r="C3" s="34">
        <v>35926</v>
      </c>
      <c r="D3" s="34">
        <v>40000</v>
      </c>
      <c r="E3" s="34">
        <f>E49</f>
        <v>44400.000000000007</v>
      </c>
      <c r="F3" s="34">
        <f t="shared" ref="F3:G3" si="0">F49</f>
        <v>48840.000000000015</v>
      </c>
      <c r="G3" s="34">
        <f t="shared" si="0"/>
        <v>54212.400000000023</v>
      </c>
      <c r="H3" s="4"/>
      <c r="I3" s="34">
        <v>9510</v>
      </c>
      <c r="J3" s="34">
        <v>9594</v>
      </c>
      <c r="K3" s="34">
        <v>10172</v>
      </c>
      <c r="L3" s="34">
        <v>10724</v>
      </c>
      <c r="M3" s="34">
        <v>10901</v>
      </c>
      <c r="N3" s="34">
        <v>11230</v>
      </c>
      <c r="P3" s="30">
        <f>SUM(I3:L3)-D3</f>
        <v>0</v>
      </c>
    </row>
    <row r="4" spans="1:38" s="9" customFormat="1" x14ac:dyDescent="0.25">
      <c r="A4" s="35" t="s">
        <v>101</v>
      </c>
      <c r="B4" s="36">
        <v>0.114</v>
      </c>
      <c r="C4" s="36">
        <f>C3/B3-1</f>
        <v>0.10023581294214923</v>
      </c>
      <c r="D4" s="36">
        <f>D3/C3-1</f>
        <v>0.11339976618604908</v>
      </c>
      <c r="E4" s="36">
        <f t="shared" ref="E4:G4" si="1">E3/D3-1</f>
        <v>0.1100000000000001</v>
      </c>
      <c r="F4" s="36">
        <f t="shared" si="1"/>
        <v>0.10000000000000009</v>
      </c>
      <c r="G4" s="36">
        <f t="shared" si="1"/>
        <v>0.1100000000000001</v>
      </c>
      <c r="H4" s="17"/>
      <c r="I4" s="17"/>
      <c r="J4" s="16">
        <f t="shared" ref="J4:N4" si="2">J3/I3-1</f>
        <v>8.8328075709778187E-3</v>
      </c>
      <c r="K4" s="16">
        <f t="shared" si="2"/>
        <v>6.0245987075255414E-2</v>
      </c>
      <c r="L4" s="16">
        <f t="shared" si="2"/>
        <v>5.426661423515533E-2</v>
      </c>
      <c r="M4" s="16">
        <f t="shared" si="2"/>
        <v>1.6505035434539295E-2</v>
      </c>
      <c r="N4" s="16">
        <f t="shared" si="2"/>
        <v>3.0180717365379417E-2</v>
      </c>
      <c r="O4" s="17"/>
      <c r="P4" s="30">
        <f t="shared" ref="P4:P30" si="3">SUM(I4:L4)-D4</f>
        <v>9.945642695339485E-3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x14ac:dyDescent="0.25">
      <c r="A5" s="4" t="s">
        <v>6</v>
      </c>
      <c r="B5" s="32">
        <v>5831</v>
      </c>
      <c r="C5" s="32">
        <v>6264</v>
      </c>
      <c r="D5" s="32">
        <v>6961</v>
      </c>
      <c r="E5" s="32">
        <f>E62*E47</f>
        <v>7797.4693831141331</v>
      </c>
      <c r="F5" s="32">
        <f t="shared" ref="F5:G5" si="4">F62*F47</f>
        <v>8728.0891522957481</v>
      </c>
      <c r="G5" s="32">
        <f t="shared" si="4"/>
        <v>9845.534540763505</v>
      </c>
      <c r="H5" s="4"/>
      <c r="I5" s="4">
        <v>1813</v>
      </c>
      <c r="J5" s="4">
        <v>1657</v>
      </c>
      <c r="K5" s="4">
        <v>1749</v>
      </c>
      <c r="L5" s="4">
        <v>1742</v>
      </c>
      <c r="M5" s="4">
        <v>1764</v>
      </c>
      <c r="N5" s="4">
        <v>1841</v>
      </c>
      <c r="P5" s="30">
        <f t="shared" si="3"/>
        <v>0</v>
      </c>
    </row>
    <row r="6" spans="1:38" x14ac:dyDescent="0.25">
      <c r="A6" s="4" t="s">
        <v>7</v>
      </c>
      <c r="B6" s="32">
        <v>1341</v>
      </c>
      <c r="C6" s="32">
        <v>1560</v>
      </c>
      <c r="D6" s="32">
        <v>1684</v>
      </c>
      <c r="E6" s="32">
        <f>E47*E63</f>
        <v>2001.6399675937653</v>
      </c>
      <c r="F6" s="32">
        <f t="shared" ref="F6:G6" si="5">F47*F63</f>
        <v>2264.4884902892686</v>
      </c>
      <c r="G6" s="32">
        <f t="shared" si="5"/>
        <v>2581.1736720428039</v>
      </c>
      <c r="H6" s="4"/>
      <c r="I6" s="32">
        <v>306</v>
      </c>
      <c r="J6" s="32">
        <v>381</v>
      </c>
      <c r="K6" s="32">
        <v>421</v>
      </c>
      <c r="L6" s="32">
        <v>576</v>
      </c>
      <c r="M6" s="32">
        <v>410</v>
      </c>
      <c r="N6" s="32">
        <v>545</v>
      </c>
      <c r="P6" s="30">
        <f>SUM(I6:L6)-D6</f>
        <v>0</v>
      </c>
    </row>
    <row r="7" spans="1:38" x14ac:dyDescent="0.25">
      <c r="A7" s="4" t="s">
        <v>8</v>
      </c>
      <c r="B7" s="32">
        <v>736</v>
      </c>
      <c r="C7" s="32">
        <v>778</v>
      </c>
      <c r="D7" s="32">
        <v>894</v>
      </c>
      <c r="E7" s="32">
        <f>E47*E64</f>
        <v>1120.9416590432459</v>
      </c>
      <c r="F7" s="32">
        <f t="shared" ref="F7:G7" si="6">F47*F64</f>
        <v>1248.7527711419277</v>
      </c>
      <c r="G7" s="32">
        <f t="shared" si="6"/>
        <v>1401.9560209146903</v>
      </c>
      <c r="H7" s="4"/>
      <c r="I7" s="32">
        <v>207</v>
      </c>
      <c r="J7" s="32">
        <v>224</v>
      </c>
      <c r="K7" s="32">
        <v>224</v>
      </c>
      <c r="L7" s="32">
        <v>239</v>
      </c>
      <c r="M7" s="32">
        <v>233</v>
      </c>
      <c r="N7" s="32">
        <v>260</v>
      </c>
      <c r="P7" s="30">
        <f t="shared" si="3"/>
        <v>0</v>
      </c>
    </row>
    <row r="8" spans="1:38" x14ac:dyDescent="0.25">
      <c r="A8" s="4" t="s">
        <v>9</v>
      </c>
      <c r="B8" s="32">
        <v>545</v>
      </c>
      <c r="C8" s="32">
        <v>635</v>
      </c>
      <c r="D8" s="32">
        <v>759</v>
      </c>
      <c r="E8" s="32">
        <f>E47*E65</f>
        <v>908.29092099980278</v>
      </c>
      <c r="F8" s="32">
        <f t="shared" ref="F8:G8" si="7">F47*F65</f>
        <v>1081.093607754724</v>
      </c>
      <c r="G8" s="32">
        <f t="shared" si="7"/>
        <v>1291.4603553650763</v>
      </c>
      <c r="H8" s="4"/>
      <c r="I8" s="32">
        <v>143</v>
      </c>
      <c r="J8" s="32">
        <v>173</v>
      </c>
      <c r="K8" s="32">
        <v>187</v>
      </c>
      <c r="L8" s="32">
        <v>256</v>
      </c>
      <c r="M8" s="32">
        <v>208</v>
      </c>
      <c r="N8" s="32">
        <v>238</v>
      </c>
      <c r="P8" s="30">
        <f t="shared" si="3"/>
        <v>0</v>
      </c>
    </row>
    <row r="9" spans="1:38" x14ac:dyDescent="0.25">
      <c r="A9" s="4" t="s">
        <v>10</v>
      </c>
      <c r="B9" s="32">
        <v>943</v>
      </c>
      <c r="C9" s="32">
        <v>1034</v>
      </c>
      <c r="D9" s="32">
        <v>1220</v>
      </c>
      <c r="E9" s="32">
        <f>E141</f>
        <v>1422.2174023185237</v>
      </c>
      <c r="F9" s="32">
        <f t="shared" ref="F9:G9" si="8">F141</f>
        <v>1653.6186027288054</v>
      </c>
      <c r="G9" s="32">
        <f t="shared" si="8"/>
        <v>1934.2255867039223</v>
      </c>
      <c r="H9" s="4"/>
      <c r="I9" s="32">
        <v>282</v>
      </c>
      <c r="J9" s="32">
        <v>305</v>
      </c>
      <c r="K9" s="32">
        <v>317</v>
      </c>
      <c r="L9" s="32">
        <v>316</v>
      </c>
      <c r="M9" s="32">
        <v>326</v>
      </c>
      <c r="N9" s="32">
        <v>333</v>
      </c>
      <c r="P9" s="30">
        <f t="shared" si="3"/>
        <v>0</v>
      </c>
    </row>
    <row r="10" spans="1:38" x14ac:dyDescent="0.25">
      <c r="A10" s="4" t="s">
        <v>11</v>
      </c>
      <c r="B10" s="32">
        <v>1330</v>
      </c>
      <c r="C10" s="32">
        <v>1598</v>
      </c>
      <c r="D10" s="32">
        <v>1926</v>
      </c>
      <c r="E10" s="32">
        <f>E47*E67</f>
        <v>2271.423500086456</v>
      </c>
      <c r="F10" s="32">
        <f t="shared" ref="F10:G10" si="9">F47*F67</f>
        <v>2668.8904648574417</v>
      </c>
      <c r="G10" s="32">
        <f t="shared" si="9"/>
        <v>3151.7888547350312</v>
      </c>
      <c r="H10" s="4"/>
      <c r="I10" s="32">
        <v>481</v>
      </c>
      <c r="J10" s="32">
        <v>419</v>
      </c>
      <c r="K10" s="32">
        <v>482</v>
      </c>
      <c r="L10" s="32">
        <v>544</v>
      </c>
      <c r="M10" s="32">
        <v>515</v>
      </c>
      <c r="N10" s="32">
        <v>450</v>
      </c>
      <c r="P10" s="30">
        <f t="shared" si="3"/>
        <v>0</v>
      </c>
    </row>
    <row r="11" spans="1:38" x14ac:dyDescent="0.25">
      <c r="A11" s="4" t="s">
        <v>12</v>
      </c>
      <c r="B11" s="32">
        <v>927</v>
      </c>
      <c r="C11" s="32">
        <v>462</v>
      </c>
      <c r="D11" s="32">
        <v>2562</v>
      </c>
      <c r="E11" s="85">
        <f>E12-SUM(E5:E10)</f>
        <v>2004.5871668440723</v>
      </c>
      <c r="F11" s="85">
        <f t="shared" ref="F11:G11" si="10">F12-SUM(F5:F10)</f>
        <v>1459.0282109320869</v>
      </c>
      <c r="G11" s="85">
        <f t="shared" si="10"/>
        <v>617.17878647497491</v>
      </c>
      <c r="H11" s="4"/>
      <c r="I11" s="32">
        <v>44</v>
      </c>
      <c r="J11" s="32">
        <v>1000</v>
      </c>
      <c r="K11" s="32">
        <v>615</v>
      </c>
      <c r="L11" s="32">
        <v>903</v>
      </c>
      <c r="M11" s="32">
        <v>708</v>
      </c>
      <c r="N11" s="32">
        <v>329</v>
      </c>
      <c r="P11" s="30">
        <f t="shared" si="3"/>
        <v>0</v>
      </c>
    </row>
    <row r="12" spans="1:38" x14ac:dyDescent="0.25">
      <c r="A12" s="18" t="s">
        <v>13</v>
      </c>
      <c r="B12" s="34">
        <v>11653</v>
      </c>
      <c r="C12" s="34">
        <v>12331</v>
      </c>
      <c r="D12" s="34">
        <v>16006</v>
      </c>
      <c r="E12" s="34">
        <f>D12*(1+E13)</f>
        <v>17526.57</v>
      </c>
      <c r="F12" s="34">
        <f>E12*(1+F13)</f>
        <v>19103.961300000003</v>
      </c>
      <c r="G12" s="34">
        <f>F12*(1+G13)</f>
        <v>20823.317817000003</v>
      </c>
      <c r="H12" s="4"/>
      <c r="I12" s="34">
        <v>3276</v>
      </c>
      <c r="J12" s="34">
        <v>4159</v>
      </c>
      <c r="K12" s="34">
        <v>3995</v>
      </c>
      <c r="L12" s="34">
        <v>4576</v>
      </c>
      <c r="M12" s="34">
        <v>4164</v>
      </c>
      <c r="N12" s="34">
        <v>3996</v>
      </c>
      <c r="P12" s="30">
        <f t="shared" si="3"/>
        <v>0</v>
      </c>
    </row>
    <row r="13" spans="1:38" s="9" customFormat="1" x14ac:dyDescent="0.25">
      <c r="A13" s="35" t="s">
        <v>101</v>
      </c>
      <c r="B13" s="36">
        <f>B12/10497-1</f>
        <v>0.11012670286748594</v>
      </c>
      <c r="C13" s="36">
        <f>C12/B12-1</f>
        <v>5.8182442289539171E-2</v>
      </c>
      <c r="D13" s="36">
        <f>D12/C12-1</f>
        <v>0.29802935690536048</v>
      </c>
      <c r="E13" s="37">
        <v>9.5000000000000001E-2</v>
      </c>
      <c r="F13" s="37">
        <v>0.09</v>
      </c>
      <c r="G13" s="37">
        <v>0.09</v>
      </c>
      <c r="H13" s="17"/>
      <c r="I13" s="17"/>
      <c r="J13" s="36">
        <f t="shared" ref="J13:N13" si="11">J12/I12-1</f>
        <v>0.26953601953601947</v>
      </c>
      <c r="K13" s="36">
        <f t="shared" si="11"/>
        <v>-3.943255590286121E-2</v>
      </c>
      <c r="L13" s="36">
        <f t="shared" si="11"/>
        <v>0.14543178973717152</v>
      </c>
      <c r="M13" s="36">
        <f t="shared" si="11"/>
        <v>-9.0034965034964998E-2</v>
      </c>
      <c r="N13" s="36">
        <f t="shared" si="11"/>
        <v>-4.0345821325648457E-2</v>
      </c>
      <c r="O13" s="17"/>
      <c r="P13" s="30">
        <f t="shared" si="3"/>
        <v>7.7505896464969304E-2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x14ac:dyDescent="0.25">
      <c r="A14" s="18" t="s">
        <v>14</v>
      </c>
      <c r="B14" s="34">
        <v>21000</v>
      </c>
      <c r="C14" s="34">
        <v>23595</v>
      </c>
      <c r="D14" s="34">
        <v>23994</v>
      </c>
      <c r="E14" s="34">
        <f>E3-E12</f>
        <v>26873.430000000008</v>
      </c>
      <c r="F14" s="34">
        <f>F3-F12</f>
        <v>29736.038700000012</v>
      </c>
      <c r="G14" s="34">
        <f>G3-G12</f>
        <v>33389.08218300002</v>
      </c>
      <c r="H14" s="4"/>
      <c r="I14" s="34">
        <v>6234</v>
      </c>
      <c r="J14" s="34">
        <v>5435</v>
      </c>
      <c r="K14" s="34">
        <v>6177</v>
      </c>
      <c r="L14" s="34">
        <v>6148</v>
      </c>
      <c r="M14" s="34">
        <v>6737</v>
      </c>
      <c r="N14" s="34">
        <v>7234</v>
      </c>
      <c r="P14" s="30">
        <f t="shared" si="3"/>
        <v>0</v>
      </c>
    </row>
    <row r="15" spans="1:38" s="9" customFormat="1" x14ac:dyDescent="0.25">
      <c r="A15" s="35" t="s">
        <v>102</v>
      </c>
      <c r="B15" s="36">
        <f>B14/B3</f>
        <v>0.64312620586163594</v>
      </c>
      <c r="C15" s="36">
        <f t="shared" ref="C15:D15" si="12">C14/C3</f>
        <v>0.65676668707899566</v>
      </c>
      <c r="D15" s="36">
        <f t="shared" si="12"/>
        <v>0.59984999999999999</v>
      </c>
      <c r="E15" s="36">
        <f t="shared" ref="E15" si="13">E14/E3</f>
        <v>0.60525743243243246</v>
      </c>
      <c r="F15" s="36">
        <f t="shared" ref="F15:G15" si="14">F14/F3</f>
        <v>0.6088460012285013</v>
      </c>
      <c r="G15" s="36">
        <f t="shared" si="14"/>
        <v>0.61589382102618595</v>
      </c>
      <c r="H15" s="17"/>
      <c r="I15" s="36">
        <f t="shared" ref="I15:N15" si="15">I14/I3</f>
        <v>0.65552050473186119</v>
      </c>
      <c r="J15" s="36">
        <f t="shared" si="15"/>
        <v>0.56649989576818849</v>
      </c>
      <c r="K15" s="36">
        <f t="shared" si="15"/>
        <v>0.60725521038143926</v>
      </c>
      <c r="L15" s="36">
        <f t="shared" si="15"/>
        <v>0.57329354718388659</v>
      </c>
      <c r="M15" s="36">
        <f t="shared" si="15"/>
        <v>0.61801669571598938</v>
      </c>
      <c r="N15" s="36">
        <f t="shared" si="15"/>
        <v>0.64416740872662515</v>
      </c>
      <c r="O15" s="17"/>
      <c r="P15" s="30">
        <f t="shared" si="3"/>
        <v>1.8027191580653756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x14ac:dyDescent="0.25">
      <c r="A16" s="4" t="s">
        <v>15</v>
      </c>
      <c r="B16" s="32">
        <v>-644</v>
      </c>
      <c r="C16" s="32">
        <v>-641</v>
      </c>
      <c r="D16" s="32">
        <v>-589</v>
      </c>
      <c r="E16" s="21">
        <f>-E17*(E100+E97)</f>
        <v>-575</v>
      </c>
      <c r="F16" s="21">
        <f>-F17*(F100+F97)</f>
        <v>-552</v>
      </c>
      <c r="G16" s="21">
        <f>-G17*(G100+G97)</f>
        <v>-529</v>
      </c>
      <c r="H16" s="4"/>
      <c r="I16" s="4">
        <v>-182</v>
      </c>
      <c r="J16" s="4">
        <v>-158</v>
      </c>
      <c r="K16" s="4">
        <v>-39</v>
      </c>
      <c r="L16" s="4">
        <v>-210</v>
      </c>
      <c r="M16" s="4">
        <v>-194</v>
      </c>
      <c r="N16" s="4">
        <v>-178</v>
      </c>
      <c r="P16" s="30">
        <f t="shared" si="3"/>
        <v>0</v>
      </c>
    </row>
    <row r="17" spans="1:38" s="9" customFormat="1" x14ac:dyDescent="0.25">
      <c r="A17" s="17" t="s">
        <v>103</v>
      </c>
      <c r="B17" s="36">
        <f>-B16/(B100+B97)</f>
        <v>3.1471436250794113E-2</v>
      </c>
      <c r="C17" s="36">
        <f>-C16/(C100+C97)</f>
        <v>3.0764062200038394E-2</v>
      </c>
      <c r="D17" s="36">
        <f>-D16/(D100+D97)</f>
        <v>2.3399944380437805E-2</v>
      </c>
      <c r="E17" s="37">
        <v>2.3E-2</v>
      </c>
      <c r="F17" s="37">
        <v>2.3E-2</v>
      </c>
      <c r="G17" s="37">
        <v>2.3E-2</v>
      </c>
      <c r="H17" s="17"/>
      <c r="I17" s="36">
        <f t="shared" ref="I17:N17" si="16">-I16/(I100+I97)</f>
        <v>8.831093211703625E-3</v>
      </c>
      <c r="J17" s="36">
        <f t="shared" si="16"/>
        <v>7.6100568346016764E-3</v>
      </c>
      <c r="K17" s="36">
        <f t="shared" si="16"/>
        <v>1.529531727978665E-3</v>
      </c>
      <c r="L17" s="36">
        <f t="shared" si="16"/>
        <v>8.3429343291883517E-3</v>
      </c>
      <c r="M17" s="36">
        <f t="shared" si="16"/>
        <v>9.1608820890588839E-3</v>
      </c>
      <c r="N17" s="36">
        <f t="shared" si="16"/>
        <v>7.4240907574240908E-3</v>
      </c>
      <c r="O17" s="17"/>
      <c r="P17" s="30">
        <f t="shared" si="3"/>
        <v>2.9136717230345138E-3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x14ac:dyDescent="0.25">
      <c r="A18" s="4" t="s">
        <v>16</v>
      </c>
      <c r="B18" s="32">
        <v>681</v>
      </c>
      <c r="C18" s="32">
        <v>962</v>
      </c>
      <c r="D18" s="32">
        <v>789</v>
      </c>
      <c r="E18" s="21">
        <f>E19*(E73+E74+E75)</f>
        <v>807.0440000000001</v>
      </c>
      <c r="F18" s="21">
        <f>F19*(F73+F74+F75)</f>
        <v>846.69686500000012</v>
      </c>
      <c r="G18" s="21">
        <f>G19*(G73+G74+G75)</f>
        <v>850.4074320000002</v>
      </c>
      <c r="H18" s="4"/>
      <c r="I18" s="4">
        <v>148</v>
      </c>
      <c r="J18" s="4">
        <v>161</v>
      </c>
      <c r="K18" s="4">
        <v>195</v>
      </c>
      <c r="L18" s="4">
        <v>285</v>
      </c>
      <c r="M18" s="4">
        <v>183</v>
      </c>
      <c r="N18" s="4">
        <v>118</v>
      </c>
      <c r="P18" s="30">
        <f t="shared" si="3"/>
        <v>0</v>
      </c>
    </row>
    <row r="19" spans="1:38" s="9" customFormat="1" x14ac:dyDescent="0.25">
      <c r="A19" s="17" t="s">
        <v>106</v>
      </c>
      <c r="B19" s="36">
        <f>B18/(B73+B74+B75)</f>
        <v>3.1107253791339301E-2</v>
      </c>
      <c r="C19" s="36">
        <f>C18/(C73+C74+C75)</f>
        <v>5.2671922908453787E-2</v>
      </c>
      <c r="D19" s="36">
        <f>D18/(D73+D74+D75)</f>
        <v>3.5884841042434168E-2</v>
      </c>
      <c r="E19" s="37">
        <v>3.5000000000000003E-2</v>
      </c>
      <c r="F19" s="37">
        <v>3.5000000000000003E-2</v>
      </c>
      <c r="G19" s="37">
        <v>3.5000000000000003E-2</v>
      </c>
      <c r="H19" s="17"/>
      <c r="I19" s="36">
        <f t="shared" ref="I19:N19" si="17">I18/(I73+I74+I75)</f>
        <v>8.4833199587297948E-3</v>
      </c>
      <c r="J19" s="36">
        <f t="shared" si="17"/>
        <v>9.654014511003178E-3</v>
      </c>
      <c r="K19" s="36">
        <f t="shared" si="17"/>
        <v>8.9138782227098194E-3</v>
      </c>
      <c r="L19" s="36">
        <f t="shared" si="17"/>
        <v>1.2962204939282303E-2</v>
      </c>
      <c r="M19" s="36">
        <f t="shared" si="17"/>
        <v>9.2907549373000969E-3</v>
      </c>
      <c r="N19" s="36">
        <f t="shared" si="17"/>
        <v>8.094388805048704E-3</v>
      </c>
      <c r="O19" s="17"/>
      <c r="P19" s="30">
        <f t="shared" si="3"/>
        <v>4.1285765892909304E-3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x14ac:dyDescent="0.25">
      <c r="A20" s="18" t="s">
        <v>17</v>
      </c>
      <c r="B20" s="34">
        <v>37</v>
      </c>
      <c r="C20" s="34">
        <v>321</v>
      </c>
      <c r="D20" s="34">
        <v>200</v>
      </c>
      <c r="E20" s="34">
        <f>E16+E18</f>
        <v>232.0440000000001</v>
      </c>
      <c r="F20" s="34">
        <f>F16+F18</f>
        <v>294.69686500000012</v>
      </c>
      <c r="G20" s="34">
        <f>G16+G18</f>
        <v>321.4074320000002</v>
      </c>
      <c r="H20" s="4"/>
      <c r="I20" s="18">
        <v>-34</v>
      </c>
      <c r="J20" s="18">
        <v>3</v>
      </c>
      <c r="K20" s="18">
        <v>156</v>
      </c>
      <c r="L20" s="18">
        <v>75</v>
      </c>
      <c r="M20" s="18">
        <v>-11</v>
      </c>
      <c r="N20" s="18">
        <v>-60</v>
      </c>
      <c r="P20" s="30">
        <f t="shared" si="3"/>
        <v>0</v>
      </c>
    </row>
    <row r="21" spans="1:38" x14ac:dyDescent="0.25">
      <c r="A21" s="4"/>
      <c r="B21" s="32"/>
      <c r="C21" s="32"/>
      <c r="D21" s="32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38" s="1" customFormat="1" x14ac:dyDescent="0.25">
      <c r="A22" s="18" t="s">
        <v>18</v>
      </c>
      <c r="B22" s="34">
        <v>21037</v>
      </c>
      <c r="C22" s="34">
        <v>23916</v>
      </c>
      <c r="D22" s="34">
        <v>24194</v>
      </c>
      <c r="E22" s="33">
        <f>E14+E20</f>
        <v>27105.474000000009</v>
      </c>
      <c r="F22" s="33">
        <f>F14+F20</f>
        <v>30030.735565000014</v>
      </c>
      <c r="G22" s="33">
        <f>G14+G20</f>
        <v>33710.48961500002</v>
      </c>
      <c r="H22" s="18"/>
      <c r="I22" s="33">
        <v>6200</v>
      </c>
      <c r="J22" s="33">
        <v>5438</v>
      </c>
      <c r="K22" s="33">
        <v>6333</v>
      </c>
      <c r="L22" s="33">
        <v>6223</v>
      </c>
      <c r="M22" s="33">
        <v>6726</v>
      </c>
      <c r="N22" s="33">
        <v>7174</v>
      </c>
      <c r="O22" s="18"/>
      <c r="P22" s="30">
        <f t="shared" si="3"/>
        <v>0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x14ac:dyDescent="0.25">
      <c r="A23" s="4" t="s">
        <v>19</v>
      </c>
      <c r="B23" s="32">
        <v>3764</v>
      </c>
      <c r="C23" s="32">
        <v>4173</v>
      </c>
      <c r="D23" s="32">
        <v>4136</v>
      </c>
      <c r="E23" s="32">
        <f>E22*E24</f>
        <v>4607.930580000002</v>
      </c>
      <c r="F23" s="32">
        <f>F22*F24</f>
        <v>5105.2250460500027</v>
      </c>
      <c r="G23" s="32">
        <f>G22*G24</f>
        <v>5730.7832345500037</v>
      </c>
      <c r="H23" s="4"/>
      <c r="I23" s="4">
        <v>1081</v>
      </c>
      <c r="J23" s="4">
        <v>861</v>
      </c>
      <c r="K23" s="4">
        <v>1061</v>
      </c>
      <c r="L23" s="4">
        <v>1133</v>
      </c>
      <c r="M23" s="4">
        <v>873</v>
      </c>
      <c r="N23" s="4">
        <v>1153</v>
      </c>
      <c r="P23" s="30">
        <f t="shared" si="3"/>
        <v>0</v>
      </c>
    </row>
    <row r="24" spans="1:38" s="9" customFormat="1" x14ac:dyDescent="0.25">
      <c r="A24" s="17" t="s">
        <v>104</v>
      </c>
      <c r="B24" s="36">
        <f>B23/B22</f>
        <v>0.17892285021628559</v>
      </c>
      <c r="C24" s="36">
        <f t="shared" ref="C24:D24" si="18">C23/C22</f>
        <v>0.17448569994982438</v>
      </c>
      <c r="D24" s="36">
        <f t="shared" si="18"/>
        <v>0.17095147557245599</v>
      </c>
      <c r="E24" s="37">
        <v>0.17</v>
      </c>
      <c r="F24" s="37">
        <v>0.17</v>
      </c>
      <c r="G24" s="37">
        <v>0.17</v>
      </c>
      <c r="H24" s="17"/>
      <c r="I24" s="36">
        <f t="shared" ref="I24:N24" si="19">I23/I22</f>
        <v>0.17435483870967741</v>
      </c>
      <c r="J24" s="36">
        <f t="shared" si="19"/>
        <v>0.15833026848105922</v>
      </c>
      <c r="K24" s="36">
        <f t="shared" si="19"/>
        <v>0.16753513342807516</v>
      </c>
      <c r="L24" s="36">
        <f t="shared" si="19"/>
        <v>0.18206652739836091</v>
      </c>
      <c r="M24" s="36">
        <f t="shared" si="19"/>
        <v>0.12979482604817127</v>
      </c>
      <c r="N24" s="36">
        <f t="shared" si="19"/>
        <v>0.16071926400892111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x14ac:dyDescent="0.25">
      <c r="A25" s="18" t="s">
        <v>20</v>
      </c>
      <c r="B25" s="34">
        <v>17273</v>
      </c>
      <c r="C25" s="34">
        <v>19743</v>
      </c>
      <c r="D25" s="34">
        <v>20058</v>
      </c>
      <c r="E25" s="34">
        <f>E22-E23</f>
        <v>22497.543420000009</v>
      </c>
      <c r="F25" s="34">
        <f>F22-F23</f>
        <v>24925.51051895001</v>
      </c>
      <c r="G25" s="34">
        <f>G22-G23</f>
        <v>27979.706380450018</v>
      </c>
      <c r="H25" s="4"/>
      <c r="I25" s="33">
        <v>5119</v>
      </c>
      <c r="J25" s="33">
        <v>4577</v>
      </c>
      <c r="K25" s="33">
        <v>5272</v>
      </c>
      <c r="L25" s="33">
        <v>5090</v>
      </c>
      <c r="M25" s="33">
        <v>5853</v>
      </c>
      <c r="N25" s="33">
        <v>6021</v>
      </c>
      <c r="P25" s="30">
        <f t="shared" si="3"/>
        <v>0</v>
      </c>
    </row>
    <row r="26" spans="1:38" s="9" customFormat="1" x14ac:dyDescent="0.25">
      <c r="A26" s="35" t="s">
        <v>101</v>
      </c>
      <c r="B26" s="36">
        <f>B25/14957-1</f>
        <v>0.15484388580597708</v>
      </c>
      <c r="C26" s="36">
        <f>C25/B25-1</f>
        <v>0.14299774214091365</v>
      </c>
      <c r="D26" s="36">
        <f>D25/C25-1</f>
        <v>1.595502203312571E-2</v>
      </c>
      <c r="E26" s="36">
        <f t="shared" ref="E26:G26" si="20">E25/D25-1</f>
        <v>0.12162446006580963</v>
      </c>
      <c r="F26" s="36">
        <f t="shared" si="20"/>
        <v>0.10792143184804659</v>
      </c>
      <c r="G26" s="36">
        <f t="shared" si="20"/>
        <v>0.12253293103778184</v>
      </c>
      <c r="H26" s="17"/>
      <c r="I26" s="17"/>
      <c r="J26" s="36">
        <f t="shared" ref="J26:N26" si="21">J25/I25-1</f>
        <v>-0.10588005469818329</v>
      </c>
      <c r="K26" s="36">
        <f t="shared" si="21"/>
        <v>0.15184618745903422</v>
      </c>
      <c r="L26" s="36">
        <f t="shared" si="21"/>
        <v>-3.4522003034901383E-2</v>
      </c>
      <c r="M26" s="36">
        <f t="shared" si="21"/>
        <v>0.14990176817288803</v>
      </c>
      <c r="N26" s="36">
        <f t="shared" si="21"/>
        <v>2.8703229113275164E-2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 s="1" customFormat="1" x14ac:dyDescent="0.25">
      <c r="A27" s="18" t="s">
        <v>415</v>
      </c>
      <c r="B27" s="34">
        <v>13415</v>
      </c>
      <c r="C27" s="34">
        <v>15790</v>
      </c>
      <c r="D27" s="34">
        <v>17494</v>
      </c>
      <c r="E27" s="34">
        <f>E25*D27/D25</f>
        <v>19621.698304391273</v>
      </c>
      <c r="F27" s="34">
        <f t="shared" ref="F27:G27" si="22">F25*E27/E25</f>
        <v>21739.30008069157</v>
      </c>
      <c r="G27" s="34">
        <f t="shared" si="22"/>
        <v>24403.080238288592</v>
      </c>
      <c r="H27" s="18"/>
      <c r="I27" s="34">
        <f t="shared" ref="I27:M27" si="23">I29*I32</f>
        <v>4460.82</v>
      </c>
      <c r="J27" s="34">
        <f t="shared" si="23"/>
        <v>3992.72</v>
      </c>
      <c r="K27" s="34">
        <f t="shared" si="23"/>
        <v>4597.21</v>
      </c>
      <c r="L27" s="34">
        <f t="shared" si="23"/>
        <v>4443.5200000000004</v>
      </c>
      <c r="M27" s="34">
        <f t="shared" si="23"/>
        <v>5111.6099999999997</v>
      </c>
      <c r="N27" s="34">
        <f>N29*N32</f>
        <v>5273.0999999999995</v>
      </c>
      <c r="O27" s="18"/>
      <c r="P27" s="30">
        <f t="shared" si="3"/>
        <v>0.27000000000043656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38" x14ac:dyDescent="0.25">
      <c r="A29" s="4" t="s">
        <v>21</v>
      </c>
      <c r="B29" s="19">
        <v>8.2899999999999991</v>
      </c>
      <c r="C29" s="19">
        <v>9.74</v>
      </c>
      <c r="D29" s="19">
        <v>10.210000000000001</v>
      </c>
      <c r="E29" s="19">
        <f>E27/E32</f>
        <v>11.749519942749265</v>
      </c>
      <c r="F29" s="19">
        <f t="shared" ref="F29" si="24">F27/F32</f>
        <v>13.175333382237316</v>
      </c>
      <c r="G29" s="19">
        <f>G27/G32</f>
        <v>15.017280146639134</v>
      </c>
      <c r="H29" s="4"/>
      <c r="I29" s="19">
        <v>2.58</v>
      </c>
      <c r="J29" s="19">
        <v>2.3199999999999998</v>
      </c>
      <c r="K29" s="19">
        <v>2.69</v>
      </c>
      <c r="L29" s="19">
        <v>2.62</v>
      </c>
      <c r="M29" s="19">
        <v>3.03</v>
      </c>
      <c r="N29" s="19">
        <v>3.15</v>
      </c>
      <c r="P29" s="30">
        <f t="shared" si="3"/>
        <v>0</v>
      </c>
    </row>
    <row r="30" spans="1:38" x14ac:dyDescent="0.25">
      <c r="A30" s="4" t="s">
        <v>22</v>
      </c>
      <c r="B30" s="19">
        <v>8.2799999999999994</v>
      </c>
      <c r="C30" s="19">
        <v>9.73</v>
      </c>
      <c r="D30" s="19">
        <v>10.199999999999999</v>
      </c>
      <c r="E30" s="19">
        <f>E25/E33</f>
        <v>11.692350247515108</v>
      </c>
      <c r="F30" s="19">
        <f>F25/F33</f>
        <v>13.155039197229192</v>
      </c>
      <c r="G30" s="19">
        <f>G25/G33</f>
        <v>14.999507541620327</v>
      </c>
      <c r="H30" s="4"/>
      <c r="I30" s="19">
        <f t="shared" ref="I30:M30" si="25">I25/I33</f>
        <v>2.5788413098236775</v>
      </c>
      <c r="J30" s="19">
        <f t="shared" si="25"/>
        <v>2.3186423505572442</v>
      </c>
      <c r="K30" s="19">
        <f t="shared" si="25"/>
        <v>2.6911689637570189</v>
      </c>
      <c r="L30" s="19">
        <f t="shared" si="25"/>
        <v>2.6169665809768636</v>
      </c>
      <c r="M30" s="19">
        <f t="shared" si="25"/>
        <v>3.0279358510087948</v>
      </c>
      <c r="N30" s="19">
        <f>N25/N33</f>
        <v>3.1424843423799582</v>
      </c>
      <c r="P30" s="30">
        <f t="shared" si="3"/>
        <v>5.6192051148045152E-3</v>
      </c>
    </row>
    <row r="31" spans="1:38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38" x14ac:dyDescent="0.25">
      <c r="A32" s="4" t="s">
        <v>23</v>
      </c>
      <c r="B32" s="32">
        <v>1618</v>
      </c>
      <c r="C32" s="32">
        <v>1621</v>
      </c>
      <c r="D32" s="32">
        <v>1714</v>
      </c>
      <c r="E32" s="32">
        <v>1670</v>
      </c>
      <c r="F32" s="32">
        <v>1650</v>
      </c>
      <c r="G32" s="32">
        <v>1625</v>
      </c>
      <c r="H32" s="4"/>
      <c r="I32" s="32">
        <v>1729</v>
      </c>
      <c r="J32" s="32">
        <v>1721</v>
      </c>
      <c r="K32" s="32">
        <v>1709</v>
      </c>
      <c r="L32" s="32">
        <v>1696</v>
      </c>
      <c r="M32" s="32">
        <v>1687</v>
      </c>
      <c r="N32" s="4">
        <v>1674</v>
      </c>
    </row>
    <row r="33" spans="1:38" x14ac:dyDescent="0.25">
      <c r="A33" s="4" t="s">
        <v>24</v>
      </c>
      <c r="B33" s="32">
        <v>2085</v>
      </c>
      <c r="C33" s="32">
        <v>2029</v>
      </c>
      <c r="D33" s="32">
        <v>1966</v>
      </c>
      <c r="E33" s="32">
        <f>E59</f>
        <v>1924.125</v>
      </c>
      <c r="F33" s="32">
        <f t="shared" ref="F33:G33" si="26">F59</f>
        <v>1894.75</v>
      </c>
      <c r="G33" s="32">
        <f t="shared" si="26"/>
        <v>1865.375</v>
      </c>
      <c r="H33" s="4"/>
      <c r="I33" s="32">
        <v>1985</v>
      </c>
      <c r="J33" s="32">
        <v>1974</v>
      </c>
      <c r="K33" s="32">
        <v>1959</v>
      </c>
      <c r="L33" s="32">
        <v>1945</v>
      </c>
      <c r="M33" s="32">
        <v>1933</v>
      </c>
      <c r="N33" s="4">
        <v>1916</v>
      </c>
    </row>
    <row r="34" spans="1:38" x14ac:dyDescent="0.25">
      <c r="A34" s="4"/>
      <c r="B34" s="38"/>
      <c r="C34" s="38"/>
      <c r="D34" s="38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38" x14ac:dyDescent="0.25">
      <c r="A35" s="4" t="s">
        <v>125</v>
      </c>
      <c r="B35" s="4">
        <v>1.87</v>
      </c>
      <c r="C35" s="4">
        <v>2.08</v>
      </c>
      <c r="D35" s="4">
        <v>2.44</v>
      </c>
      <c r="E35" s="19">
        <v>2.5</v>
      </c>
      <c r="F35" s="19">
        <v>2.5</v>
      </c>
      <c r="G35" s="19">
        <v>2.5</v>
      </c>
      <c r="H35" s="4"/>
      <c r="I35" s="4"/>
      <c r="J35" s="4"/>
      <c r="K35" s="4"/>
      <c r="L35" s="4"/>
      <c r="M35" s="4"/>
      <c r="N35" s="4"/>
    </row>
    <row r="36" spans="1:38" x14ac:dyDescent="0.25">
      <c r="A36" s="4"/>
      <c r="B36" s="38"/>
      <c r="C36" s="38"/>
      <c r="D36" s="38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38" ht="14.4" x14ac:dyDescent="0.3">
      <c r="A37" s="24"/>
      <c r="B37" s="39" t="s">
        <v>0</v>
      </c>
      <c r="C37" s="39" t="s">
        <v>1</v>
      </c>
      <c r="D37" s="39" t="s">
        <v>2</v>
      </c>
      <c r="E37" s="39" t="s">
        <v>3</v>
      </c>
      <c r="F37" s="39" t="s">
        <v>4</v>
      </c>
      <c r="G37" s="39" t="s">
        <v>294</v>
      </c>
      <c r="H37" s="40"/>
      <c r="I37" s="18" t="s">
        <v>366</v>
      </c>
      <c r="J37" s="18" t="s">
        <v>367</v>
      </c>
      <c r="K37" s="18" t="s">
        <v>368</v>
      </c>
      <c r="L37" s="18" t="s">
        <v>369</v>
      </c>
      <c r="M37" s="41" t="s">
        <v>370</v>
      </c>
      <c r="N37" s="41" t="s">
        <v>371</v>
      </c>
    </row>
    <row r="38" spans="1:38" ht="14.4" x14ac:dyDescent="0.3">
      <c r="A38" s="4" t="s">
        <v>291</v>
      </c>
      <c r="B38" s="42">
        <v>0.09</v>
      </c>
      <c r="C38" s="42">
        <v>0.08</v>
      </c>
      <c r="D38" s="42">
        <v>0.08</v>
      </c>
      <c r="E38" s="43">
        <v>0.08</v>
      </c>
      <c r="F38" s="43">
        <v>0.09</v>
      </c>
      <c r="G38" s="43">
        <v>0.09</v>
      </c>
      <c r="H38" s="42"/>
      <c r="I38" s="23">
        <v>0.09</v>
      </c>
      <c r="J38" s="23">
        <v>0.08</v>
      </c>
      <c r="K38" s="23">
        <v>0.08</v>
      </c>
      <c r="L38" s="23">
        <v>0.09</v>
      </c>
      <c r="M38" s="23">
        <v>0.08</v>
      </c>
      <c r="N38" s="23">
        <v>0.09</v>
      </c>
    </row>
    <row r="39" spans="1:38" ht="14.4" x14ac:dyDescent="0.3">
      <c r="A39" s="4" t="s">
        <v>292</v>
      </c>
      <c r="B39" s="42">
        <v>0.2</v>
      </c>
      <c r="C39" s="42">
        <v>0.15</v>
      </c>
      <c r="D39" s="42">
        <v>0.13</v>
      </c>
      <c r="E39" s="43">
        <v>0.14000000000000001</v>
      </c>
      <c r="F39" s="43">
        <v>0.15</v>
      </c>
      <c r="G39" s="43">
        <v>0.18</v>
      </c>
      <c r="H39" s="42"/>
      <c r="I39" s="23">
        <v>0.16</v>
      </c>
      <c r="J39" s="23">
        <v>0.13</v>
      </c>
      <c r="K39" s="23">
        <v>0.12</v>
      </c>
      <c r="L39" s="23">
        <v>0.12</v>
      </c>
      <c r="M39" s="23">
        <v>0.12</v>
      </c>
      <c r="N39" s="23">
        <v>0.12</v>
      </c>
    </row>
    <row r="40" spans="1:38" ht="14.4" x14ac:dyDescent="0.3">
      <c r="A40" s="4" t="s">
        <v>293</v>
      </c>
      <c r="B40" s="42">
        <v>0.1</v>
      </c>
      <c r="C40" s="42">
        <v>0.1</v>
      </c>
      <c r="D40" s="42">
        <v>0.1</v>
      </c>
      <c r="E40" s="43">
        <v>0.1</v>
      </c>
      <c r="F40" s="43">
        <v>0.1</v>
      </c>
      <c r="G40" s="43">
        <v>0.1</v>
      </c>
      <c r="H40" s="42"/>
      <c r="I40" s="23">
        <v>0.11</v>
      </c>
      <c r="J40" s="23">
        <v>0.09</v>
      </c>
      <c r="K40" s="23">
        <v>0.1</v>
      </c>
      <c r="L40" s="23">
        <v>0.1</v>
      </c>
      <c r="M40" s="23">
        <v>0.09</v>
      </c>
      <c r="N40" s="23">
        <v>0.09</v>
      </c>
    </row>
    <row r="41" spans="1:38" ht="14.4" x14ac:dyDescent="0.3">
      <c r="A41" s="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/>
      <c r="N41" s="4"/>
    </row>
    <row r="42" spans="1:38" ht="14.4" x14ac:dyDescent="0.3">
      <c r="A42" s="24"/>
      <c r="B42" s="39" t="s">
        <v>0</v>
      </c>
      <c r="C42" s="39" t="s">
        <v>1</v>
      </c>
      <c r="D42" s="39" t="s">
        <v>2</v>
      </c>
      <c r="E42" s="39" t="s">
        <v>3</v>
      </c>
      <c r="F42" s="39" t="s">
        <v>4</v>
      </c>
      <c r="G42" s="39" t="s">
        <v>294</v>
      </c>
      <c r="H42" s="44"/>
      <c r="I42" s="18" t="s">
        <v>366</v>
      </c>
      <c r="J42" s="18" t="s">
        <v>367</v>
      </c>
      <c r="K42" s="18" t="s">
        <v>368</v>
      </c>
      <c r="L42" s="18" t="s">
        <v>369</v>
      </c>
      <c r="M42" s="41" t="s">
        <v>370</v>
      </c>
      <c r="N42" s="41" t="s">
        <v>371</v>
      </c>
    </row>
    <row r="43" spans="1:38" x14ac:dyDescent="0.25">
      <c r="A43" s="47" t="s">
        <v>285</v>
      </c>
      <c r="B43" s="32">
        <v>14826</v>
      </c>
      <c r="C43" s="32">
        <v>16114</v>
      </c>
      <c r="D43" s="32">
        <v>17539</v>
      </c>
      <c r="E43" s="32">
        <f>D43*(1+E38)</f>
        <v>18942.120000000003</v>
      </c>
      <c r="F43" s="32">
        <f t="shared" ref="F43:G43" si="27">E43*(1+F38)</f>
        <v>20646.910800000005</v>
      </c>
      <c r="G43" s="32">
        <f t="shared" si="27"/>
        <v>22505.132772000008</v>
      </c>
      <c r="H43" s="4"/>
      <c r="I43" s="32">
        <v>4208</v>
      </c>
      <c r="J43" s="32">
        <v>4399</v>
      </c>
      <c r="K43" s="32">
        <v>4330</v>
      </c>
      <c r="L43" s="32">
        <v>4602</v>
      </c>
      <c r="M43" s="32">
        <v>4760</v>
      </c>
      <c r="N43" s="32">
        <v>4981</v>
      </c>
      <c r="P43" s="30">
        <f t="shared" ref="P43:P49" si="28">SUM(I43:L43)-D43</f>
        <v>0</v>
      </c>
    </row>
    <row r="44" spans="1:38" x14ac:dyDescent="0.25">
      <c r="A44" s="47" t="s">
        <v>284</v>
      </c>
      <c r="B44" s="32">
        <v>16007</v>
      </c>
      <c r="C44" s="32">
        <v>17714</v>
      </c>
      <c r="D44" s="32">
        <v>19993</v>
      </c>
      <c r="E44" s="32">
        <f>D44*(1+E40)</f>
        <v>21992.300000000003</v>
      </c>
      <c r="F44" s="32">
        <f t="shared" ref="F44:G44" si="29">E44*(1+F40)</f>
        <v>24191.530000000006</v>
      </c>
      <c r="G44" s="32">
        <f t="shared" si="29"/>
        <v>26610.683000000008</v>
      </c>
      <c r="H44" s="4"/>
      <c r="I44" s="32">
        <v>4745</v>
      </c>
      <c r="J44" s="32">
        <v>4701</v>
      </c>
      <c r="K44" s="32">
        <v>5153</v>
      </c>
      <c r="L44" s="32">
        <v>5394</v>
      </c>
      <c r="M44" s="32">
        <v>5544</v>
      </c>
      <c r="N44" s="32">
        <v>5543</v>
      </c>
      <c r="P44" s="30">
        <f t="shared" si="28"/>
        <v>0</v>
      </c>
    </row>
    <row r="45" spans="1:38" x14ac:dyDescent="0.25">
      <c r="A45" s="47" t="s">
        <v>295</v>
      </c>
      <c r="B45" s="32">
        <v>11638</v>
      </c>
      <c r="C45" s="32">
        <v>12665</v>
      </c>
      <c r="D45" s="32">
        <v>14166</v>
      </c>
      <c r="E45" s="32">
        <f>D45*(1+E39)</f>
        <v>16149.240000000002</v>
      </c>
      <c r="F45" s="32">
        <f t="shared" ref="F45:G45" si="30">E45*(1+F39)</f>
        <v>18571.626</v>
      </c>
      <c r="G45" s="32">
        <f t="shared" si="30"/>
        <v>21914.518679999997</v>
      </c>
      <c r="H45" s="4"/>
      <c r="I45" s="32">
        <v>3442</v>
      </c>
      <c r="J45" s="32">
        <v>3291</v>
      </c>
      <c r="K45" s="32">
        <v>3633</v>
      </c>
      <c r="L45" s="32">
        <v>3800</v>
      </c>
      <c r="M45" s="32">
        <v>3652</v>
      </c>
      <c r="N45" s="32">
        <v>3631</v>
      </c>
      <c r="P45" s="30">
        <f t="shared" si="28"/>
        <v>0</v>
      </c>
    </row>
    <row r="46" spans="1:38" x14ac:dyDescent="0.25">
      <c r="A46" s="47" t="s">
        <v>287</v>
      </c>
      <c r="B46" s="32">
        <v>2479</v>
      </c>
      <c r="C46" s="32">
        <v>3197</v>
      </c>
      <c r="D46" s="32">
        <v>4053</v>
      </c>
      <c r="E46" s="32">
        <f>2*(M46+N46)</f>
        <v>5068</v>
      </c>
      <c r="F46" s="32">
        <f>E46*1.15</f>
        <v>5828.2</v>
      </c>
      <c r="G46" s="32">
        <f>F46*1.15</f>
        <v>6702.4299999999994</v>
      </c>
      <c r="H46" s="4"/>
      <c r="I46" s="32">
        <v>912</v>
      </c>
      <c r="J46" s="32">
        <v>937</v>
      </c>
      <c r="K46" s="32">
        <v>1028</v>
      </c>
      <c r="L46" s="32">
        <v>1176</v>
      </c>
      <c r="M46" s="32">
        <v>1214</v>
      </c>
      <c r="N46" s="32">
        <v>1320</v>
      </c>
      <c r="P46" s="30">
        <f t="shared" si="28"/>
        <v>0</v>
      </c>
    </row>
    <row r="47" spans="1:38" s="1" customFormat="1" x14ac:dyDescent="0.25">
      <c r="A47" s="18" t="s">
        <v>290</v>
      </c>
      <c r="B47" s="34">
        <f>SUM(B43:B46)</f>
        <v>44950</v>
      </c>
      <c r="C47" s="34">
        <f t="shared" ref="C47:G47" si="31">SUM(C43:C46)</f>
        <v>49690</v>
      </c>
      <c r="D47" s="34">
        <f t="shared" si="31"/>
        <v>55751</v>
      </c>
      <c r="E47" s="34">
        <f t="shared" si="31"/>
        <v>62151.66</v>
      </c>
      <c r="F47" s="34">
        <f t="shared" si="31"/>
        <v>69238.266800000012</v>
      </c>
      <c r="G47" s="34">
        <f t="shared" si="31"/>
        <v>77732.764452000003</v>
      </c>
      <c r="H47" s="18"/>
      <c r="I47" s="34">
        <f t="shared" ref="I47:L47" si="32">SUM(I43:I46)</f>
        <v>13307</v>
      </c>
      <c r="J47" s="34">
        <f t="shared" si="32"/>
        <v>13328</v>
      </c>
      <c r="K47" s="34">
        <f t="shared" si="32"/>
        <v>14144</v>
      </c>
      <c r="L47" s="34">
        <f t="shared" si="32"/>
        <v>14972</v>
      </c>
      <c r="M47" s="34">
        <f t="shared" ref="M47" si="33">SUM(M43:M46)</f>
        <v>15170</v>
      </c>
      <c r="N47" s="34">
        <f t="shared" ref="N47" si="34">SUM(N43:N46)</f>
        <v>15475</v>
      </c>
      <c r="O47" s="18"/>
      <c r="P47" s="30">
        <f t="shared" si="28"/>
        <v>0</v>
      </c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38" x14ac:dyDescent="0.25">
      <c r="A48" s="47" t="s">
        <v>289</v>
      </c>
      <c r="B48" s="32">
        <v>-12297</v>
      </c>
      <c r="C48" s="32">
        <v>-13764</v>
      </c>
      <c r="D48" s="32">
        <v>-15751</v>
      </c>
      <c r="E48" s="32">
        <f>-E50*E47</f>
        <v>-17751.659999999996</v>
      </c>
      <c r="F48" s="32">
        <f t="shared" ref="F48:G48" si="35">-F50*F47</f>
        <v>-20398.266799999998</v>
      </c>
      <c r="G48" s="32">
        <f t="shared" si="35"/>
        <v>-23520.364451999983</v>
      </c>
      <c r="H48" s="4"/>
      <c r="I48" s="32">
        <v>-3797</v>
      </c>
      <c r="J48" s="32">
        <v>-3734</v>
      </c>
      <c r="K48" s="32">
        <v>-3972</v>
      </c>
      <c r="L48" s="32">
        <v>-4248</v>
      </c>
      <c r="M48" s="32">
        <v>-4269</v>
      </c>
      <c r="N48" s="32">
        <v>-4245</v>
      </c>
      <c r="P48" s="30">
        <f t="shared" si="28"/>
        <v>0</v>
      </c>
    </row>
    <row r="49" spans="1:38" s="1" customFormat="1" x14ac:dyDescent="0.25">
      <c r="A49" s="18" t="s">
        <v>5</v>
      </c>
      <c r="B49" s="34">
        <f t="shared" ref="B49:C49" si="36">B47+B48</f>
        <v>32653</v>
      </c>
      <c r="C49" s="34">
        <f t="shared" si="36"/>
        <v>35926</v>
      </c>
      <c r="D49" s="34">
        <f>D47+D48</f>
        <v>40000</v>
      </c>
      <c r="E49" s="34">
        <f>E47+E48</f>
        <v>44400.000000000007</v>
      </c>
      <c r="F49" s="34">
        <f t="shared" ref="F49:G49" si="37">F47+F48</f>
        <v>48840.000000000015</v>
      </c>
      <c r="G49" s="34">
        <f t="shared" si="37"/>
        <v>54212.400000000023</v>
      </c>
      <c r="H49" s="18"/>
      <c r="I49" s="34">
        <f t="shared" ref="I49:L49" si="38">I47+I48</f>
        <v>9510</v>
      </c>
      <c r="J49" s="34">
        <f t="shared" si="38"/>
        <v>9594</v>
      </c>
      <c r="K49" s="34">
        <f t="shared" si="38"/>
        <v>10172</v>
      </c>
      <c r="L49" s="34">
        <f t="shared" si="38"/>
        <v>10724</v>
      </c>
      <c r="M49" s="34">
        <f>M47+M48</f>
        <v>10901</v>
      </c>
      <c r="N49" s="34">
        <f>N47+N48</f>
        <v>11230</v>
      </c>
      <c r="O49" s="18"/>
      <c r="P49" s="30">
        <f t="shared" si="28"/>
        <v>0</v>
      </c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s="9" customFormat="1" x14ac:dyDescent="0.25">
      <c r="A50" s="17" t="s">
        <v>418</v>
      </c>
      <c r="B50" s="36">
        <f>-B48/B47</f>
        <v>0.27357063403781978</v>
      </c>
      <c r="C50" s="36">
        <f t="shared" ref="C50:D50" si="39">-C48/C47</f>
        <v>0.2769973837794325</v>
      </c>
      <c r="D50" s="36">
        <f t="shared" si="39"/>
        <v>0.28252408028555542</v>
      </c>
      <c r="E50" s="43">
        <v>0.28561843722275471</v>
      </c>
      <c r="F50" s="43">
        <v>0.29460972584599698</v>
      </c>
      <c r="G50" s="43">
        <v>0.30257980168097343</v>
      </c>
      <c r="H50" s="17"/>
      <c r="I50" s="36">
        <f t="shared" ref="I50:N50" si="40">-I48/I47</f>
        <v>0.28533854362365674</v>
      </c>
      <c r="J50" s="36">
        <f t="shared" si="40"/>
        <v>0.28016206482593037</v>
      </c>
      <c r="K50" s="36">
        <f t="shared" si="40"/>
        <v>0.28082579185520362</v>
      </c>
      <c r="L50" s="36">
        <f t="shared" si="40"/>
        <v>0.28372962864012824</v>
      </c>
      <c r="M50" s="36">
        <f t="shared" si="40"/>
        <v>0.28141067897165456</v>
      </c>
      <c r="N50" s="36">
        <f t="shared" si="40"/>
        <v>0.27431340872374799</v>
      </c>
      <c r="O50" s="17"/>
      <c r="P50" s="30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spans="1:38" ht="14.4" x14ac:dyDescent="0.3">
      <c r="A51" s="24"/>
      <c r="B51" s="44"/>
      <c r="C51" s="44"/>
      <c r="D51" s="44"/>
      <c r="E51" s="42"/>
      <c r="F51" s="42"/>
      <c r="G51" s="42"/>
      <c r="H51" s="44"/>
      <c r="I51" s="44"/>
      <c r="J51" s="44"/>
      <c r="K51" s="44"/>
      <c r="L51" s="44"/>
      <c r="M51" s="4"/>
      <c r="N51" s="4"/>
    </row>
    <row r="52" spans="1:38" ht="14.4" x14ac:dyDescent="0.3">
      <c r="A52" s="18" t="s">
        <v>419</v>
      </c>
      <c r="B52" s="44"/>
      <c r="C52" s="44"/>
      <c r="D52" s="44"/>
      <c r="E52" s="42"/>
      <c r="F52" s="42"/>
      <c r="G52" s="42"/>
      <c r="H52" s="44"/>
      <c r="I52" s="44"/>
      <c r="J52" s="44"/>
      <c r="K52" s="44"/>
      <c r="L52" s="44"/>
      <c r="M52" s="4"/>
      <c r="N52" s="4"/>
    </row>
    <row r="53" spans="1:38" ht="14.4" x14ac:dyDescent="0.3">
      <c r="A53" s="47" t="s">
        <v>421</v>
      </c>
      <c r="B53" s="48">
        <v>2136</v>
      </c>
      <c r="C53" s="48">
        <f>B59</f>
        <v>2085</v>
      </c>
      <c r="D53" s="48">
        <f t="shared" ref="D53:G53" si="41">C59</f>
        <v>2029</v>
      </c>
      <c r="E53" s="48">
        <f t="shared" si="41"/>
        <v>1966</v>
      </c>
      <c r="F53" s="48">
        <f t="shared" si="41"/>
        <v>1924.125</v>
      </c>
      <c r="G53" s="48">
        <f t="shared" si="41"/>
        <v>1894.75</v>
      </c>
      <c r="H53" s="44"/>
      <c r="I53" s="44"/>
      <c r="J53" s="44"/>
      <c r="K53" s="44"/>
      <c r="L53" s="44"/>
      <c r="M53" s="4"/>
      <c r="N53" s="4"/>
    </row>
    <row r="54" spans="1:38" ht="14.4" x14ac:dyDescent="0.3">
      <c r="A54" s="47" t="s">
        <v>422</v>
      </c>
      <c r="B54" s="48">
        <f t="shared" ref="B54" si="42">-B165</f>
        <v>12101</v>
      </c>
      <c r="C54" s="48">
        <v>16958</v>
      </c>
      <c r="D54" s="48">
        <v>18185</v>
      </c>
      <c r="E54" s="48">
        <f>E194</f>
        <v>15000</v>
      </c>
      <c r="F54" s="48">
        <f t="shared" ref="F54:G54" si="43">F194</f>
        <v>11000</v>
      </c>
      <c r="G54" s="48">
        <f t="shared" si="43"/>
        <v>11000</v>
      </c>
      <c r="H54" s="44"/>
      <c r="I54" s="44"/>
      <c r="J54" s="44"/>
      <c r="K54" s="44"/>
      <c r="L54" s="44"/>
      <c r="M54" s="4"/>
      <c r="N54" s="4"/>
    </row>
    <row r="55" spans="1:38" ht="14.4" x14ac:dyDescent="0.3">
      <c r="A55" s="47" t="s">
        <v>420</v>
      </c>
      <c r="B55" s="48">
        <v>222.27</v>
      </c>
      <c r="C55" s="48">
        <v>266.24</v>
      </c>
      <c r="D55" s="48">
        <v>335.44</v>
      </c>
      <c r="E55" s="49">
        <v>320</v>
      </c>
      <c r="F55" s="49">
        <v>320</v>
      </c>
      <c r="G55" s="49">
        <v>320</v>
      </c>
      <c r="H55" s="44"/>
      <c r="I55" s="44"/>
      <c r="J55" s="44"/>
      <c r="K55" s="44"/>
      <c r="L55" s="44"/>
      <c r="M55" s="4"/>
      <c r="N55" s="4"/>
    </row>
    <row r="56" spans="1:38" ht="14.4" x14ac:dyDescent="0.3">
      <c r="A56" s="47" t="s">
        <v>423</v>
      </c>
      <c r="B56" s="48">
        <f t="shared" ref="B56:C56" si="44">B54/B55</f>
        <v>54.44279479911819</v>
      </c>
      <c r="C56" s="48">
        <f t="shared" si="44"/>
        <v>63.694411057692307</v>
      </c>
      <c r="D56" s="48">
        <f>D54/D55</f>
        <v>54.212377772477943</v>
      </c>
      <c r="E56" s="48">
        <f>E54/E55</f>
        <v>46.875</v>
      </c>
      <c r="F56" s="48">
        <f t="shared" ref="F56:G56" si="45">F54/F55</f>
        <v>34.375</v>
      </c>
      <c r="G56" s="48">
        <f t="shared" si="45"/>
        <v>34.375</v>
      </c>
      <c r="H56" s="44"/>
      <c r="I56" s="44"/>
      <c r="J56" s="44"/>
      <c r="K56" s="44"/>
      <c r="L56" s="44"/>
      <c r="M56" s="4"/>
      <c r="N56" s="4"/>
    </row>
    <row r="57" spans="1:38" ht="14.4" x14ac:dyDescent="0.3">
      <c r="A57" s="47" t="s">
        <v>424</v>
      </c>
      <c r="B57" s="48">
        <v>-3</v>
      </c>
      <c r="C57" s="48">
        <v>-8</v>
      </c>
      <c r="D57" s="48">
        <v>9</v>
      </c>
      <c r="E57" s="49">
        <v>-5</v>
      </c>
      <c r="F57" s="49">
        <v>-5</v>
      </c>
      <c r="G57" s="49">
        <v>-5</v>
      </c>
      <c r="H57" s="44"/>
      <c r="I57" s="44"/>
      <c r="J57" s="44"/>
      <c r="K57" s="44"/>
      <c r="L57" s="44"/>
      <c r="M57" s="4"/>
      <c r="N57" s="4"/>
    </row>
    <row r="58" spans="1:38" ht="14.4" x14ac:dyDescent="0.3">
      <c r="A58" s="47" t="s">
        <v>425</v>
      </c>
      <c r="B58" s="48">
        <f t="shared" ref="B58:C58" si="46">B56+B57</f>
        <v>51.44279479911819</v>
      </c>
      <c r="C58" s="48">
        <f t="shared" si="46"/>
        <v>55.694411057692307</v>
      </c>
      <c r="D58" s="48">
        <f>D56+D57</f>
        <v>63.212377772477943</v>
      </c>
      <c r="E58" s="48">
        <f t="shared" ref="E58:G58" si="47">E56+E57</f>
        <v>41.875</v>
      </c>
      <c r="F58" s="48">
        <f t="shared" si="47"/>
        <v>29.375</v>
      </c>
      <c r="G58" s="48">
        <f t="shared" si="47"/>
        <v>29.375</v>
      </c>
      <c r="H58" s="44"/>
      <c r="I58" s="44"/>
      <c r="J58" s="44"/>
      <c r="K58" s="44"/>
      <c r="L58" s="44"/>
      <c r="M58" s="4"/>
      <c r="N58" s="4"/>
    </row>
    <row r="59" spans="1:38" s="1" customFormat="1" ht="14.4" x14ac:dyDescent="0.3">
      <c r="A59" s="50" t="s">
        <v>426</v>
      </c>
      <c r="B59" s="51">
        <v>2085</v>
      </c>
      <c r="C59" s="51">
        <v>2029</v>
      </c>
      <c r="D59" s="51">
        <v>1966</v>
      </c>
      <c r="E59" s="51">
        <f>E53-E58</f>
        <v>1924.125</v>
      </c>
      <c r="F59" s="51">
        <f t="shared" ref="F59:G59" si="48">F53-F58</f>
        <v>1894.75</v>
      </c>
      <c r="G59" s="51">
        <f t="shared" si="48"/>
        <v>1865.375</v>
      </c>
      <c r="H59" s="52"/>
      <c r="I59" s="52"/>
      <c r="J59" s="52"/>
      <c r="K59" s="52"/>
      <c r="L59" s="52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4.4" x14ac:dyDescent="0.3">
      <c r="A60" s="46"/>
      <c r="B60" s="53"/>
      <c r="C60" s="53"/>
      <c r="D60" s="53"/>
      <c r="E60" s="42"/>
      <c r="F60" s="42"/>
      <c r="G60" s="42"/>
      <c r="H60" s="44"/>
      <c r="I60" s="44"/>
      <c r="J60" s="44"/>
      <c r="K60" s="44"/>
      <c r="L60" s="44"/>
      <c r="M60" s="4"/>
      <c r="N60" s="4"/>
    </row>
    <row r="61" spans="1:38" ht="14.4" x14ac:dyDescent="0.3">
      <c r="A61" s="18" t="s">
        <v>442</v>
      </c>
      <c r="B61" s="53"/>
      <c r="C61" s="53"/>
      <c r="D61" s="53"/>
      <c r="E61" s="42"/>
      <c r="F61" s="42"/>
      <c r="G61" s="42"/>
      <c r="H61" s="44"/>
      <c r="I61" s="44"/>
      <c r="J61" s="44"/>
      <c r="K61" s="44"/>
      <c r="L61" s="44"/>
      <c r="M61" s="4"/>
      <c r="N61" s="4"/>
    </row>
    <row r="62" spans="1:38" ht="14.4" x14ac:dyDescent="0.3">
      <c r="A62" s="47" t="str">
        <f>A5&amp;" % of rev"</f>
        <v>Personnel % of rev</v>
      </c>
      <c r="B62" s="67">
        <f>B5/B47</f>
        <v>0.12972191323692991</v>
      </c>
      <c r="C62" s="67">
        <f t="shared" ref="C62:D62" si="49">C5/C47</f>
        <v>0.12606158180720467</v>
      </c>
      <c r="D62" s="67">
        <f t="shared" si="49"/>
        <v>0.12485874692830622</v>
      </c>
      <c r="E62" s="43">
        <f>D62+0.06%</f>
        <v>0.12545874692830622</v>
      </c>
      <c r="F62" s="43">
        <f t="shared" ref="F62:G62" si="50">E62+0.06%</f>
        <v>0.12605874692830621</v>
      </c>
      <c r="G62" s="43">
        <f t="shared" si="50"/>
        <v>0.1266587469283062</v>
      </c>
      <c r="H62" s="44"/>
      <c r="I62" s="67">
        <f t="shared" ref="I62:N62" si="51">I5/I47</f>
        <v>0.13624408206207259</v>
      </c>
      <c r="J62" s="67">
        <f t="shared" si="51"/>
        <v>0.12432472989195678</v>
      </c>
      <c r="K62" s="67">
        <f t="shared" si="51"/>
        <v>0.1236566742081448</v>
      </c>
      <c r="L62" s="67">
        <f t="shared" si="51"/>
        <v>0.11635052097248197</v>
      </c>
      <c r="M62" s="67">
        <f t="shared" si="51"/>
        <v>0.11628213579433092</v>
      </c>
      <c r="N62" s="67">
        <f t="shared" si="51"/>
        <v>0.11896607431340872</v>
      </c>
    </row>
    <row r="63" spans="1:38" ht="14.4" x14ac:dyDescent="0.3">
      <c r="A63" s="47" t="str">
        <f t="shared" ref="A63:A68" si="52">A6&amp;" % of rev"</f>
        <v>Marketing % of rev</v>
      </c>
      <c r="B63" s="67">
        <f>B6/B47</f>
        <v>2.9833147942157953E-2</v>
      </c>
      <c r="C63" s="67">
        <f t="shared" ref="C63:D63" si="53">C6/C47</f>
        <v>3.1394646810223387E-2</v>
      </c>
      <c r="D63" s="67">
        <f t="shared" si="53"/>
        <v>3.0205736219978116E-2</v>
      </c>
      <c r="E63" s="43">
        <f>D63+0.2%</f>
        <v>3.2205736219978118E-2</v>
      </c>
      <c r="F63" s="43">
        <f>E63+0.05%</f>
        <v>3.2705736219978118E-2</v>
      </c>
      <c r="G63" s="43">
        <f>F63+0.05%</f>
        <v>3.3205736219978119E-2</v>
      </c>
      <c r="H63" s="44"/>
      <c r="I63" s="67">
        <f t="shared" ref="I63:N63" si="54">I6/I47</f>
        <v>2.2995415946494326E-2</v>
      </c>
      <c r="J63" s="67">
        <f t="shared" si="54"/>
        <v>2.8586434573829533E-2</v>
      </c>
      <c r="K63" s="67">
        <f t="shared" si="54"/>
        <v>2.9765271493212668E-2</v>
      </c>
      <c r="L63" s="67">
        <f t="shared" si="54"/>
        <v>3.8471814052898741E-2</v>
      </c>
      <c r="M63" s="67">
        <f t="shared" si="54"/>
        <v>2.7027027027027029E-2</v>
      </c>
      <c r="N63" s="67">
        <f t="shared" si="54"/>
        <v>3.5218093699515347E-2</v>
      </c>
    </row>
    <row r="64" spans="1:38" ht="14.4" x14ac:dyDescent="0.3">
      <c r="A64" s="47" t="str">
        <f t="shared" si="52"/>
        <v>Network and processing % of rev</v>
      </c>
      <c r="B64" s="67">
        <f>B7/B47</f>
        <v>1.6373748609566186E-2</v>
      </c>
      <c r="C64" s="67">
        <f t="shared" ref="C64:D64" si="55">C7/C47</f>
        <v>1.5657073857919097E-2</v>
      </c>
      <c r="D64" s="67">
        <f t="shared" si="55"/>
        <v>1.6035586805617837E-2</v>
      </c>
      <c r="E64" s="43">
        <f>D64+0.2%</f>
        <v>1.8035586805617836E-2</v>
      </c>
      <c r="F64" s="43">
        <f>E64</f>
        <v>1.8035586805617836E-2</v>
      </c>
      <c r="G64" s="43">
        <f>F64</f>
        <v>1.8035586805617836E-2</v>
      </c>
      <c r="H64" s="44"/>
      <c r="I64" s="67">
        <f t="shared" ref="I64:N64" si="56">I7/I47</f>
        <v>1.5555722552040279E-2</v>
      </c>
      <c r="J64" s="67">
        <f t="shared" si="56"/>
        <v>1.680672268907563E-2</v>
      </c>
      <c r="K64" s="67">
        <f t="shared" si="56"/>
        <v>1.5837104072398189E-2</v>
      </c>
      <c r="L64" s="67">
        <f t="shared" si="56"/>
        <v>1.5963131178199304E-2</v>
      </c>
      <c r="M64" s="67">
        <f t="shared" si="56"/>
        <v>1.5359261700725116E-2</v>
      </c>
      <c r="N64" s="67">
        <f t="shared" si="56"/>
        <v>1.6801292407108238E-2</v>
      </c>
    </row>
    <row r="65" spans="1:14" ht="14.4" x14ac:dyDescent="0.3">
      <c r="A65" s="47" t="str">
        <f>A8&amp;" % of rev"</f>
        <v>Professional fees % of rev</v>
      </c>
      <c r="B65" s="67">
        <f>B8/B47</f>
        <v>1.2124582869855394E-2</v>
      </c>
      <c r="C65" s="67">
        <f t="shared" ref="C65:D65" si="57">C8/C47</f>
        <v>1.2779231233648622E-2</v>
      </c>
      <c r="D65" s="67">
        <f t="shared" si="57"/>
        <v>1.3614105576581586E-2</v>
      </c>
      <c r="E65" s="43">
        <f t="shared" ref="E65" si="58">D65+0.1%</f>
        <v>1.4614105576581587E-2</v>
      </c>
      <c r="F65" s="43">
        <f t="shared" ref="F65" si="59">E65+0.1%</f>
        <v>1.5614105576581588E-2</v>
      </c>
      <c r="G65" s="43">
        <f t="shared" ref="G65" si="60">F65+0.1%</f>
        <v>1.6614105576581589E-2</v>
      </c>
      <c r="H65" s="44"/>
      <c r="I65" s="67">
        <f t="shared" ref="I65:N65" si="61">I8/I47</f>
        <v>1.0746223791989178E-2</v>
      </c>
      <c r="J65" s="67">
        <f t="shared" si="61"/>
        <v>1.2980192076830733E-2</v>
      </c>
      <c r="K65" s="67">
        <f t="shared" si="61"/>
        <v>1.3221153846153846E-2</v>
      </c>
      <c r="L65" s="67">
        <f t="shared" si="61"/>
        <v>1.7098584023510555E-2</v>
      </c>
      <c r="M65" s="67">
        <f t="shared" si="61"/>
        <v>1.3711272247857613E-2</v>
      </c>
      <c r="N65" s="67">
        <f t="shared" si="61"/>
        <v>1.5379644588045234E-2</v>
      </c>
    </row>
    <row r="66" spans="1:14" ht="14.4" x14ac:dyDescent="0.3">
      <c r="A66" s="47" t="str">
        <f t="shared" si="52"/>
        <v>Depreciation and amortization % of rev</v>
      </c>
      <c r="B66" s="67">
        <f>B9/B47</f>
        <v>2.0978865406006676E-2</v>
      </c>
      <c r="C66" s="67">
        <f t="shared" ref="C66:G66" si="62">C9/C47</f>
        <v>2.0809015898571141E-2</v>
      </c>
      <c r="D66" s="67">
        <f t="shared" si="62"/>
        <v>2.1883015551290561E-2</v>
      </c>
      <c r="E66" s="67">
        <f t="shared" si="62"/>
        <v>2.2883015551290561E-2</v>
      </c>
      <c r="F66" s="67">
        <f t="shared" si="62"/>
        <v>2.3883015551290562E-2</v>
      </c>
      <c r="G66" s="67">
        <f t="shared" si="62"/>
        <v>2.4883015551290563E-2</v>
      </c>
      <c r="H66" s="44"/>
      <c r="I66" s="67">
        <f t="shared" ref="I66:N66" si="63">I9/I47</f>
        <v>2.1191853911475163E-2</v>
      </c>
      <c r="J66" s="67">
        <f t="shared" si="63"/>
        <v>2.2884153661464585E-2</v>
      </c>
      <c r="K66" s="67">
        <f t="shared" si="63"/>
        <v>2.2412330316742082E-2</v>
      </c>
      <c r="L66" s="67">
        <f t="shared" si="63"/>
        <v>2.1106064654020838E-2</v>
      </c>
      <c r="M66" s="67">
        <f t="shared" si="63"/>
        <v>2.148978246539222E-2</v>
      </c>
      <c r="N66" s="67">
        <f t="shared" si="63"/>
        <v>2.1518578352180937E-2</v>
      </c>
    </row>
    <row r="67" spans="1:14" ht="14.4" x14ac:dyDescent="0.3">
      <c r="A67" s="47" t="str">
        <f>A10&amp;" % of rev"</f>
        <v>General and administrative % of rev</v>
      </c>
      <c r="B67" s="67">
        <f>B10/B47</f>
        <v>2.9588431590656286E-2</v>
      </c>
      <c r="C67" s="67">
        <f t="shared" ref="C67:D67" si="64">C10/C47</f>
        <v>3.2159388206882675E-2</v>
      </c>
      <c r="D67" s="67">
        <f t="shared" si="64"/>
        <v>3.4546465534250503E-2</v>
      </c>
      <c r="E67" s="43">
        <f>D67+0.2%</f>
        <v>3.6546465534250505E-2</v>
      </c>
      <c r="F67" s="43">
        <f t="shared" ref="F67:G67" si="65">E67+0.2%</f>
        <v>3.8546465534250507E-2</v>
      </c>
      <c r="G67" s="43">
        <f t="shared" si="65"/>
        <v>4.0546465534250509E-2</v>
      </c>
      <c r="H67" s="44"/>
      <c r="I67" s="67">
        <f t="shared" ref="I67:N67" si="66">I10/I47</f>
        <v>3.6146389118509058E-2</v>
      </c>
      <c r="J67" s="67">
        <f t="shared" si="66"/>
        <v>3.1437575030012002E-2</v>
      </c>
      <c r="K67" s="67">
        <f t="shared" si="66"/>
        <v>3.4078054298642531E-2</v>
      </c>
      <c r="L67" s="67">
        <f t="shared" si="66"/>
        <v>3.6334491049959929E-2</v>
      </c>
      <c r="M67" s="67">
        <f t="shared" si="66"/>
        <v>3.3948582729070531E-2</v>
      </c>
      <c r="N67" s="67">
        <f t="shared" si="66"/>
        <v>2.9079159935379646E-2</v>
      </c>
    </row>
    <row r="68" spans="1:14" ht="14.4" x14ac:dyDescent="0.3">
      <c r="A68" s="47" t="str">
        <f t="shared" si="52"/>
        <v>Litigation provision % of rev</v>
      </c>
      <c r="B68" s="67">
        <f>B11/B47</f>
        <v>2.0622914349276975E-2</v>
      </c>
      <c r="C68" s="67">
        <f t="shared" ref="C68:G68" si="67">C11/C47</f>
        <v>9.2976454014892327E-3</v>
      </c>
      <c r="D68" s="67">
        <f t="shared" si="67"/>
        <v>4.5954332657710179E-2</v>
      </c>
      <c r="E68" s="67">
        <f t="shared" si="67"/>
        <v>3.2253155697596368E-2</v>
      </c>
      <c r="F68" s="67">
        <f t="shared" si="67"/>
        <v>2.1072569813837205E-2</v>
      </c>
      <c r="G68" s="67">
        <f t="shared" si="67"/>
        <v>7.9397508994560832E-3</v>
      </c>
      <c r="H68" s="44"/>
      <c r="I68" s="67">
        <f t="shared" ref="I68:N68" si="68">I11/I47</f>
        <v>3.3065303975351318E-3</v>
      </c>
      <c r="J68" s="67">
        <f t="shared" si="68"/>
        <v>7.5030012004801916E-2</v>
      </c>
      <c r="K68" s="67">
        <f t="shared" si="68"/>
        <v>4.3481334841628957E-2</v>
      </c>
      <c r="L68" s="67">
        <f t="shared" si="68"/>
        <v>6.0312583489179804E-2</v>
      </c>
      <c r="M68" s="67">
        <f t="shared" si="68"/>
        <v>4.6671061305207644E-2</v>
      </c>
      <c r="N68" s="67">
        <f t="shared" si="68"/>
        <v>2.1260096930533118E-2</v>
      </c>
    </row>
    <row r="69" spans="1:14" ht="14.4" x14ac:dyDescent="0.3">
      <c r="A69" s="46"/>
      <c r="B69" s="53"/>
      <c r="C69" s="53"/>
      <c r="D69" s="53"/>
      <c r="E69" s="42"/>
      <c r="F69" s="42"/>
      <c r="G69" s="42"/>
      <c r="H69" s="44"/>
      <c r="I69" s="44"/>
      <c r="J69" s="44"/>
      <c r="K69" s="44"/>
      <c r="L69" s="44"/>
      <c r="M69" s="4"/>
      <c r="N69" s="4"/>
    </row>
    <row r="70" spans="1:14" x14ac:dyDescent="0.25">
      <c r="A70" s="18" t="s">
        <v>25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18" t="s">
        <v>26</v>
      </c>
      <c r="B72" s="39" t="s">
        <v>0</v>
      </c>
      <c r="C72" s="39" t="s">
        <v>1</v>
      </c>
      <c r="D72" s="39" t="s">
        <v>2</v>
      </c>
      <c r="E72" s="39" t="s">
        <v>3</v>
      </c>
      <c r="F72" s="39" t="s">
        <v>4</v>
      </c>
      <c r="G72" s="39" t="s">
        <v>294</v>
      </c>
      <c r="H72" s="4"/>
      <c r="I72" s="18" t="s">
        <v>366</v>
      </c>
      <c r="J72" s="18" t="s">
        <v>367</v>
      </c>
      <c r="K72" s="18" t="s">
        <v>368</v>
      </c>
      <c r="L72" s="18" t="s">
        <v>369</v>
      </c>
      <c r="M72" s="41" t="s">
        <v>370</v>
      </c>
      <c r="N72" s="41" t="s">
        <v>371</v>
      </c>
    </row>
    <row r="73" spans="1:14" x14ac:dyDescent="0.25">
      <c r="A73" s="4" t="s">
        <v>27</v>
      </c>
      <c r="B73" s="32">
        <v>16286</v>
      </c>
      <c r="C73" s="32">
        <v>11975</v>
      </c>
      <c r="D73" s="32">
        <v>17164</v>
      </c>
      <c r="E73" s="32">
        <v>18022.2</v>
      </c>
      <c r="F73" s="32">
        <v>18923.309999999998</v>
      </c>
      <c r="G73" s="32">
        <v>19112.543099999999</v>
      </c>
      <c r="H73" s="4"/>
      <c r="I73" s="31">
        <v>12367</v>
      </c>
      <c r="J73" s="31">
        <v>11734</v>
      </c>
      <c r="K73" s="31">
        <v>17092</v>
      </c>
      <c r="L73" s="31">
        <f>D73</f>
        <v>17164</v>
      </c>
      <c r="M73" s="4">
        <v>14756</v>
      </c>
      <c r="N73" s="31">
        <v>12404</v>
      </c>
    </row>
    <row r="74" spans="1:14" x14ac:dyDescent="0.25">
      <c r="A74" s="4" t="s">
        <v>28</v>
      </c>
      <c r="B74" s="32">
        <v>1764</v>
      </c>
      <c r="C74" s="32">
        <v>3089</v>
      </c>
      <c r="D74" s="32">
        <v>2990</v>
      </c>
      <c r="E74" s="32">
        <f t="shared" ref="E74:F74" si="69">D74*1.01</f>
        <v>3019.9</v>
      </c>
      <c r="F74" s="32">
        <f t="shared" si="69"/>
        <v>3050.0990000000002</v>
      </c>
      <c r="G74" s="32">
        <f>F74*0.9</f>
        <v>2745.0891000000001</v>
      </c>
      <c r="H74" s="4"/>
      <c r="I74" s="31">
        <v>3112</v>
      </c>
      <c r="J74" s="31">
        <v>2926</v>
      </c>
      <c r="K74" s="31">
        <v>2696</v>
      </c>
      <c r="L74" s="31">
        <f t="shared" ref="L74:L88" si="70">D74</f>
        <v>2990</v>
      </c>
      <c r="M74" s="4">
        <v>3300</v>
      </c>
      <c r="N74" s="31">
        <v>665</v>
      </c>
    </row>
    <row r="75" spans="1:14" x14ac:dyDescent="0.25">
      <c r="A75" s="4" t="s">
        <v>29</v>
      </c>
      <c r="B75" s="32">
        <v>3842</v>
      </c>
      <c r="C75" s="32">
        <v>3200</v>
      </c>
      <c r="D75" s="32">
        <v>1833</v>
      </c>
      <c r="E75" s="32">
        <f>D75*1.1</f>
        <v>2016.3000000000002</v>
      </c>
      <c r="F75" s="32">
        <f t="shared" ref="F75:G75" si="71">E75*1.1</f>
        <v>2217.9300000000003</v>
      </c>
      <c r="G75" s="32">
        <f t="shared" si="71"/>
        <v>2439.7230000000004</v>
      </c>
      <c r="H75" s="4"/>
      <c r="I75" s="31">
        <v>1967</v>
      </c>
      <c r="J75" s="31">
        <v>2017</v>
      </c>
      <c r="K75" s="31">
        <v>2088</v>
      </c>
      <c r="L75" s="31">
        <f t="shared" si="70"/>
        <v>1833</v>
      </c>
      <c r="M75" s="4">
        <v>1641</v>
      </c>
      <c r="N75" s="31">
        <v>1509</v>
      </c>
    </row>
    <row r="76" spans="1:14" x14ac:dyDescent="0.25">
      <c r="A76" s="4" t="s">
        <v>30</v>
      </c>
      <c r="B76" s="32">
        <v>2183</v>
      </c>
      <c r="C76" s="32">
        <v>4454</v>
      </c>
      <c r="D76" s="32">
        <v>4191</v>
      </c>
      <c r="E76" s="31">
        <f>E47*E112</f>
        <v>4734.3119272597805</v>
      </c>
      <c r="F76" s="31">
        <f>F47*F112</f>
        <v>5343.3621169760845</v>
      </c>
      <c r="G76" s="31">
        <f>G47*G112</f>
        <v>6076.6453314061164</v>
      </c>
      <c r="H76" s="4"/>
      <c r="I76" s="31">
        <v>3683</v>
      </c>
      <c r="J76" s="31">
        <v>4244</v>
      </c>
      <c r="K76" s="31">
        <v>4778</v>
      </c>
      <c r="L76" s="31">
        <f t="shared" si="70"/>
        <v>4191</v>
      </c>
      <c r="M76" s="4">
        <v>3212</v>
      </c>
      <c r="N76" s="31">
        <v>2136</v>
      </c>
    </row>
    <row r="77" spans="1:14" x14ac:dyDescent="0.25">
      <c r="A77" s="4" t="s">
        <v>31</v>
      </c>
      <c r="B77" s="32">
        <v>2291</v>
      </c>
      <c r="C77" s="32">
        <v>2561</v>
      </c>
      <c r="D77" s="32">
        <v>3126</v>
      </c>
      <c r="E77" s="32">
        <f>E108*E47</f>
        <v>3547.0414226948396</v>
      </c>
      <c r="F77" s="32">
        <f>F108*F47</f>
        <v>4020.7176058103646</v>
      </c>
      <c r="G77" s="32">
        <f>G108*G47</f>
        <v>4591.7321613933809</v>
      </c>
      <c r="H77" s="4"/>
      <c r="I77" s="31">
        <v>2590</v>
      </c>
      <c r="J77" s="31">
        <v>2719</v>
      </c>
      <c r="K77" s="31">
        <v>2920</v>
      </c>
      <c r="L77" s="31">
        <f t="shared" si="70"/>
        <v>3126</v>
      </c>
      <c r="M77" s="4">
        <v>3231</v>
      </c>
      <c r="N77" s="31">
        <v>3405</v>
      </c>
    </row>
    <row r="78" spans="1:14" x14ac:dyDescent="0.25">
      <c r="A78" s="4" t="s">
        <v>32</v>
      </c>
      <c r="B78" s="32">
        <v>3005</v>
      </c>
      <c r="C78" s="32">
        <v>3524</v>
      </c>
      <c r="D78" s="32">
        <v>3625</v>
      </c>
      <c r="E78" s="31">
        <f>E93</f>
        <v>3986.90157</v>
      </c>
      <c r="F78" s="31">
        <f t="shared" ref="F78:G78" si="72">F93</f>
        <v>4364.8266726000011</v>
      </c>
      <c r="G78" s="31">
        <f t="shared" si="72"/>
        <v>4778.4843909510009</v>
      </c>
      <c r="H78" s="4"/>
      <c r="I78" s="31">
        <v>3518</v>
      </c>
      <c r="J78" s="31">
        <v>3543</v>
      </c>
      <c r="K78" s="31">
        <v>3614</v>
      </c>
      <c r="L78" s="31">
        <f t="shared" si="70"/>
        <v>3625</v>
      </c>
      <c r="M78" s="4">
        <v>3712</v>
      </c>
      <c r="N78" s="31">
        <v>4292</v>
      </c>
    </row>
    <row r="79" spans="1:14" x14ac:dyDescent="0.25">
      <c r="A79" s="4" t="s">
        <v>33</v>
      </c>
      <c r="B79" s="32">
        <v>1577</v>
      </c>
      <c r="C79" s="32">
        <v>1918</v>
      </c>
      <c r="D79" s="32">
        <v>2158</v>
      </c>
      <c r="E79" s="32">
        <f>E47*E109</f>
        <v>2467.9072927240773</v>
      </c>
      <c r="F79" s="32">
        <f>F47*F109</f>
        <v>2818.5393083376734</v>
      </c>
      <c r="G79" s="32">
        <f>G47*G109</f>
        <v>3242.0646040484726</v>
      </c>
      <c r="H79" s="4"/>
      <c r="I79" s="31">
        <v>1992</v>
      </c>
      <c r="J79" s="31">
        <v>2175</v>
      </c>
      <c r="K79" s="31">
        <v>2198</v>
      </c>
      <c r="L79" s="31">
        <f t="shared" si="70"/>
        <v>2158</v>
      </c>
      <c r="M79" s="4">
        <v>2280</v>
      </c>
      <c r="N79" s="31">
        <v>2473</v>
      </c>
    </row>
    <row r="80" spans="1:14" x14ac:dyDescent="0.25">
      <c r="A80" s="4" t="s">
        <v>34</v>
      </c>
      <c r="B80" s="32">
        <v>2584</v>
      </c>
      <c r="C80" s="32">
        <v>3312</v>
      </c>
      <c r="D80" s="32">
        <v>2679</v>
      </c>
      <c r="E80" s="31">
        <f>E47*E113</f>
        <v>3048.7222531732168</v>
      </c>
      <c r="F80" s="31">
        <f t="shared" ref="F80:G80" si="73">F47*F113</f>
        <v>3465.5794870394006</v>
      </c>
      <c r="G80" s="31">
        <f t="shared" si="73"/>
        <v>3968.4869153880354</v>
      </c>
      <c r="H80" s="4"/>
      <c r="I80" s="31">
        <v>3393</v>
      </c>
      <c r="J80" s="31">
        <v>3576</v>
      </c>
      <c r="K80" s="31">
        <v>3012</v>
      </c>
      <c r="L80" s="31">
        <f t="shared" si="70"/>
        <v>2679</v>
      </c>
      <c r="M80" s="4">
        <v>2865</v>
      </c>
      <c r="N80" s="31">
        <v>4741</v>
      </c>
    </row>
    <row r="81" spans="1:38" s="1" customFormat="1" x14ac:dyDescent="0.25">
      <c r="A81" s="18" t="s">
        <v>35</v>
      </c>
      <c r="B81" s="34">
        <v>33532</v>
      </c>
      <c r="C81" s="34">
        <v>34033</v>
      </c>
      <c r="D81" s="34">
        <v>37766</v>
      </c>
      <c r="E81" s="33">
        <f>SUM(E73:E80)</f>
        <v>40843.284465851917</v>
      </c>
      <c r="F81" s="33">
        <f t="shared" ref="F81:G81" si="74">SUM(F73:F80)</f>
        <v>44204.364190763525</v>
      </c>
      <c r="G81" s="33">
        <f t="shared" si="74"/>
        <v>46954.768603187011</v>
      </c>
      <c r="H81" s="18"/>
      <c r="I81" s="33">
        <v>32622</v>
      </c>
      <c r="J81" s="33">
        <v>32934</v>
      </c>
      <c r="K81" s="33">
        <v>38398</v>
      </c>
      <c r="L81" s="33">
        <f t="shared" si="70"/>
        <v>37766</v>
      </c>
      <c r="M81" s="18">
        <v>34997</v>
      </c>
      <c r="N81" s="33">
        <v>31625</v>
      </c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x14ac:dyDescent="0.25">
      <c r="A82" s="4" t="s">
        <v>36</v>
      </c>
      <c r="B82" s="32">
        <v>1921</v>
      </c>
      <c r="C82" s="32">
        <v>2545</v>
      </c>
      <c r="D82" s="32">
        <v>999</v>
      </c>
      <c r="E82" s="32">
        <f t="shared" ref="E82:G82" si="75">D82*1.01</f>
        <v>1008.99</v>
      </c>
      <c r="F82" s="32">
        <f t="shared" si="75"/>
        <v>1019.0799000000001</v>
      </c>
      <c r="G82" s="32">
        <f t="shared" si="75"/>
        <v>1029.2706990000001</v>
      </c>
      <c r="H82" s="4"/>
      <c r="I82" s="31">
        <v>1757</v>
      </c>
      <c r="J82" s="31">
        <v>1470</v>
      </c>
      <c r="K82" s="31">
        <v>1203</v>
      </c>
      <c r="L82" s="31">
        <f t="shared" si="70"/>
        <v>999</v>
      </c>
      <c r="M82" s="4">
        <v>484</v>
      </c>
      <c r="N82" s="31">
        <v>308</v>
      </c>
    </row>
    <row r="83" spans="1:38" x14ac:dyDescent="0.25">
      <c r="A83" s="4" t="s">
        <v>37</v>
      </c>
      <c r="B83" s="32">
        <v>1789</v>
      </c>
      <c r="C83" s="32">
        <v>4628</v>
      </c>
      <c r="D83" s="32">
        <v>5157</v>
      </c>
      <c r="E83" s="32">
        <f>E47*E110</f>
        <v>5811.2164412595293</v>
      </c>
      <c r="F83" s="32">
        <f>F47*F110</f>
        <v>6543.0565749911875</v>
      </c>
      <c r="G83" s="32">
        <f>G47*G110</f>
        <v>7423.5243194176674</v>
      </c>
      <c r="H83" s="4"/>
      <c r="I83" s="31">
        <v>4631</v>
      </c>
      <c r="J83" s="31">
        <v>4760</v>
      </c>
      <c r="K83" s="31">
        <v>5005</v>
      </c>
      <c r="L83" s="31">
        <f t="shared" si="70"/>
        <v>5157</v>
      </c>
      <c r="M83" s="4">
        <v>5541</v>
      </c>
      <c r="N83" s="31">
        <v>5514</v>
      </c>
    </row>
    <row r="84" spans="1:38" x14ac:dyDescent="0.25">
      <c r="A84" s="4" t="s">
        <v>38</v>
      </c>
      <c r="B84" s="32">
        <v>3425</v>
      </c>
      <c r="C84" s="32">
        <v>3824</v>
      </c>
      <c r="D84" s="32">
        <v>4236</v>
      </c>
      <c r="E84" s="32">
        <f>E47*E111</f>
        <v>4784.4782866075948</v>
      </c>
      <c r="F84" s="32">
        <f>F47*F111</f>
        <v>5399.2485047718192</v>
      </c>
      <c r="G84" s="32">
        <f>G47*G111</f>
        <v>6139.3881414066545</v>
      </c>
      <c r="H84" s="4"/>
      <c r="I84" s="31">
        <v>3974</v>
      </c>
      <c r="J84" s="31">
        <v>4023</v>
      </c>
      <c r="K84" s="31">
        <v>4143</v>
      </c>
      <c r="L84" s="31">
        <f t="shared" si="70"/>
        <v>4236</v>
      </c>
      <c r="M84" s="4">
        <v>4276</v>
      </c>
      <c r="N84" s="31">
        <v>4778</v>
      </c>
    </row>
    <row r="85" spans="1:38" x14ac:dyDescent="0.25">
      <c r="A85" s="4" t="s">
        <v>39</v>
      </c>
      <c r="B85" s="32">
        <v>17997</v>
      </c>
      <c r="C85" s="32">
        <v>18941</v>
      </c>
      <c r="D85" s="32">
        <v>19879</v>
      </c>
      <c r="E85" s="31">
        <f t="shared" ref="E85:G85" si="76">D85</f>
        <v>19879</v>
      </c>
      <c r="F85" s="31">
        <f t="shared" si="76"/>
        <v>19879</v>
      </c>
      <c r="G85" s="31">
        <f t="shared" si="76"/>
        <v>19879</v>
      </c>
      <c r="H85" s="4"/>
      <c r="I85" s="31">
        <v>19548</v>
      </c>
      <c r="J85" s="31">
        <v>19641</v>
      </c>
      <c r="K85" s="31">
        <v>19880</v>
      </c>
      <c r="L85" s="31">
        <f t="shared" si="70"/>
        <v>19879</v>
      </c>
      <c r="M85" s="4">
        <v>19885</v>
      </c>
      <c r="N85" s="31">
        <v>20891</v>
      </c>
    </row>
    <row r="86" spans="1:38" x14ac:dyDescent="0.25">
      <c r="A86" s="4" t="s">
        <v>40</v>
      </c>
      <c r="B86" s="32">
        <v>26104</v>
      </c>
      <c r="C86" s="32">
        <v>26889</v>
      </c>
      <c r="D86" s="32">
        <v>27646</v>
      </c>
      <c r="E86" s="31">
        <f t="shared" ref="E86:G86" si="77">D86</f>
        <v>27646</v>
      </c>
      <c r="F86" s="31">
        <f t="shared" si="77"/>
        <v>27646</v>
      </c>
      <c r="G86" s="31">
        <f t="shared" si="77"/>
        <v>27646</v>
      </c>
      <c r="H86" s="4"/>
      <c r="I86" s="31">
        <v>25889</v>
      </c>
      <c r="J86" s="31">
        <v>26408</v>
      </c>
      <c r="K86" s="31">
        <v>27660</v>
      </c>
      <c r="L86" s="31">
        <f t="shared" si="70"/>
        <v>27646</v>
      </c>
      <c r="M86" s="4">
        <v>27664</v>
      </c>
      <c r="N86" s="31">
        <v>27750</v>
      </c>
    </row>
    <row r="87" spans="1:38" x14ac:dyDescent="0.25">
      <c r="A87" s="4" t="s">
        <v>41</v>
      </c>
      <c r="B87" s="32">
        <v>3731</v>
      </c>
      <c r="C87" s="32">
        <v>3651</v>
      </c>
      <c r="D87" s="32">
        <v>3944</v>
      </c>
      <c r="E87" s="31">
        <f t="shared" ref="E87:G87" si="78">D87</f>
        <v>3944</v>
      </c>
      <c r="F87" s="31">
        <f t="shared" si="78"/>
        <v>3944</v>
      </c>
      <c r="G87" s="31">
        <f t="shared" si="78"/>
        <v>3944</v>
      </c>
      <c r="H87" s="4"/>
      <c r="I87" s="31">
        <v>3467</v>
      </c>
      <c r="J87" s="31">
        <v>3617</v>
      </c>
      <c r="K87" s="31">
        <v>3735</v>
      </c>
      <c r="L87" s="31">
        <f t="shared" si="70"/>
        <v>3944</v>
      </c>
      <c r="M87" s="4">
        <v>3967</v>
      </c>
      <c r="N87" s="31">
        <v>4183</v>
      </c>
    </row>
    <row r="88" spans="1:38" s="1" customFormat="1" x14ac:dyDescent="0.25">
      <c r="A88" s="18" t="s">
        <v>42</v>
      </c>
      <c r="B88" s="34">
        <v>90499</v>
      </c>
      <c r="C88" s="34">
        <v>94511</v>
      </c>
      <c r="D88" s="34">
        <v>99627</v>
      </c>
      <c r="E88" s="34">
        <f>SUM(E81:E87)</f>
        <v>103916.96919371904</v>
      </c>
      <c r="F88" s="34">
        <f t="shared" ref="F88:G88" si="79">SUM(F81:F87)</f>
        <v>108634.74917052653</v>
      </c>
      <c r="G88" s="34">
        <f t="shared" si="79"/>
        <v>113015.95176301134</v>
      </c>
      <c r="H88" s="18"/>
      <c r="I88" s="33">
        <v>91888</v>
      </c>
      <c r="J88" s="33">
        <v>92853</v>
      </c>
      <c r="K88" s="33">
        <v>100024</v>
      </c>
      <c r="L88" s="33">
        <f t="shared" si="70"/>
        <v>99627</v>
      </c>
      <c r="M88" s="18">
        <v>96814</v>
      </c>
      <c r="N88" s="33">
        <v>95049</v>
      </c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38" x14ac:dyDescent="0.25">
      <c r="A90" s="18" t="s">
        <v>43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38" x14ac:dyDescent="0.25">
      <c r="A91" s="4" t="s">
        <v>44</v>
      </c>
      <c r="B91" s="32">
        <v>375</v>
      </c>
      <c r="C91" s="32">
        <v>479</v>
      </c>
      <c r="D91" s="32">
        <v>555</v>
      </c>
      <c r="E91" s="32">
        <f>E116*E12</f>
        <v>625.25157000000002</v>
      </c>
      <c r="F91" s="32">
        <f>F116*F12</f>
        <v>700.6281726000002</v>
      </c>
      <c r="G91" s="32">
        <f>G116*G12</f>
        <v>784.50802595100015</v>
      </c>
      <c r="H91" s="4"/>
      <c r="I91" s="32">
        <v>405</v>
      </c>
      <c r="J91" s="32">
        <v>421</v>
      </c>
      <c r="K91" s="32">
        <v>462</v>
      </c>
      <c r="L91" s="32">
        <f t="shared" ref="L91:L105" si="80">D91</f>
        <v>555</v>
      </c>
      <c r="M91" s="32">
        <v>433</v>
      </c>
      <c r="N91" s="32">
        <v>557</v>
      </c>
    </row>
    <row r="92" spans="1:38" x14ac:dyDescent="0.25">
      <c r="A92" s="4" t="s">
        <v>45</v>
      </c>
      <c r="B92" s="32">
        <v>3269</v>
      </c>
      <c r="C92" s="32">
        <v>5265</v>
      </c>
      <c r="D92" s="32">
        <v>4568</v>
      </c>
      <c r="E92" s="32">
        <f>E117*E12</f>
        <v>5019.48657</v>
      </c>
      <c r="F92" s="32">
        <f>F117*F12</f>
        <v>5490.3443226000009</v>
      </c>
      <c r="G92" s="32">
        <f>G117*G12</f>
        <v>6005.298629451001</v>
      </c>
      <c r="H92" s="4"/>
      <c r="I92" s="32">
        <v>4425</v>
      </c>
      <c r="J92" s="32">
        <v>4996</v>
      </c>
      <c r="K92" s="32">
        <v>6038</v>
      </c>
      <c r="L92" s="32">
        <f t="shared" si="80"/>
        <v>4568</v>
      </c>
      <c r="M92" s="32">
        <v>4337</v>
      </c>
      <c r="N92" s="32">
        <v>3048</v>
      </c>
    </row>
    <row r="93" spans="1:38" x14ac:dyDescent="0.25">
      <c r="A93" s="4" t="s">
        <v>32</v>
      </c>
      <c r="B93" s="32">
        <v>3005</v>
      </c>
      <c r="C93" s="32">
        <v>3524</v>
      </c>
      <c r="D93" s="32">
        <v>3625</v>
      </c>
      <c r="E93" s="32">
        <f>E118*E12</f>
        <v>3986.90157</v>
      </c>
      <c r="F93" s="32">
        <f>F118*F12</f>
        <v>4364.8266726000011</v>
      </c>
      <c r="G93" s="32">
        <f>G118*G12</f>
        <v>4778.4843909510009</v>
      </c>
      <c r="H93" s="4"/>
      <c r="I93" s="32">
        <v>3518</v>
      </c>
      <c r="J93" s="32">
        <v>3543</v>
      </c>
      <c r="K93" s="32">
        <v>3614</v>
      </c>
      <c r="L93" s="32">
        <f t="shared" si="80"/>
        <v>3625</v>
      </c>
      <c r="M93" s="32">
        <v>3712</v>
      </c>
      <c r="N93" s="32">
        <v>4292</v>
      </c>
    </row>
    <row r="94" spans="1:38" x14ac:dyDescent="0.25">
      <c r="A94" s="4" t="s">
        <v>46</v>
      </c>
      <c r="B94" s="32">
        <v>1506</v>
      </c>
      <c r="C94" s="32">
        <v>1538</v>
      </c>
      <c r="D94" s="32">
        <v>1863</v>
      </c>
      <c r="E94" s="32">
        <f>D94</f>
        <v>1863</v>
      </c>
      <c r="F94" s="32">
        <f t="shared" ref="F94:G94" si="81">E94</f>
        <v>1863</v>
      </c>
      <c r="G94" s="32">
        <f t="shared" si="81"/>
        <v>1863</v>
      </c>
      <c r="H94" s="4"/>
      <c r="I94" s="32">
        <v>1226</v>
      </c>
      <c r="J94" s="32">
        <v>1225</v>
      </c>
      <c r="K94" s="32">
        <v>1474</v>
      </c>
      <c r="L94" s="32">
        <f t="shared" si="80"/>
        <v>1863</v>
      </c>
      <c r="M94" s="32">
        <v>1158</v>
      </c>
      <c r="N94" s="32">
        <v>1392</v>
      </c>
    </row>
    <row r="95" spans="1:38" x14ac:dyDescent="0.25">
      <c r="A95" s="4" t="s">
        <v>37</v>
      </c>
      <c r="B95" s="32">
        <v>8177</v>
      </c>
      <c r="C95" s="32">
        <v>9075</v>
      </c>
      <c r="D95" s="32">
        <v>10369</v>
      </c>
      <c r="E95" s="32">
        <f>E119*E12</f>
        <v>11371.581569999998</v>
      </c>
      <c r="F95" s="32">
        <f>F119*F12</f>
        <v>12414.127872600002</v>
      </c>
      <c r="G95" s="32">
        <f>G119*G12</f>
        <v>13552.222698951002</v>
      </c>
      <c r="H95" s="4"/>
      <c r="I95" s="32">
        <v>9249</v>
      </c>
      <c r="J95" s="32">
        <v>9665</v>
      </c>
      <c r="K95" s="32">
        <v>10032</v>
      </c>
      <c r="L95" s="32">
        <f t="shared" si="80"/>
        <v>10369</v>
      </c>
      <c r="M95" s="32">
        <v>11280</v>
      </c>
      <c r="N95" s="32">
        <v>11577</v>
      </c>
    </row>
    <row r="96" spans="1:38" x14ac:dyDescent="0.25">
      <c r="A96" s="4" t="s">
        <v>47</v>
      </c>
      <c r="B96" s="32">
        <v>5015</v>
      </c>
      <c r="C96" s="32">
        <v>4909</v>
      </c>
      <c r="D96" s="32">
        <v>5466</v>
      </c>
      <c r="E96" s="32">
        <f>D96</f>
        <v>5466</v>
      </c>
      <c r="F96" s="32">
        <f t="shared" ref="F96:G96" si="82">E96</f>
        <v>5466</v>
      </c>
      <c r="G96" s="32">
        <f t="shared" si="82"/>
        <v>5466</v>
      </c>
      <c r="H96" s="4"/>
      <c r="I96" s="32">
        <v>4690</v>
      </c>
      <c r="J96" s="32">
        <v>4507</v>
      </c>
      <c r="K96" s="32">
        <v>4907</v>
      </c>
      <c r="L96" s="32">
        <f t="shared" si="80"/>
        <v>5466</v>
      </c>
      <c r="M96" s="32">
        <v>5576</v>
      </c>
      <c r="N96" s="32">
        <v>5670</v>
      </c>
    </row>
    <row r="97" spans="1:38" x14ac:dyDescent="0.25">
      <c r="A97" s="4" t="s">
        <v>48</v>
      </c>
      <c r="B97" s="32"/>
      <c r="C97" s="32"/>
      <c r="D97" s="32">
        <v>5569</v>
      </c>
      <c r="E97" s="4">
        <f>E124</f>
        <v>1000</v>
      </c>
      <c r="F97" s="4">
        <f t="shared" ref="F97:G97" si="83">F124</f>
        <v>1000</v>
      </c>
      <c r="G97" s="4">
        <f t="shared" si="83"/>
        <v>1000</v>
      </c>
      <c r="H97" s="4"/>
      <c r="I97" s="32">
        <v>3929</v>
      </c>
      <c r="J97" s="32">
        <v>3948</v>
      </c>
      <c r="K97" s="32">
        <v>5548</v>
      </c>
      <c r="L97" s="32">
        <f t="shared" si="80"/>
        <v>5569</v>
      </c>
      <c r="M97" s="32">
        <v>1589</v>
      </c>
      <c r="N97" s="32">
        <v>1559</v>
      </c>
    </row>
    <row r="98" spans="1:38" x14ac:dyDescent="0.25">
      <c r="A98" s="4" t="s">
        <v>49</v>
      </c>
      <c r="B98" s="32">
        <v>1751</v>
      </c>
      <c r="C98" s="32">
        <v>1727</v>
      </c>
      <c r="D98" s="32">
        <v>3033</v>
      </c>
      <c r="E98" s="31">
        <f>AVERAGE(B98:D98)</f>
        <v>2170.3333333333335</v>
      </c>
      <c r="F98" s="31">
        <f>E98</f>
        <v>2170.3333333333335</v>
      </c>
      <c r="G98" s="31">
        <f>F98</f>
        <v>2170.3333333333335</v>
      </c>
      <c r="H98" s="4"/>
      <c r="I98" s="32">
        <v>1649</v>
      </c>
      <c r="J98" s="32">
        <v>2076</v>
      </c>
      <c r="K98" s="32">
        <v>2352</v>
      </c>
      <c r="L98" s="32">
        <f t="shared" si="80"/>
        <v>3033</v>
      </c>
      <c r="M98" s="32">
        <v>3406</v>
      </c>
      <c r="N98" s="32">
        <v>981</v>
      </c>
    </row>
    <row r="99" spans="1:38" s="1" customFormat="1" x14ac:dyDescent="0.25">
      <c r="A99" s="18" t="s">
        <v>50</v>
      </c>
      <c r="B99" s="34">
        <v>23098</v>
      </c>
      <c r="C99" s="34">
        <v>26517</v>
      </c>
      <c r="D99" s="34">
        <v>35048</v>
      </c>
      <c r="E99" s="33">
        <f>SUM(E91:E98)</f>
        <v>31502.55461333333</v>
      </c>
      <c r="F99" s="33">
        <f t="shared" ref="F99:G99" si="84">SUM(F91:F98)</f>
        <v>33469.260373733341</v>
      </c>
      <c r="G99" s="33">
        <f t="shared" si="84"/>
        <v>35619.847078637344</v>
      </c>
      <c r="H99" s="18"/>
      <c r="I99" s="33">
        <v>29091</v>
      </c>
      <c r="J99" s="33">
        <v>30381</v>
      </c>
      <c r="K99" s="33">
        <v>34427</v>
      </c>
      <c r="L99" s="33">
        <f t="shared" si="80"/>
        <v>35048</v>
      </c>
      <c r="M99" s="33">
        <v>31491</v>
      </c>
      <c r="N99" s="33">
        <v>29076</v>
      </c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x14ac:dyDescent="0.25">
      <c r="A100" s="4" t="s">
        <v>51</v>
      </c>
      <c r="B100" s="32">
        <v>20463</v>
      </c>
      <c r="C100" s="32">
        <v>20836</v>
      </c>
      <c r="D100" s="32">
        <v>19602</v>
      </c>
      <c r="E100" s="31">
        <f>E125</f>
        <v>24000</v>
      </c>
      <c r="F100" s="31">
        <f>E100-E97</f>
        <v>23000</v>
      </c>
      <c r="G100" s="31">
        <f>F100-F97</f>
        <v>22000</v>
      </c>
      <c r="H100" s="4"/>
      <c r="I100" s="31">
        <v>16680</v>
      </c>
      <c r="J100" s="31">
        <v>16814</v>
      </c>
      <c r="K100" s="31">
        <v>19950</v>
      </c>
      <c r="L100" s="31">
        <f t="shared" si="80"/>
        <v>19602</v>
      </c>
      <c r="M100" s="31">
        <v>19588</v>
      </c>
      <c r="N100" s="31">
        <v>22417</v>
      </c>
    </row>
    <row r="101" spans="1:38" x14ac:dyDescent="0.25">
      <c r="A101" s="4" t="s">
        <v>52</v>
      </c>
      <c r="B101" s="32">
        <v>5114</v>
      </c>
      <c r="C101" s="32">
        <v>5301</v>
      </c>
      <c r="D101" s="32">
        <v>5549</v>
      </c>
      <c r="E101" s="31">
        <f>D101-670</f>
        <v>4879</v>
      </c>
      <c r="F101" s="31">
        <f t="shared" ref="F101:G102" si="85">E101</f>
        <v>4879</v>
      </c>
      <c r="G101" s="31">
        <f t="shared" si="85"/>
        <v>4879</v>
      </c>
      <c r="H101" s="4"/>
      <c r="I101" s="31">
        <v>5192</v>
      </c>
      <c r="J101" s="31">
        <v>5160</v>
      </c>
      <c r="K101" s="31">
        <v>5755</v>
      </c>
      <c r="L101" s="31">
        <f t="shared" si="80"/>
        <v>5549</v>
      </c>
      <c r="M101" s="31">
        <v>5241</v>
      </c>
      <c r="N101" s="31">
        <v>5893</v>
      </c>
    </row>
    <row r="102" spans="1:38" x14ac:dyDescent="0.25">
      <c r="A102" s="4" t="s">
        <v>53</v>
      </c>
      <c r="B102" s="32">
        <v>3061</v>
      </c>
      <c r="C102" s="32">
        <v>2720</v>
      </c>
      <c r="D102" s="32">
        <v>1519</v>
      </c>
      <c r="E102" s="31">
        <f>D102</f>
        <v>1519</v>
      </c>
      <c r="F102" s="31">
        <f t="shared" si="85"/>
        <v>1519</v>
      </c>
      <c r="G102" s="31">
        <f t="shared" si="85"/>
        <v>1519</v>
      </c>
      <c r="H102" s="4"/>
      <c r="I102" s="31">
        <v>2629</v>
      </c>
      <c r="J102" s="31">
        <v>2468</v>
      </c>
      <c r="K102" s="31">
        <v>1588</v>
      </c>
      <c r="L102" s="31">
        <f t="shared" si="80"/>
        <v>1519</v>
      </c>
      <c r="M102" s="31">
        <v>1717</v>
      </c>
      <c r="N102" s="31">
        <v>2002</v>
      </c>
    </row>
    <row r="103" spans="1:38" x14ac:dyDescent="0.25">
      <c r="A103" s="4" t="s">
        <v>54</v>
      </c>
      <c r="B103" s="32">
        <v>51766</v>
      </c>
      <c r="C103" s="32">
        <v>55374</v>
      </c>
      <c r="D103" s="32">
        <v>61718</v>
      </c>
      <c r="E103" s="31">
        <f>SUM(E99:E102)</f>
        <v>61900.554613333326</v>
      </c>
      <c r="F103" s="31">
        <f t="shared" ref="F103:G103" si="86">SUM(F99:F102)</f>
        <v>62867.260373733341</v>
      </c>
      <c r="G103" s="31">
        <f t="shared" si="86"/>
        <v>64017.847078637344</v>
      </c>
      <c r="H103" s="4"/>
      <c r="I103" s="31">
        <v>53592</v>
      </c>
      <c r="J103" s="31">
        <v>54823</v>
      </c>
      <c r="K103" s="31">
        <v>61360</v>
      </c>
      <c r="L103" s="31">
        <f t="shared" si="80"/>
        <v>61718</v>
      </c>
      <c r="M103" s="31">
        <v>58037</v>
      </c>
      <c r="N103" s="31">
        <v>59388</v>
      </c>
    </row>
    <row r="104" spans="1:38" x14ac:dyDescent="0.25">
      <c r="A104" s="4" t="s">
        <v>55</v>
      </c>
      <c r="B104" s="32">
        <v>38733</v>
      </c>
      <c r="C104" s="32">
        <v>39137</v>
      </c>
      <c r="D104" s="32">
        <v>37909</v>
      </c>
      <c r="E104" s="32">
        <f>E105-E103</f>
        <v>42016.41458038571</v>
      </c>
      <c r="F104" s="32">
        <f t="shared" ref="F104:G104" si="87">F105-F103</f>
        <v>45767.488796793186</v>
      </c>
      <c r="G104" s="32">
        <f t="shared" si="87"/>
        <v>48998.104684373997</v>
      </c>
      <c r="H104" s="4"/>
      <c r="I104" s="32">
        <v>38296</v>
      </c>
      <c r="J104" s="32">
        <v>38030</v>
      </c>
      <c r="K104" s="32">
        <v>38664</v>
      </c>
      <c r="L104" s="32">
        <f t="shared" si="80"/>
        <v>37909</v>
      </c>
      <c r="M104" s="32">
        <v>38777</v>
      </c>
      <c r="N104" s="32">
        <v>35661</v>
      </c>
    </row>
    <row r="105" spans="1:38" s="1" customFormat="1" x14ac:dyDescent="0.25">
      <c r="A105" s="18" t="s">
        <v>56</v>
      </c>
      <c r="B105" s="34">
        <v>90499</v>
      </c>
      <c r="C105" s="34">
        <v>94511</v>
      </c>
      <c r="D105" s="34">
        <v>99627</v>
      </c>
      <c r="E105" s="33">
        <f>E88</f>
        <v>103916.96919371904</v>
      </c>
      <c r="F105" s="33">
        <f t="shared" ref="F105" si="88">F88</f>
        <v>108634.74917052653</v>
      </c>
      <c r="G105" s="33">
        <f>G88</f>
        <v>113015.95176301134</v>
      </c>
      <c r="H105" s="18"/>
      <c r="I105" s="33">
        <v>91888</v>
      </c>
      <c r="J105" s="33">
        <v>92853</v>
      </c>
      <c r="K105" s="33">
        <v>100024</v>
      </c>
      <c r="L105" s="33">
        <f t="shared" si="80"/>
        <v>99627</v>
      </c>
      <c r="M105" s="33">
        <v>96814</v>
      </c>
      <c r="N105" s="33">
        <v>95049</v>
      </c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x14ac:dyDescent="0.25">
      <c r="A106" s="4"/>
      <c r="B106" s="4"/>
      <c r="C106" s="4"/>
      <c r="D106" s="4"/>
      <c r="E106" s="21"/>
      <c r="F106" s="21"/>
      <c r="G106" s="21"/>
      <c r="H106" s="4"/>
      <c r="I106" s="4"/>
      <c r="J106" s="4"/>
      <c r="K106" s="4"/>
      <c r="L106" s="4"/>
      <c r="M106" s="4"/>
      <c r="N106" s="4"/>
    </row>
    <row r="107" spans="1:38" s="1" customFormat="1" x14ac:dyDescent="0.25">
      <c r="A107" s="18" t="s">
        <v>296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1:38" x14ac:dyDescent="0.25">
      <c r="A108" s="4" t="str">
        <f>A77&amp;" %"</f>
        <v>Accounts receivable %</v>
      </c>
      <c r="B108" s="22">
        <f>B77/B47</f>
        <v>5.0967741935483868E-2</v>
      </c>
      <c r="C108" s="22">
        <f>C77/C47</f>
        <v>5.1539545180116726E-2</v>
      </c>
      <c r="D108" s="22">
        <f>D77/D47</f>
        <v>5.6070743125683845E-2</v>
      </c>
      <c r="E108" s="43">
        <f>D108+0.1%</f>
        <v>5.7070743125683845E-2</v>
      </c>
      <c r="F108" s="43">
        <f t="shared" ref="F108:G108" si="89">E108+0.1%</f>
        <v>5.8070743125683846E-2</v>
      </c>
      <c r="G108" s="43">
        <f t="shared" si="89"/>
        <v>5.9070743125683847E-2</v>
      </c>
      <c r="H108" s="4"/>
      <c r="I108" s="22">
        <f t="shared" ref="I108:N108" si="90">(I77/I47)/4</f>
        <v>4.8658600736454498E-2</v>
      </c>
      <c r="J108" s="22">
        <f t="shared" si="90"/>
        <v>5.1001650660264103E-2</v>
      </c>
      <c r="K108" s="22">
        <f t="shared" si="90"/>
        <v>5.1611990950226241E-2</v>
      </c>
      <c r="L108" s="22">
        <f t="shared" si="90"/>
        <v>5.2197435212396476E-2</v>
      </c>
      <c r="M108" s="22">
        <f t="shared" si="90"/>
        <v>5.3246539222148975E-2</v>
      </c>
      <c r="N108" s="22">
        <f t="shared" si="90"/>
        <v>5.5008077544426492E-2</v>
      </c>
    </row>
    <row r="109" spans="1:38" x14ac:dyDescent="0.25">
      <c r="A109" s="4" t="str">
        <f>A79&amp;" %"</f>
        <v>Current portion of client incentives %</v>
      </c>
      <c r="B109" s="22">
        <f>B79/B47</f>
        <v>3.5083426028921026E-2</v>
      </c>
      <c r="C109" s="22">
        <f>C79/C47</f>
        <v>3.8599315757697726E-2</v>
      </c>
      <c r="D109" s="22">
        <f>D79/D47</f>
        <v>3.8707825868594288E-2</v>
      </c>
      <c r="E109" s="43">
        <f t="shared" ref="E109:G109" si="91">D109+0.1%</f>
        <v>3.9707825868594289E-2</v>
      </c>
      <c r="F109" s="43">
        <f t="shared" si="91"/>
        <v>4.070782586859429E-2</v>
      </c>
      <c r="G109" s="43">
        <f t="shared" si="91"/>
        <v>4.1707825868594291E-2</v>
      </c>
      <c r="H109" s="4"/>
      <c r="I109" s="22">
        <f t="shared" ref="I109:N109" si="92">(I79/I47)/4</f>
        <v>3.7423912226647628E-2</v>
      </c>
      <c r="J109" s="22">
        <f t="shared" si="92"/>
        <v>4.0797569027611044E-2</v>
      </c>
      <c r="K109" s="22">
        <f t="shared" si="92"/>
        <v>3.8850395927601811E-2</v>
      </c>
      <c r="L109" s="22">
        <f t="shared" si="92"/>
        <v>3.6033930002671653E-2</v>
      </c>
      <c r="M109" s="22">
        <f t="shared" si="92"/>
        <v>3.7574159525379035E-2</v>
      </c>
      <c r="N109" s="22">
        <f t="shared" si="92"/>
        <v>3.9951534733441034E-2</v>
      </c>
    </row>
    <row r="110" spans="1:38" x14ac:dyDescent="0.25">
      <c r="A110" s="4" t="str">
        <f>A83&amp;" %"</f>
        <v>Client incentives %</v>
      </c>
      <c r="B110" s="22">
        <f>B83/B47</f>
        <v>3.9799777530589546E-2</v>
      </c>
      <c r="C110" s="22">
        <f>C83/C47</f>
        <v>9.3137452203662707E-2</v>
      </c>
      <c r="D110" s="22">
        <f>D83/D47</f>
        <v>9.250058294918477E-2</v>
      </c>
      <c r="E110" s="43">
        <f t="shared" ref="E110:G110" si="93">D110+0.1%</f>
        <v>9.3500582949184771E-2</v>
      </c>
      <c r="F110" s="43">
        <f t="shared" si="93"/>
        <v>9.4500582949184772E-2</v>
      </c>
      <c r="G110" s="43">
        <f t="shared" si="93"/>
        <v>9.5500582949184773E-2</v>
      </c>
      <c r="H110" s="4"/>
      <c r="I110" s="22">
        <f t="shared" ref="I110:N110" si="94">(I83/I47)/4</f>
        <v>8.7003081085143152E-2</v>
      </c>
      <c r="J110" s="22">
        <f t="shared" si="94"/>
        <v>8.9285714285714288E-2</v>
      </c>
      <c r="K110" s="22">
        <f t="shared" si="94"/>
        <v>8.846507352941177E-2</v>
      </c>
      <c r="L110" s="22">
        <f t="shared" si="94"/>
        <v>8.6110740048089773E-2</v>
      </c>
      <c r="M110" s="22">
        <f t="shared" si="94"/>
        <v>9.1315095583388267E-2</v>
      </c>
      <c r="N110" s="22">
        <f t="shared" si="94"/>
        <v>8.907915993537964E-2</v>
      </c>
    </row>
    <row r="111" spans="1:38" x14ac:dyDescent="0.25">
      <c r="A111" s="4" t="str">
        <f>A84&amp;" %"</f>
        <v>Property, equipment and technology, net %</v>
      </c>
      <c r="B111" s="22">
        <f>B84/B47</f>
        <v>7.6195773081201332E-2</v>
      </c>
      <c r="C111" s="22">
        <f>C84/C47</f>
        <v>7.695713423223989E-2</v>
      </c>
      <c r="D111" s="22">
        <f>D84/D47</f>
        <v>7.5980699897759685E-2</v>
      </c>
      <c r="E111" s="43">
        <f t="shared" ref="E111:G112" si="95">D111+0.1%</f>
        <v>7.6980699897759686E-2</v>
      </c>
      <c r="F111" s="43">
        <f t="shared" si="95"/>
        <v>7.7980699897759687E-2</v>
      </c>
      <c r="G111" s="43">
        <f t="shared" si="95"/>
        <v>7.8980699897759687E-2</v>
      </c>
      <c r="H111" s="4"/>
      <c r="I111" s="22">
        <f t="shared" ref="I111:N111" si="96">(I84/I47)/4</f>
        <v>7.4659953407980761E-2</v>
      </c>
      <c r="J111" s="22">
        <f t="shared" si="96"/>
        <v>7.5461434573829533E-2</v>
      </c>
      <c r="K111" s="22">
        <f t="shared" si="96"/>
        <v>7.3228930995475117E-2</v>
      </c>
      <c r="L111" s="22">
        <f t="shared" si="96"/>
        <v>7.0732033128506552E-2</v>
      </c>
      <c r="M111" s="22">
        <f t="shared" si="96"/>
        <v>7.0468029004614366E-2</v>
      </c>
      <c r="N111" s="22">
        <f t="shared" si="96"/>
        <v>7.7189014539579964E-2</v>
      </c>
    </row>
    <row r="112" spans="1:38" x14ac:dyDescent="0.25">
      <c r="A112" s="4" t="str">
        <f>A76&amp;" %"</f>
        <v>Settlement receivable %</v>
      </c>
      <c r="B112" s="22">
        <f>B76/B47</f>
        <v>4.8565072302558396E-2</v>
      </c>
      <c r="C112" s="22">
        <f>C76/C47</f>
        <v>8.963574159790702E-2</v>
      </c>
      <c r="D112" s="22">
        <f>D76/D47</f>
        <v>7.5173539488080934E-2</v>
      </c>
      <c r="E112" s="43">
        <f t="shared" si="95"/>
        <v>7.6173539488080935E-2</v>
      </c>
      <c r="F112" s="43">
        <f t="shared" si="95"/>
        <v>7.7173539488080936E-2</v>
      </c>
      <c r="G112" s="43">
        <f t="shared" si="95"/>
        <v>7.8173539488080937E-2</v>
      </c>
      <c r="H112" s="4"/>
      <c r="I112" s="22">
        <f t="shared" ref="I112:N112" si="97">(I76/I47)/4</f>
        <v>6.9192905989328923E-2</v>
      </c>
      <c r="J112" s="22">
        <f t="shared" si="97"/>
        <v>7.9606842737094841E-2</v>
      </c>
      <c r="K112" s="22">
        <f t="shared" si="97"/>
        <v>8.4452771493212675E-2</v>
      </c>
      <c r="L112" s="22">
        <f t="shared" si="97"/>
        <v>6.9980630510285871E-2</v>
      </c>
      <c r="M112" s="22">
        <f t="shared" si="97"/>
        <v>5.2933421226104151E-2</v>
      </c>
      <c r="N112" s="22">
        <f t="shared" si="97"/>
        <v>3.4507269789983842E-2</v>
      </c>
    </row>
    <row r="113" spans="1:38" x14ac:dyDescent="0.25">
      <c r="A113" s="4" t="str">
        <f>A80&amp;" %"</f>
        <v>Prepaid expenses and other current assets %</v>
      </c>
      <c r="B113" s="22">
        <f>B80/B47</f>
        <v>5.7486095661846495E-2</v>
      </c>
      <c r="C113" s="22">
        <f t="shared" ref="C113:D113" si="98">C80/C47</f>
        <v>6.6653250150935803E-2</v>
      </c>
      <c r="D113" s="22">
        <f t="shared" si="98"/>
        <v>4.8052949722874924E-2</v>
      </c>
      <c r="E113" s="43">
        <f t="shared" ref="E113" si="99">D113+0.1%</f>
        <v>4.9052949722874925E-2</v>
      </c>
      <c r="F113" s="43">
        <f t="shared" ref="F113" si="100">E113+0.1%</f>
        <v>5.0052949722874926E-2</v>
      </c>
      <c r="G113" s="43">
        <f t="shared" ref="G113" si="101">F113+0.1%</f>
        <v>5.1052949722874927E-2</v>
      </c>
      <c r="H113" s="4"/>
      <c r="I113" s="22">
        <f t="shared" ref="I113:N113" si="102">(I80/I47)/4</f>
        <v>6.3744645675208531E-2</v>
      </c>
      <c r="J113" s="22">
        <f t="shared" si="102"/>
        <v>6.7076830732292911E-2</v>
      </c>
      <c r="K113" s="22">
        <f t="shared" si="102"/>
        <v>5.32381221719457E-2</v>
      </c>
      <c r="L113" s="22">
        <f t="shared" si="102"/>
        <v>4.4733502538071068E-2</v>
      </c>
      <c r="M113" s="22">
        <f t="shared" si="102"/>
        <v>4.721489782465392E-2</v>
      </c>
      <c r="N113" s="22">
        <f t="shared" si="102"/>
        <v>7.6591276252019391E-2</v>
      </c>
    </row>
    <row r="114" spans="1:38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38" x14ac:dyDescent="0.25">
      <c r="A115" s="18" t="s">
        <v>297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38" x14ac:dyDescent="0.25">
      <c r="A116" s="4" t="str">
        <f>A91&amp;" %"</f>
        <v>Accounts payable %</v>
      </c>
      <c r="B116" s="22">
        <f>B91/B12</f>
        <v>3.2180554363683174E-2</v>
      </c>
      <c r="C116" s="22">
        <f>C91/C12</f>
        <v>3.8845186927256511E-2</v>
      </c>
      <c r="D116" s="22">
        <f>D91/D12</f>
        <v>3.4674497063601151E-2</v>
      </c>
      <c r="E116" s="43">
        <f>D116+0.1%</f>
        <v>3.5674497063601152E-2</v>
      </c>
      <c r="F116" s="43">
        <f t="shared" ref="F116:G116" si="103">E116+0.1%</f>
        <v>3.6674497063601152E-2</v>
      </c>
      <c r="G116" s="43">
        <f t="shared" si="103"/>
        <v>3.7674497063601153E-2</v>
      </c>
      <c r="H116" s="4"/>
      <c r="I116" s="22">
        <f t="shared" ref="I116:N116" si="104">(I91/I12)/4</f>
        <v>3.0906593406593408E-2</v>
      </c>
      <c r="J116" s="22">
        <f t="shared" si="104"/>
        <v>2.5306564077903344E-2</v>
      </c>
      <c r="K116" s="22">
        <f t="shared" si="104"/>
        <v>2.8911138923654569E-2</v>
      </c>
      <c r="L116" s="22">
        <f t="shared" si="104"/>
        <v>3.032124125874126E-2</v>
      </c>
      <c r="M116" s="22">
        <f t="shared" si="104"/>
        <v>2.5996637848222863E-2</v>
      </c>
      <c r="N116" s="22">
        <f t="shared" si="104"/>
        <v>3.4847347347347346E-2</v>
      </c>
    </row>
    <row r="117" spans="1:38" x14ac:dyDescent="0.25">
      <c r="A117" s="4" t="str">
        <f>A92&amp;" %"</f>
        <v>Settlement payable %</v>
      </c>
      <c r="B117" s="22">
        <f>B92/B12</f>
        <v>0.28052861923968075</v>
      </c>
      <c r="C117" s="22">
        <f>C92/C12</f>
        <v>0.42697267050523074</v>
      </c>
      <c r="D117" s="22">
        <f>D92/D12</f>
        <v>0.2853929776333875</v>
      </c>
      <c r="E117" s="43">
        <f t="shared" ref="E117:G117" si="105">D117+0.1%</f>
        <v>0.2863929776333875</v>
      </c>
      <c r="F117" s="43">
        <f t="shared" si="105"/>
        <v>0.2873929776333875</v>
      </c>
      <c r="G117" s="43">
        <f t="shared" si="105"/>
        <v>0.2883929776333875</v>
      </c>
      <c r="H117" s="4"/>
      <c r="I117" s="22">
        <f t="shared" ref="I117:N117" si="106">(I92/I12)/4</f>
        <v>0.3376831501831502</v>
      </c>
      <c r="J117" s="22">
        <f t="shared" si="106"/>
        <v>0.30031257513825438</v>
      </c>
      <c r="K117" s="22">
        <f t="shared" si="106"/>
        <v>0.37784730913642051</v>
      </c>
      <c r="L117" s="22">
        <f t="shared" si="106"/>
        <v>0.24956293706293706</v>
      </c>
      <c r="M117" s="22">
        <f t="shared" si="106"/>
        <v>0.26038664745437079</v>
      </c>
      <c r="N117" s="22">
        <f t="shared" si="106"/>
        <v>0.1906906906906907</v>
      </c>
    </row>
    <row r="118" spans="1:38" x14ac:dyDescent="0.25">
      <c r="A118" s="4" t="str">
        <f>A93&amp;" %"</f>
        <v>Customer collateral %</v>
      </c>
      <c r="B118" s="22">
        <f>B93/B12</f>
        <v>0.25787350896764782</v>
      </c>
      <c r="C118" s="22">
        <f>C93/C12</f>
        <v>0.28578379693455519</v>
      </c>
      <c r="D118" s="22">
        <f>D93/D12</f>
        <v>0.22647757091090842</v>
      </c>
      <c r="E118" s="43">
        <f t="shared" ref="E118:G119" si="107">D118+0.1%</f>
        <v>0.22747757091090842</v>
      </c>
      <c r="F118" s="43">
        <f t="shared" si="107"/>
        <v>0.22847757091090842</v>
      </c>
      <c r="G118" s="43">
        <f t="shared" si="107"/>
        <v>0.22947757091090842</v>
      </c>
      <c r="H118" s="4"/>
      <c r="I118" s="22">
        <f t="shared" ref="I118:N118" si="108">(I93/I12)/4</f>
        <v>0.26846764346764346</v>
      </c>
      <c r="J118" s="22">
        <f t="shared" si="108"/>
        <v>0.21297186823755709</v>
      </c>
      <c r="K118" s="22">
        <f t="shared" si="108"/>
        <v>0.22615769712140174</v>
      </c>
      <c r="L118" s="22">
        <f t="shared" si="108"/>
        <v>0.19804414335664336</v>
      </c>
      <c r="M118" s="22">
        <f t="shared" si="108"/>
        <v>0.22286263208453411</v>
      </c>
      <c r="N118" s="22">
        <f t="shared" si="108"/>
        <v>0.26851851851851855</v>
      </c>
    </row>
    <row r="119" spans="1:38" x14ac:dyDescent="0.25">
      <c r="A119" s="4" t="str">
        <f>A95&amp;" %"</f>
        <v>Client incentives %</v>
      </c>
      <c r="B119" s="22">
        <f>B95/B12</f>
        <v>0.70170771475156613</v>
      </c>
      <c r="C119" s="22">
        <f>C95/C12</f>
        <v>0.73595004460303304</v>
      </c>
      <c r="D119" s="22">
        <f>D95/D12</f>
        <v>0.64781956766212667</v>
      </c>
      <c r="E119" s="43">
        <f t="shared" si="107"/>
        <v>0.64881956766212667</v>
      </c>
      <c r="F119" s="43">
        <f t="shared" si="107"/>
        <v>0.64981956766212667</v>
      </c>
      <c r="G119" s="43">
        <f t="shared" si="107"/>
        <v>0.65081956766212667</v>
      </c>
      <c r="H119" s="4"/>
      <c r="I119" s="22">
        <f t="shared" ref="I119:N119" si="109">(I95/I12)/4</f>
        <v>0.70581501831501836</v>
      </c>
      <c r="J119" s="22">
        <f t="shared" si="109"/>
        <v>0.58096898292858856</v>
      </c>
      <c r="K119" s="22">
        <f t="shared" si="109"/>
        <v>0.62778473091364206</v>
      </c>
      <c r="L119" s="22">
        <f t="shared" si="109"/>
        <v>0.56648819930069927</v>
      </c>
      <c r="M119" s="22">
        <f t="shared" si="109"/>
        <v>0.67723342939481268</v>
      </c>
      <c r="N119" s="22">
        <f t="shared" si="109"/>
        <v>0.72428678678678682</v>
      </c>
    </row>
    <row r="120" spans="1:38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38" x14ac:dyDescent="0.25">
      <c r="A121" s="18" t="s">
        <v>323</v>
      </c>
      <c r="B121" s="33">
        <f t="shared" ref="B121:G121" si="110">B81-B99</f>
        <v>10434</v>
      </c>
      <c r="C121" s="33">
        <f t="shared" si="110"/>
        <v>7516</v>
      </c>
      <c r="D121" s="33">
        <f t="shared" si="110"/>
        <v>2718</v>
      </c>
      <c r="E121" s="33">
        <f t="shared" si="110"/>
        <v>9340.729852518587</v>
      </c>
      <c r="F121" s="33">
        <f t="shared" si="110"/>
        <v>10735.103817030184</v>
      </c>
      <c r="G121" s="33">
        <f t="shared" si="110"/>
        <v>11334.921524549667</v>
      </c>
      <c r="H121" s="4"/>
      <c r="I121" s="33">
        <f t="shared" ref="I121:N121" si="111">I81-I99</f>
        <v>3531</v>
      </c>
      <c r="J121" s="33">
        <f t="shared" si="111"/>
        <v>2553</v>
      </c>
      <c r="K121" s="33">
        <f t="shared" si="111"/>
        <v>3971</v>
      </c>
      <c r="L121" s="33">
        <f t="shared" si="111"/>
        <v>2718</v>
      </c>
      <c r="M121" s="33">
        <f t="shared" si="111"/>
        <v>3506</v>
      </c>
      <c r="N121" s="33">
        <f t="shared" si="111"/>
        <v>2549</v>
      </c>
    </row>
    <row r="122" spans="1:38" x14ac:dyDescent="0.25">
      <c r="A122" s="18" t="s">
        <v>455</v>
      </c>
      <c r="B122" s="33">
        <f>B139+B148+B146+B147+B149+B150+B151+B152+B153</f>
        <v>3933</v>
      </c>
      <c r="C122" s="33">
        <f t="shared" ref="C122:G122" si="112">C139+C148+C146+C147+C149+C150+C151+C152+C153</f>
        <v>-3524</v>
      </c>
      <c r="D122" s="33">
        <f t="shared" si="112"/>
        <v>3019</v>
      </c>
      <c r="E122" s="33">
        <f t="shared" si="112"/>
        <v>-876.5751767120463</v>
      </c>
      <c r="F122" s="33">
        <f t="shared" si="112"/>
        <v>-4871.0392719681704</v>
      </c>
      <c r="G122" s="33">
        <f t="shared" si="112"/>
        <v>-7596.8680697849477</v>
      </c>
      <c r="H122" s="4"/>
      <c r="I122" s="33">
        <f t="shared" ref="I122:N122" si="113">I139+I148+I146+I147+I149+I150+I151+I152+I153</f>
        <v>-371</v>
      </c>
      <c r="J122" s="33">
        <f t="shared" si="113"/>
        <v>-357</v>
      </c>
      <c r="K122" s="33">
        <f t="shared" si="113"/>
        <v>443</v>
      </c>
      <c r="L122" s="33">
        <f t="shared" si="113"/>
        <v>3304</v>
      </c>
      <c r="M122" s="33">
        <f t="shared" si="113"/>
        <v>783</v>
      </c>
      <c r="N122" s="33">
        <f t="shared" si="113"/>
        <v>-4068</v>
      </c>
    </row>
    <row r="123" spans="1:38" x14ac:dyDescent="0.25">
      <c r="A123" s="18"/>
      <c r="B123" s="33"/>
      <c r="C123" s="33"/>
      <c r="D123" s="33"/>
      <c r="E123" s="33"/>
      <c r="F123" s="33"/>
      <c r="G123" s="33"/>
      <c r="H123" s="4"/>
      <c r="I123" s="4"/>
      <c r="J123" s="4"/>
      <c r="K123" s="4"/>
      <c r="L123" s="4"/>
      <c r="M123" s="4"/>
      <c r="N123" s="4"/>
    </row>
    <row r="124" spans="1:38" x14ac:dyDescent="0.25">
      <c r="A124" s="4" t="str">
        <f>A97</f>
        <v>Current maturities of debt</v>
      </c>
      <c r="B124" s="31">
        <f>B97</f>
        <v>0</v>
      </c>
      <c r="C124" s="31">
        <f t="shared" ref="C124:D124" si="114">C97</f>
        <v>0</v>
      </c>
      <c r="D124" s="31">
        <f t="shared" si="114"/>
        <v>5569</v>
      </c>
      <c r="E124" s="108">
        <v>1000</v>
      </c>
      <c r="F124" s="108">
        <v>1000</v>
      </c>
      <c r="G124" s="108">
        <v>1000</v>
      </c>
      <c r="H124" s="4"/>
      <c r="I124" s="31">
        <f t="shared" ref="I124:N124" si="115">I97</f>
        <v>3929</v>
      </c>
      <c r="J124" s="31">
        <f t="shared" si="115"/>
        <v>3948</v>
      </c>
      <c r="K124" s="31">
        <f t="shared" si="115"/>
        <v>5548</v>
      </c>
      <c r="L124" s="31">
        <f t="shared" si="115"/>
        <v>5569</v>
      </c>
      <c r="M124" s="31">
        <f t="shared" si="115"/>
        <v>1589</v>
      </c>
      <c r="N124" s="31">
        <f t="shared" si="115"/>
        <v>1559</v>
      </c>
      <c r="P124" s="29"/>
    </row>
    <row r="125" spans="1:38" x14ac:dyDescent="0.25">
      <c r="A125" s="4" t="str">
        <f>A100</f>
        <v>Long-term debt</v>
      </c>
      <c r="B125" s="31">
        <f>B100</f>
        <v>20463</v>
      </c>
      <c r="C125" s="31">
        <f t="shared" ref="C125:D125" si="116">C100</f>
        <v>20836</v>
      </c>
      <c r="D125" s="31">
        <f t="shared" si="116"/>
        <v>19602</v>
      </c>
      <c r="E125" s="31">
        <f>E126-E124</f>
        <v>24000</v>
      </c>
      <c r="F125" s="31">
        <f t="shared" ref="F125:G125" si="117">F126-F124</f>
        <v>23000</v>
      </c>
      <c r="G125" s="31">
        <f t="shared" si="117"/>
        <v>22000</v>
      </c>
      <c r="H125" s="4"/>
      <c r="I125" s="31">
        <f t="shared" ref="I125:N125" si="118">I100</f>
        <v>16680</v>
      </c>
      <c r="J125" s="31">
        <f t="shared" si="118"/>
        <v>16814</v>
      </c>
      <c r="K125" s="31">
        <f t="shared" si="118"/>
        <v>19950</v>
      </c>
      <c r="L125" s="31">
        <f t="shared" si="118"/>
        <v>19602</v>
      </c>
      <c r="M125" s="31">
        <f t="shared" si="118"/>
        <v>19588</v>
      </c>
      <c r="N125" s="31">
        <f t="shared" si="118"/>
        <v>22417</v>
      </c>
      <c r="P125" s="30"/>
    </row>
    <row r="126" spans="1:38" s="1" customFormat="1" x14ac:dyDescent="0.25">
      <c r="A126" s="18" t="s">
        <v>298</v>
      </c>
      <c r="B126" s="33">
        <f>B124+B125</f>
        <v>20463</v>
      </c>
      <c r="C126" s="33">
        <f t="shared" ref="C126:D126" si="119">C124+C125</f>
        <v>20836</v>
      </c>
      <c r="D126" s="33">
        <f t="shared" si="119"/>
        <v>25171</v>
      </c>
      <c r="E126" s="33">
        <f>E132</f>
        <v>25000</v>
      </c>
      <c r="F126" s="33">
        <f t="shared" ref="F126:G126" si="120">F132</f>
        <v>24000</v>
      </c>
      <c r="G126" s="33">
        <f t="shared" si="120"/>
        <v>23000</v>
      </c>
      <c r="H126" s="18"/>
      <c r="I126" s="33">
        <f t="shared" ref="I126:N126" si="121">I124+I125</f>
        <v>20609</v>
      </c>
      <c r="J126" s="33">
        <f t="shared" si="121"/>
        <v>20762</v>
      </c>
      <c r="K126" s="33">
        <f t="shared" si="121"/>
        <v>25498</v>
      </c>
      <c r="L126" s="33">
        <f t="shared" si="121"/>
        <v>25171</v>
      </c>
      <c r="M126" s="33">
        <f t="shared" si="121"/>
        <v>21177</v>
      </c>
      <c r="N126" s="33">
        <f t="shared" si="121"/>
        <v>23976</v>
      </c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1:38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38" x14ac:dyDescent="0.25">
      <c r="A128" s="18" t="s">
        <v>478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38" x14ac:dyDescent="0.25">
      <c r="A129" s="4" t="s">
        <v>479</v>
      </c>
      <c r="B129" s="31">
        <v>22450</v>
      </c>
      <c r="C129" s="31">
        <f>B132</f>
        <v>20463</v>
      </c>
      <c r="D129" s="31">
        <f>C132</f>
        <v>20836</v>
      </c>
      <c r="E129" s="31">
        <f>D132</f>
        <v>25171</v>
      </c>
      <c r="F129" s="31">
        <f t="shared" ref="F129:G129" si="122">E132</f>
        <v>25000</v>
      </c>
      <c r="G129" s="31">
        <f t="shared" si="122"/>
        <v>24000</v>
      </c>
      <c r="H129" s="31"/>
      <c r="I129" s="31"/>
      <c r="J129" s="31"/>
      <c r="K129" s="31"/>
      <c r="L129" s="31"/>
      <c r="M129" s="31"/>
      <c r="N129" s="31"/>
    </row>
    <row r="130" spans="1:38" x14ac:dyDescent="0.25">
      <c r="A130" s="4" t="s">
        <v>480</v>
      </c>
      <c r="B130" s="31">
        <f>B132-B131-B129</f>
        <v>263</v>
      </c>
      <c r="C130" s="31">
        <f>C132-C131-C129</f>
        <v>373</v>
      </c>
      <c r="D130" s="31">
        <f>D132-D131-D129</f>
        <v>4335</v>
      </c>
      <c r="E130" s="85">
        <v>4398</v>
      </c>
      <c r="F130" s="85">
        <v>0</v>
      </c>
      <c r="G130" s="85">
        <v>0</v>
      </c>
      <c r="H130" s="31"/>
      <c r="I130" s="31"/>
      <c r="J130" s="31"/>
      <c r="K130" s="31"/>
      <c r="L130" s="31"/>
      <c r="M130" s="31"/>
      <c r="N130" s="31"/>
    </row>
    <row r="131" spans="1:38" x14ac:dyDescent="0.25">
      <c r="A131" s="4" t="s">
        <v>481</v>
      </c>
      <c r="B131" s="31">
        <f>B166</f>
        <v>-2250</v>
      </c>
      <c r="C131" s="31">
        <f>C166</f>
        <v>0</v>
      </c>
      <c r="D131" s="31">
        <f>D166</f>
        <v>0</v>
      </c>
      <c r="E131" s="31">
        <f>E166</f>
        <v>-4569</v>
      </c>
      <c r="F131" s="31">
        <f>F166</f>
        <v>-1000</v>
      </c>
      <c r="G131" s="31">
        <f t="shared" ref="G131" si="123">G166</f>
        <v>-1000</v>
      </c>
      <c r="H131" s="31"/>
      <c r="I131" s="31"/>
      <c r="J131" s="31"/>
      <c r="K131" s="31"/>
      <c r="L131" s="31"/>
      <c r="M131" s="31"/>
      <c r="N131" s="31"/>
    </row>
    <row r="132" spans="1:38" s="1" customFormat="1" x14ac:dyDescent="0.25">
      <c r="A132" s="18" t="s">
        <v>482</v>
      </c>
      <c r="B132" s="33">
        <v>20463</v>
      </c>
      <c r="C132" s="33">
        <f>C126</f>
        <v>20836</v>
      </c>
      <c r="D132" s="33">
        <f t="shared" ref="D132" si="124">D126</f>
        <v>25171</v>
      </c>
      <c r="E132" s="33">
        <f>SUM(E129:E131)</f>
        <v>25000</v>
      </c>
      <c r="F132" s="33">
        <f t="shared" ref="F132:G132" si="125">SUM(F129:F131)</f>
        <v>24000</v>
      </c>
      <c r="G132" s="33">
        <f t="shared" si="125"/>
        <v>23000</v>
      </c>
      <c r="H132" s="33"/>
      <c r="I132" s="33"/>
      <c r="J132" s="33"/>
      <c r="K132" s="33"/>
      <c r="L132" s="33"/>
      <c r="M132" s="33"/>
      <c r="N132" s="33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1:38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38" x14ac:dyDescent="0.25">
      <c r="A134" s="4" t="s">
        <v>299</v>
      </c>
      <c r="B134" s="22">
        <f>B9/B47</f>
        <v>2.0978865406006676E-2</v>
      </c>
      <c r="C134" s="22">
        <f>C9/C47</f>
        <v>2.0809015898571141E-2</v>
      </c>
      <c r="D134" s="22">
        <f>D9/D47</f>
        <v>2.1883015551290561E-2</v>
      </c>
      <c r="E134" s="43">
        <f>D134+0.1%</f>
        <v>2.2883015551290561E-2</v>
      </c>
      <c r="F134" s="43">
        <f t="shared" ref="F134:G135" si="126">E134+0.1%</f>
        <v>2.3883015551290562E-2</v>
      </c>
      <c r="G134" s="43">
        <f t="shared" si="126"/>
        <v>2.4883015551290563E-2</v>
      </c>
      <c r="H134" s="4"/>
      <c r="I134" s="22">
        <f t="shared" ref="I134:N134" si="127">I9/I47</f>
        <v>2.1191853911475163E-2</v>
      </c>
      <c r="J134" s="22">
        <f t="shared" si="127"/>
        <v>2.2884153661464585E-2</v>
      </c>
      <c r="K134" s="22">
        <f t="shared" si="127"/>
        <v>2.2412330316742082E-2</v>
      </c>
      <c r="L134" s="22">
        <f t="shared" si="127"/>
        <v>2.1106064654020838E-2</v>
      </c>
      <c r="M134" s="22">
        <f t="shared" si="127"/>
        <v>2.148978246539222E-2</v>
      </c>
      <c r="N134" s="22">
        <f t="shared" si="127"/>
        <v>2.1518578352180937E-2</v>
      </c>
    </row>
    <row r="135" spans="1:38" x14ac:dyDescent="0.25">
      <c r="A135" s="4" t="s">
        <v>300</v>
      </c>
      <c r="B135" s="22">
        <f>-B156/B47</f>
        <v>2.3559510567296996E-2</v>
      </c>
      <c r="C135" s="22">
        <f>-C156/C47</f>
        <v>2.529684041054538E-2</v>
      </c>
      <c r="D135" s="22">
        <f>-D156/D47</f>
        <v>2.6582482825420171E-2</v>
      </c>
      <c r="E135" s="43">
        <f>D135+0.1%</f>
        <v>2.7582482825420172E-2</v>
      </c>
      <c r="F135" s="43">
        <f t="shared" si="126"/>
        <v>2.8582482825420173E-2</v>
      </c>
      <c r="G135" s="43">
        <f t="shared" si="126"/>
        <v>2.9582482825420173E-2</v>
      </c>
      <c r="H135" s="4"/>
      <c r="I135" s="22">
        <f t="shared" ref="I135:N135" si="128">-I156/I47</f>
        <v>2.5926204253400465E-2</v>
      </c>
      <c r="J135" s="22">
        <f t="shared" si="128"/>
        <v>2.4534813925570227E-2</v>
      </c>
      <c r="K135" s="22">
        <f t="shared" si="128"/>
        <v>2.9765271493212668E-2</v>
      </c>
      <c r="L135" s="22">
        <f t="shared" si="128"/>
        <v>2.598183275447502E-2</v>
      </c>
      <c r="M135" s="22">
        <f t="shared" si="128"/>
        <v>2.4917600527356625E-2</v>
      </c>
      <c r="N135" s="22">
        <f t="shared" si="128"/>
        <v>2.4749596122778675E-2</v>
      </c>
    </row>
    <row r="136" spans="1:38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38" x14ac:dyDescent="0.25">
      <c r="A137" s="18" t="s">
        <v>57</v>
      </c>
      <c r="B137" s="39" t="s">
        <v>0</v>
      </c>
      <c r="C137" s="39" t="s">
        <v>1</v>
      </c>
      <c r="D137" s="39" t="s">
        <v>2</v>
      </c>
      <c r="E137" s="39" t="s">
        <v>3</v>
      </c>
      <c r="F137" s="39" t="s">
        <v>4</v>
      </c>
      <c r="G137" s="39" t="s">
        <v>294</v>
      </c>
      <c r="H137" s="4"/>
      <c r="I137" s="18" t="s">
        <v>366</v>
      </c>
      <c r="J137" s="18" t="s">
        <v>367</v>
      </c>
      <c r="K137" s="18" t="s">
        <v>368</v>
      </c>
      <c r="L137" s="18" t="s">
        <v>369</v>
      </c>
      <c r="M137" s="41" t="s">
        <v>370</v>
      </c>
      <c r="N137" s="41" t="s">
        <v>371</v>
      </c>
      <c r="P137" s="29" t="s">
        <v>417</v>
      </c>
    </row>
    <row r="138" spans="1:38" x14ac:dyDescent="0.25">
      <c r="A138" s="4" t="s">
        <v>20</v>
      </c>
      <c r="B138" s="32">
        <v>17273</v>
      </c>
      <c r="C138" s="32">
        <v>19743</v>
      </c>
      <c r="D138" s="32">
        <v>20058</v>
      </c>
      <c r="E138" s="31">
        <f>E25</f>
        <v>22497.543420000009</v>
      </c>
      <c r="F138" s="31">
        <f>F25</f>
        <v>24925.51051895001</v>
      </c>
      <c r="G138" s="31">
        <f>G25</f>
        <v>27979.706380450018</v>
      </c>
      <c r="H138" s="4"/>
      <c r="I138" s="31">
        <v>5119</v>
      </c>
      <c r="J138" s="31">
        <v>4577</v>
      </c>
      <c r="K138" s="31">
        <v>5272</v>
      </c>
      <c r="L138" s="31">
        <v>5090</v>
      </c>
      <c r="M138" s="31">
        <v>5853</v>
      </c>
      <c r="N138" s="31">
        <v>6021</v>
      </c>
      <c r="O138" s="31"/>
      <c r="P138" s="30">
        <f>SUM(I138:L138)-D138</f>
        <v>0</v>
      </c>
    </row>
    <row r="139" spans="1:38" x14ac:dyDescent="0.25">
      <c r="A139" s="4" t="s">
        <v>37</v>
      </c>
      <c r="B139" s="32">
        <v>12297</v>
      </c>
      <c r="C139" s="32">
        <v>13764</v>
      </c>
      <c r="D139" s="32">
        <v>15751</v>
      </c>
      <c r="E139" s="31">
        <f>-E48</f>
        <v>17751.659999999996</v>
      </c>
      <c r="F139" s="31">
        <f>-F48</f>
        <v>20398.266799999998</v>
      </c>
      <c r="G139" s="31">
        <f>-G48</f>
        <v>23520.364451999983</v>
      </c>
      <c r="H139" s="4"/>
      <c r="I139" s="31">
        <v>3797</v>
      </c>
      <c r="J139" s="31">
        <v>3734</v>
      </c>
      <c r="K139" s="31">
        <v>3972</v>
      </c>
      <c r="L139" s="31">
        <v>4248</v>
      </c>
      <c r="M139" s="31">
        <v>4269</v>
      </c>
      <c r="N139" s="31">
        <v>4245</v>
      </c>
      <c r="O139" s="31"/>
      <c r="P139" s="30">
        <f t="shared" ref="P139:P162" si="129">SUM(I139:L139)-D139</f>
        <v>0</v>
      </c>
    </row>
    <row r="140" spans="1:38" x14ac:dyDescent="0.25">
      <c r="A140" s="4" t="s">
        <v>58</v>
      </c>
      <c r="B140" s="32">
        <v>765</v>
      </c>
      <c r="C140" s="32">
        <v>850</v>
      </c>
      <c r="D140" s="32">
        <v>897</v>
      </c>
      <c r="E140" s="32">
        <v>0</v>
      </c>
      <c r="F140" s="32">
        <v>0</v>
      </c>
      <c r="G140" s="32">
        <v>0</v>
      </c>
      <c r="H140" s="4"/>
      <c r="I140" s="32">
        <v>224</v>
      </c>
      <c r="J140" s="32">
        <v>259</v>
      </c>
      <c r="K140" s="32">
        <v>223</v>
      </c>
      <c r="L140" s="31">
        <v>191</v>
      </c>
      <c r="M140" s="32">
        <v>231</v>
      </c>
      <c r="N140" s="32">
        <v>275</v>
      </c>
      <c r="O140" s="32"/>
      <c r="P140" s="30">
        <f t="shared" si="129"/>
        <v>0</v>
      </c>
    </row>
    <row r="141" spans="1:38" x14ac:dyDescent="0.25">
      <c r="A141" s="4" t="s">
        <v>10</v>
      </c>
      <c r="B141" s="32">
        <v>943</v>
      </c>
      <c r="C141" s="32">
        <v>1034</v>
      </c>
      <c r="D141" s="32">
        <v>1220</v>
      </c>
      <c r="E141" s="31">
        <f>E134*E47</f>
        <v>1422.2174023185237</v>
      </c>
      <c r="F141" s="31">
        <f>F134*F47</f>
        <v>1653.6186027288054</v>
      </c>
      <c r="G141" s="31">
        <f>G134*G47</f>
        <v>1934.2255867039223</v>
      </c>
      <c r="H141" s="4"/>
      <c r="I141" s="31">
        <v>282</v>
      </c>
      <c r="J141" s="31">
        <v>305</v>
      </c>
      <c r="K141" s="31">
        <v>317</v>
      </c>
      <c r="L141" s="31">
        <v>316</v>
      </c>
      <c r="M141" s="31">
        <v>326</v>
      </c>
      <c r="N141" s="31">
        <v>333</v>
      </c>
      <c r="O141" s="31"/>
      <c r="P141" s="30">
        <f t="shared" si="129"/>
        <v>0</v>
      </c>
    </row>
    <row r="142" spans="1:38" x14ac:dyDescent="0.25">
      <c r="A142" s="4" t="s">
        <v>59</v>
      </c>
      <c r="B142" s="32">
        <v>483</v>
      </c>
      <c r="C142" s="32">
        <v>-100</v>
      </c>
      <c r="D142" s="32">
        <v>152</v>
      </c>
      <c r="E142" s="32">
        <v>0</v>
      </c>
      <c r="F142" s="32">
        <v>0</v>
      </c>
      <c r="G142" s="32">
        <v>0</v>
      </c>
      <c r="H142" s="4"/>
      <c r="I142" s="32">
        <v>38</v>
      </c>
      <c r="J142" s="32">
        <v>-124</v>
      </c>
      <c r="K142" s="32">
        <v>433</v>
      </c>
      <c r="L142" s="31">
        <v>-195</v>
      </c>
      <c r="M142" s="32">
        <v>-435</v>
      </c>
      <c r="N142" s="32">
        <v>453</v>
      </c>
      <c r="O142" s="32"/>
      <c r="P142" s="30">
        <f t="shared" si="129"/>
        <v>0</v>
      </c>
    </row>
    <row r="143" spans="1:38" x14ac:dyDescent="0.25">
      <c r="A143" s="4" t="s">
        <v>60</v>
      </c>
      <c r="B143" s="32">
        <v>136</v>
      </c>
      <c r="C143" s="32">
        <v>139</v>
      </c>
      <c r="D143" s="32">
        <v>28</v>
      </c>
      <c r="E143" s="32">
        <v>0</v>
      </c>
      <c r="F143" s="32">
        <v>0</v>
      </c>
      <c r="G143" s="32">
        <v>0</v>
      </c>
      <c r="H143" s="4"/>
      <c r="I143" s="32">
        <v>-27</v>
      </c>
      <c r="J143" s="32">
        <v>3</v>
      </c>
      <c r="K143" s="32">
        <v>2</v>
      </c>
      <c r="L143" s="31">
        <v>50</v>
      </c>
      <c r="M143" s="32">
        <v>-3</v>
      </c>
      <c r="N143" s="32">
        <v>-25</v>
      </c>
      <c r="O143" s="32"/>
      <c r="P143" s="30">
        <f t="shared" si="129"/>
        <v>0</v>
      </c>
    </row>
    <row r="144" spans="1:38" x14ac:dyDescent="0.25">
      <c r="A144" s="4" t="s">
        <v>61</v>
      </c>
      <c r="B144" s="32">
        <v>104</v>
      </c>
      <c r="C144" s="32">
        <v>94</v>
      </c>
      <c r="D144" s="32">
        <v>87</v>
      </c>
      <c r="E144" s="32">
        <v>0</v>
      </c>
      <c r="F144" s="32">
        <v>0</v>
      </c>
      <c r="G144" s="32">
        <v>0</v>
      </c>
      <c r="H144" s="4"/>
      <c r="I144" s="32">
        <v>75</v>
      </c>
      <c r="J144" s="32">
        <v>23</v>
      </c>
      <c r="K144" s="32">
        <v>35</v>
      </c>
      <c r="L144" s="31">
        <v>-46</v>
      </c>
      <c r="M144" s="32">
        <v>7</v>
      </c>
      <c r="N144" s="32">
        <v>15</v>
      </c>
      <c r="O144" s="32"/>
      <c r="P144" s="30">
        <f t="shared" si="129"/>
        <v>0</v>
      </c>
    </row>
    <row r="145" spans="1:38" x14ac:dyDescent="0.25">
      <c r="A145" s="4" t="s">
        <v>62</v>
      </c>
      <c r="B145" s="32">
        <v>14</v>
      </c>
      <c r="C145" s="32">
        <v>136</v>
      </c>
      <c r="D145" s="32">
        <v>94</v>
      </c>
      <c r="E145" s="32">
        <v>0</v>
      </c>
      <c r="F145" s="32">
        <v>0</v>
      </c>
      <c r="G145" s="32">
        <v>0</v>
      </c>
      <c r="H145" s="4"/>
      <c r="I145" s="32">
        <v>56</v>
      </c>
      <c r="J145" s="32">
        <v>9</v>
      </c>
      <c r="K145" s="32">
        <v>5</v>
      </c>
      <c r="L145" s="31">
        <v>24</v>
      </c>
      <c r="M145" s="32">
        <v>18</v>
      </c>
      <c r="N145" s="32">
        <v>4</v>
      </c>
      <c r="O145" s="32"/>
      <c r="P145" s="30">
        <f t="shared" si="129"/>
        <v>0</v>
      </c>
    </row>
    <row r="146" spans="1:38" x14ac:dyDescent="0.25">
      <c r="A146" s="4" t="s">
        <v>30</v>
      </c>
      <c r="B146" s="32">
        <v>-160</v>
      </c>
      <c r="C146" s="32">
        <v>-2175</v>
      </c>
      <c r="D146" s="32">
        <v>374</v>
      </c>
      <c r="E146" s="31">
        <f>E76-D76</f>
        <v>543.31192725978053</v>
      </c>
      <c r="F146" s="31">
        <f t="shared" ref="F146:G146" si="130">F76-E76</f>
        <v>609.05018971630398</v>
      </c>
      <c r="G146" s="31">
        <f t="shared" si="130"/>
        <v>733.28321443003188</v>
      </c>
      <c r="H146" s="4"/>
      <c r="I146" s="31">
        <v>657</v>
      </c>
      <c r="J146" s="31">
        <v>-525</v>
      </c>
      <c r="K146" s="31">
        <v>-343</v>
      </c>
      <c r="L146" s="31">
        <v>585</v>
      </c>
      <c r="M146" s="31">
        <v>981</v>
      </c>
      <c r="N146" s="31">
        <v>1057</v>
      </c>
      <c r="O146" s="31"/>
      <c r="P146" s="30">
        <f t="shared" si="129"/>
        <v>0</v>
      </c>
    </row>
    <row r="147" spans="1:38" x14ac:dyDescent="0.25">
      <c r="A147" s="4" t="s">
        <v>31</v>
      </c>
      <c r="B147" s="32">
        <v>250</v>
      </c>
      <c r="C147" s="32">
        <v>237</v>
      </c>
      <c r="D147" s="32">
        <v>-542</v>
      </c>
      <c r="E147" s="31">
        <f>E77-D77</f>
        <v>421.04142269483964</v>
      </c>
      <c r="F147" s="31">
        <f t="shared" ref="F147:G147" si="131">F77-E77</f>
        <v>473.67618311552496</v>
      </c>
      <c r="G147" s="31">
        <f t="shared" si="131"/>
        <v>571.01455558301632</v>
      </c>
      <c r="H147" s="4"/>
      <c r="I147" s="31">
        <v>-64</v>
      </c>
      <c r="J147" s="31">
        <v>-92</v>
      </c>
      <c r="K147" s="31">
        <v>-178</v>
      </c>
      <c r="L147" s="31">
        <v>-208</v>
      </c>
      <c r="M147" s="31">
        <v>-109</v>
      </c>
      <c r="N147" s="31">
        <v>-128</v>
      </c>
      <c r="O147" s="31"/>
      <c r="P147" s="30">
        <f t="shared" si="129"/>
        <v>0</v>
      </c>
    </row>
    <row r="148" spans="1:38" x14ac:dyDescent="0.25">
      <c r="A148" s="4" t="s">
        <v>63</v>
      </c>
      <c r="B148" s="32">
        <v>-11014</v>
      </c>
      <c r="C148" s="32">
        <v>-14067</v>
      </c>
      <c r="D148" s="32">
        <v>-15314</v>
      </c>
      <c r="E148" s="31">
        <f>-E139-1500</f>
        <v>-19251.659999999996</v>
      </c>
      <c r="F148" s="31">
        <f>-F139-6500</f>
        <v>-26898.266799999998</v>
      </c>
      <c r="G148" s="31">
        <f>-G139-9500</f>
        <v>-33020.36445199998</v>
      </c>
      <c r="H148" s="4"/>
      <c r="I148" s="31">
        <v>-3649</v>
      </c>
      <c r="J148" s="31">
        <v>-3541</v>
      </c>
      <c r="K148" s="31">
        <v>-4063</v>
      </c>
      <c r="L148" s="31">
        <v>-4061</v>
      </c>
      <c r="M148" s="31">
        <v>-3808</v>
      </c>
      <c r="N148" s="31">
        <v>-3954</v>
      </c>
      <c r="O148" s="31"/>
      <c r="P148" s="30">
        <f t="shared" si="129"/>
        <v>0</v>
      </c>
    </row>
    <row r="149" spans="1:38" x14ac:dyDescent="0.25">
      <c r="A149" s="4" t="s">
        <v>41</v>
      </c>
      <c r="B149" s="32">
        <v>-24</v>
      </c>
      <c r="C149" s="32">
        <v>-199</v>
      </c>
      <c r="D149" s="32">
        <v>160</v>
      </c>
      <c r="E149" s="32">
        <v>0</v>
      </c>
      <c r="F149" s="32">
        <v>0</v>
      </c>
      <c r="G149" s="32">
        <v>0</v>
      </c>
      <c r="H149" s="4"/>
      <c r="I149" s="32">
        <v>-10</v>
      </c>
      <c r="J149" s="32">
        <v>-390</v>
      </c>
      <c r="K149" s="32">
        <v>382</v>
      </c>
      <c r="L149" s="31">
        <v>178</v>
      </c>
      <c r="M149" s="32">
        <v>35</v>
      </c>
      <c r="N149" s="32">
        <v>-1886</v>
      </c>
      <c r="O149" s="32"/>
      <c r="P149" s="30">
        <f t="shared" si="129"/>
        <v>0</v>
      </c>
    </row>
    <row r="150" spans="1:38" x14ac:dyDescent="0.25">
      <c r="A150" s="4" t="s">
        <v>44</v>
      </c>
      <c r="B150" s="32">
        <v>34</v>
      </c>
      <c r="C150" s="32">
        <v>109</v>
      </c>
      <c r="D150" s="32">
        <v>67</v>
      </c>
      <c r="E150" s="31">
        <f>E91-D91</f>
        <v>70.251570000000015</v>
      </c>
      <c r="F150" s="31">
        <f t="shared" ref="F150:G150" si="132">F91-E91</f>
        <v>75.376602600000183</v>
      </c>
      <c r="G150" s="31">
        <f t="shared" si="132"/>
        <v>83.879853350999952</v>
      </c>
      <c r="H150" s="4"/>
      <c r="I150" s="31">
        <v>-54</v>
      </c>
      <c r="J150" s="31">
        <v>9</v>
      </c>
      <c r="K150" s="31">
        <v>31</v>
      </c>
      <c r="L150" s="31">
        <v>81</v>
      </c>
      <c r="M150" s="31">
        <v>-114</v>
      </c>
      <c r="N150" s="31">
        <v>89</v>
      </c>
      <c r="O150" s="31"/>
      <c r="P150" s="30">
        <f t="shared" si="129"/>
        <v>0</v>
      </c>
    </row>
    <row r="151" spans="1:38" x14ac:dyDescent="0.25">
      <c r="A151" s="4" t="s">
        <v>45</v>
      </c>
      <c r="B151" s="32">
        <v>964</v>
      </c>
      <c r="C151" s="32">
        <v>-1841</v>
      </c>
      <c r="D151" s="32">
        <v>847</v>
      </c>
      <c r="E151" s="31">
        <f>E92-D92</f>
        <v>451.48657000000003</v>
      </c>
      <c r="F151" s="31">
        <f t="shared" ref="F151:G151" si="133">F92-E92</f>
        <v>470.85775260000082</v>
      </c>
      <c r="G151" s="31">
        <f t="shared" si="133"/>
        <v>514.95430685100018</v>
      </c>
      <c r="H151" s="4"/>
      <c r="I151" s="31">
        <v>-673</v>
      </c>
      <c r="J151" s="31">
        <v>518</v>
      </c>
      <c r="K151" s="31">
        <v>774</v>
      </c>
      <c r="L151" s="31">
        <v>228</v>
      </c>
      <c r="M151" s="31">
        <v>-233</v>
      </c>
      <c r="N151" s="31">
        <v>-1463</v>
      </c>
      <c r="O151" s="31"/>
      <c r="P151" s="30">
        <f t="shared" si="129"/>
        <v>0</v>
      </c>
    </row>
    <row r="152" spans="1:38" x14ac:dyDescent="0.25">
      <c r="A152" s="4" t="s">
        <v>64</v>
      </c>
      <c r="B152" s="32">
        <v>1291</v>
      </c>
      <c r="C152" s="32">
        <v>676</v>
      </c>
      <c r="D152" s="32">
        <v>373</v>
      </c>
      <c r="E152" s="32">
        <v>0</v>
      </c>
      <c r="F152" s="32">
        <v>0</v>
      </c>
      <c r="G152" s="32">
        <v>0</v>
      </c>
      <c r="H152" s="4"/>
      <c r="I152" s="32">
        <v>-303</v>
      </c>
      <c r="J152" s="32">
        <v>-493</v>
      </c>
      <c r="K152" s="32">
        <v>-403</v>
      </c>
      <c r="L152" s="31">
        <v>1572</v>
      </c>
      <c r="M152" s="32">
        <v>-611</v>
      </c>
      <c r="N152" s="32">
        <v>397</v>
      </c>
      <c r="O152" s="32"/>
      <c r="P152" s="30">
        <f t="shared" si="129"/>
        <v>0</v>
      </c>
    </row>
    <row r="153" spans="1:38" x14ac:dyDescent="0.25">
      <c r="A153" s="4" t="s">
        <v>49</v>
      </c>
      <c r="B153" s="32">
        <v>295</v>
      </c>
      <c r="C153" s="32">
        <v>-28</v>
      </c>
      <c r="D153" s="32">
        <v>1303</v>
      </c>
      <c r="E153" s="31">
        <f>E98-D98</f>
        <v>-862.66666666666652</v>
      </c>
      <c r="F153" s="31">
        <f t="shared" ref="F153:G153" si="134">F98-E98</f>
        <v>0</v>
      </c>
      <c r="G153" s="31">
        <f t="shared" si="134"/>
        <v>0</v>
      </c>
      <c r="H153" s="4"/>
      <c r="I153" s="31">
        <v>-72</v>
      </c>
      <c r="J153" s="31">
        <v>423</v>
      </c>
      <c r="K153" s="31">
        <v>271</v>
      </c>
      <c r="L153" s="31">
        <v>681</v>
      </c>
      <c r="M153" s="31">
        <v>373</v>
      </c>
      <c r="N153" s="31">
        <v>-2425</v>
      </c>
      <c r="O153" s="31"/>
      <c r="P153" s="30">
        <f t="shared" si="129"/>
        <v>0</v>
      </c>
    </row>
    <row r="154" spans="1:38" s="1" customFormat="1" x14ac:dyDescent="0.25">
      <c r="A154" s="18" t="s">
        <v>65</v>
      </c>
      <c r="B154" s="34">
        <v>20755</v>
      </c>
      <c r="C154" s="34">
        <v>19950</v>
      </c>
      <c r="D154" s="34">
        <v>23059</v>
      </c>
      <c r="E154" s="33">
        <f>SUM(E138:E153)</f>
        <v>23043.185645606489</v>
      </c>
      <c r="F154" s="33">
        <f t="shared" ref="F154:N154" si="135">SUM(F138:F153)</f>
        <v>21708.089849710646</v>
      </c>
      <c r="G154" s="33">
        <f t="shared" si="135"/>
        <v>22317.063897368993</v>
      </c>
      <c r="H154" s="18"/>
      <c r="I154" s="33">
        <f t="shared" si="135"/>
        <v>5396</v>
      </c>
      <c r="J154" s="33">
        <f t="shared" si="135"/>
        <v>4695</v>
      </c>
      <c r="K154" s="33">
        <f t="shared" si="135"/>
        <v>6730</v>
      </c>
      <c r="L154" s="33">
        <f>D154-K154-J154-I154</f>
        <v>6238</v>
      </c>
      <c r="M154" s="33">
        <f t="shared" si="135"/>
        <v>6780</v>
      </c>
      <c r="N154" s="33">
        <f t="shared" si="135"/>
        <v>3008</v>
      </c>
      <c r="O154" s="33"/>
      <c r="P154" s="30">
        <f t="shared" si="129"/>
        <v>0</v>
      </c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</row>
    <row r="155" spans="1:38" s="1" customFormat="1" x14ac:dyDescent="0.25">
      <c r="A155" s="18"/>
      <c r="B155" s="34"/>
      <c r="C155" s="34"/>
      <c r="D155" s="34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</row>
    <row r="156" spans="1:38" x14ac:dyDescent="0.25">
      <c r="A156" s="4" t="s">
        <v>66</v>
      </c>
      <c r="B156" s="32">
        <v>-1059</v>
      </c>
      <c r="C156" s="32">
        <v>-1257</v>
      </c>
      <c r="D156" s="32">
        <v>-1482</v>
      </c>
      <c r="E156" s="32">
        <f>-E135*E47</f>
        <v>-1714.297094521354</v>
      </c>
      <c r="F156" s="32">
        <f>-F135*F47</f>
        <v>-1979.0015716728601</v>
      </c>
      <c r="G156" s="32">
        <f>-G135*G47</f>
        <v>-2299.528169373722</v>
      </c>
      <c r="H156" s="4"/>
      <c r="I156" s="32">
        <v>-345</v>
      </c>
      <c r="J156" s="32">
        <v>-327</v>
      </c>
      <c r="K156" s="31">
        <v>-421</v>
      </c>
      <c r="L156" s="31">
        <v>-389</v>
      </c>
      <c r="M156" s="32">
        <v>-378</v>
      </c>
      <c r="N156" s="32">
        <v>-383</v>
      </c>
      <c r="O156" s="32"/>
      <c r="P156" s="30">
        <f t="shared" si="129"/>
        <v>0</v>
      </c>
    </row>
    <row r="157" spans="1:38" x14ac:dyDescent="0.25">
      <c r="A157" s="4" t="s">
        <v>67</v>
      </c>
      <c r="B157" s="32">
        <v>-4363</v>
      </c>
      <c r="C157" s="32">
        <v>-4443</v>
      </c>
      <c r="D157" s="32">
        <v>0</v>
      </c>
      <c r="E157" s="32">
        <f>-(E75-D75)</f>
        <v>-183.30000000000018</v>
      </c>
      <c r="F157" s="32">
        <f t="shared" ref="F157:G157" si="136">-(F75-E75)</f>
        <v>-201.63000000000011</v>
      </c>
      <c r="G157" s="32">
        <f t="shared" si="136"/>
        <v>-221.79300000000012</v>
      </c>
      <c r="H157" s="4"/>
      <c r="I157" s="32">
        <v>0</v>
      </c>
      <c r="J157" s="32">
        <v>0</v>
      </c>
      <c r="K157" s="31">
        <v>0</v>
      </c>
      <c r="L157" s="31">
        <v>0</v>
      </c>
      <c r="M157" s="32">
        <v>725</v>
      </c>
      <c r="N157" s="32">
        <v>-775</v>
      </c>
      <c r="O157" s="32"/>
      <c r="P157" s="30">
        <f t="shared" si="129"/>
        <v>0</v>
      </c>
    </row>
    <row r="158" spans="1:38" x14ac:dyDescent="0.25">
      <c r="A158" s="4" t="s">
        <v>68</v>
      </c>
      <c r="B158" s="32">
        <v>3160</v>
      </c>
      <c r="C158" s="32">
        <v>5013</v>
      </c>
      <c r="D158" s="32">
        <v>3024</v>
      </c>
      <c r="E158" s="32">
        <v>0</v>
      </c>
      <c r="F158" s="32">
        <v>0</v>
      </c>
      <c r="G158" s="32">
        <v>0</v>
      </c>
      <c r="H158" s="4"/>
      <c r="I158" s="32">
        <v>2042</v>
      </c>
      <c r="J158" s="32">
        <v>226</v>
      </c>
      <c r="K158" s="31">
        <v>200</v>
      </c>
      <c r="L158" s="31">
        <v>556</v>
      </c>
      <c r="M158" s="32">
        <v>0</v>
      </c>
      <c r="N158" s="32">
        <v>1025</v>
      </c>
      <c r="O158" s="32"/>
      <c r="P158" s="30">
        <f t="shared" si="129"/>
        <v>0</v>
      </c>
    </row>
    <row r="159" spans="1:38" x14ac:dyDescent="0.25">
      <c r="A159" s="4" t="s">
        <v>69</v>
      </c>
      <c r="B159" s="32">
        <v>0</v>
      </c>
      <c r="C159" s="32">
        <v>-915</v>
      </c>
      <c r="D159" s="32">
        <v>-887</v>
      </c>
      <c r="E159" s="32">
        <f>-(E74-D74)</f>
        <v>-29.900000000000091</v>
      </c>
      <c r="F159" s="32">
        <f t="shared" ref="F159:G159" si="137">-(F74-E74)</f>
        <v>-30.199000000000069</v>
      </c>
      <c r="G159" s="32">
        <f t="shared" si="137"/>
        <v>305.00990000000002</v>
      </c>
      <c r="H159" s="4"/>
      <c r="I159" s="32">
        <v>-906</v>
      </c>
      <c r="J159" s="32">
        <v>19</v>
      </c>
      <c r="K159" s="31">
        <v>0</v>
      </c>
      <c r="L159" s="31">
        <v>0</v>
      </c>
      <c r="M159" s="32">
        <v>-5</v>
      </c>
      <c r="N159" s="32">
        <v>-700</v>
      </c>
      <c r="O159" s="32"/>
      <c r="P159" s="30">
        <f t="shared" si="129"/>
        <v>0</v>
      </c>
    </row>
    <row r="160" spans="1:38" x14ac:dyDescent="0.25">
      <c r="A160" s="4" t="s">
        <v>70</v>
      </c>
      <c r="B160" s="32">
        <v>-121</v>
      </c>
      <c r="C160" s="32">
        <v>-231</v>
      </c>
      <c r="D160" s="32">
        <v>-68</v>
      </c>
      <c r="E160" s="32">
        <f>D160</f>
        <v>-68</v>
      </c>
      <c r="F160" s="32">
        <f t="shared" ref="F160:G160" si="138">E160</f>
        <v>-68</v>
      </c>
      <c r="G160" s="32">
        <f t="shared" si="138"/>
        <v>-68</v>
      </c>
      <c r="H160" s="4"/>
      <c r="I160" s="32">
        <v>-6</v>
      </c>
      <c r="J160" s="32">
        <v>-18</v>
      </c>
      <c r="K160" s="31">
        <v>-17</v>
      </c>
      <c r="L160" s="31">
        <v>-27</v>
      </c>
      <c r="M160" s="32">
        <v>19</v>
      </c>
      <c r="N160" s="32">
        <v>-47</v>
      </c>
      <c r="O160" s="32"/>
      <c r="P160" s="30">
        <f t="shared" si="129"/>
        <v>0</v>
      </c>
    </row>
    <row r="161" spans="1:38" x14ac:dyDescent="0.25">
      <c r="A161" s="4" t="s">
        <v>71</v>
      </c>
      <c r="B161" s="32">
        <v>402</v>
      </c>
      <c r="C161" s="32">
        <v>0</v>
      </c>
      <c r="D161" s="32">
        <v>0</v>
      </c>
      <c r="E161" s="32">
        <f t="shared" ref="E161:G161" si="139">D161</f>
        <v>0</v>
      </c>
      <c r="F161" s="32">
        <f t="shared" si="139"/>
        <v>0</v>
      </c>
      <c r="G161" s="32">
        <f t="shared" si="139"/>
        <v>0</v>
      </c>
      <c r="H161" s="4"/>
      <c r="I161" s="32">
        <v>5</v>
      </c>
      <c r="J161" s="32">
        <v>-30</v>
      </c>
      <c r="K161" s="31">
        <v>-18</v>
      </c>
      <c r="L161" s="31">
        <v>43</v>
      </c>
      <c r="M161" s="32"/>
      <c r="N161" s="32"/>
      <c r="O161" s="32"/>
      <c r="P161" s="30">
        <f t="shared" si="129"/>
        <v>0</v>
      </c>
    </row>
    <row r="162" spans="1:38" x14ac:dyDescent="0.25">
      <c r="A162" s="4" t="s">
        <v>72</v>
      </c>
      <c r="B162" s="32">
        <v>-25</v>
      </c>
      <c r="C162" s="32">
        <v>-93</v>
      </c>
      <c r="D162" s="32">
        <v>121</v>
      </c>
      <c r="E162" s="32">
        <f t="shared" ref="E162:G162" si="140">D162</f>
        <v>121</v>
      </c>
      <c r="F162" s="32">
        <f t="shared" si="140"/>
        <v>121</v>
      </c>
      <c r="G162" s="32">
        <f t="shared" si="140"/>
        <v>121</v>
      </c>
      <c r="H162" s="4"/>
      <c r="I162" s="32"/>
      <c r="J162" s="32"/>
      <c r="K162" s="32"/>
      <c r="L162" s="32">
        <v>121</v>
      </c>
      <c r="M162" s="32"/>
      <c r="N162" s="32"/>
      <c r="O162" s="32"/>
      <c r="P162" s="30">
        <f t="shared" si="129"/>
        <v>0</v>
      </c>
    </row>
    <row r="163" spans="1:38" s="1" customFormat="1" x14ac:dyDescent="0.25">
      <c r="A163" s="18" t="s">
        <v>73</v>
      </c>
      <c r="B163" s="34">
        <v>-2006</v>
      </c>
      <c r="C163" s="34">
        <v>-1926</v>
      </c>
      <c r="D163" s="34">
        <v>708</v>
      </c>
      <c r="E163" s="34">
        <f>SUM(E156:E162)</f>
        <v>-1874.4970945213543</v>
      </c>
      <c r="F163" s="34">
        <f t="shared" ref="F163:N163" si="141">SUM(F156:F162)</f>
        <v>-2157.8305716728605</v>
      </c>
      <c r="G163" s="34">
        <f t="shared" si="141"/>
        <v>-2163.3112693737221</v>
      </c>
      <c r="H163" s="18"/>
      <c r="I163" s="34">
        <f t="shared" si="141"/>
        <v>790</v>
      </c>
      <c r="J163" s="34">
        <f t="shared" si="141"/>
        <v>-130</v>
      </c>
      <c r="K163" s="34">
        <f t="shared" si="141"/>
        <v>-256</v>
      </c>
      <c r="L163" s="34">
        <f t="shared" si="141"/>
        <v>304</v>
      </c>
      <c r="M163" s="34">
        <f t="shared" si="141"/>
        <v>361</v>
      </c>
      <c r="N163" s="34">
        <f t="shared" si="141"/>
        <v>-880</v>
      </c>
      <c r="O163" s="34"/>
      <c r="P163" s="30">
        <f t="shared" ref="P163" si="142">SUM(I163:L163)-D163</f>
        <v>0</v>
      </c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</row>
    <row r="164" spans="1:38" s="1" customFormat="1" x14ac:dyDescent="0.25">
      <c r="A164" s="18"/>
      <c r="B164" s="34"/>
      <c r="C164" s="34"/>
      <c r="D164" s="34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</row>
    <row r="165" spans="1:38" x14ac:dyDescent="0.25">
      <c r="A165" s="4" t="s">
        <v>74</v>
      </c>
      <c r="B165" s="32">
        <v>-12101</v>
      </c>
      <c r="C165" s="32">
        <v>-16713</v>
      </c>
      <c r="D165" s="32">
        <v>-18316</v>
      </c>
      <c r="E165" s="32">
        <v>-15000</v>
      </c>
      <c r="F165" s="32">
        <v>-11000</v>
      </c>
      <c r="G165" s="32">
        <v>-11000</v>
      </c>
      <c r="H165" s="4"/>
      <c r="I165" s="32">
        <v>-4011</v>
      </c>
      <c r="J165" s="32">
        <v>-4596</v>
      </c>
      <c r="K165" s="31">
        <v>-4782</v>
      </c>
      <c r="L165" s="31">
        <v>-4927</v>
      </c>
      <c r="M165" s="32">
        <v>-3725</v>
      </c>
      <c r="N165" s="32">
        <v>-7900</v>
      </c>
      <c r="O165" s="32"/>
      <c r="P165" s="30">
        <f t="shared" ref="P165:P170" si="143">SUM(I165:L165)-D165</f>
        <v>0</v>
      </c>
    </row>
    <row r="166" spans="1:38" x14ac:dyDescent="0.25">
      <c r="A166" s="4" t="s">
        <v>75</v>
      </c>
      <c r="B166" s="32">
        <v>-2250</v>
      </c>
      <c r="C166" s="32">
        <v>0</v>
      </c>
      <c r="D166" s="32">
        <v>0</v>
      </c>
      <c r="E166" s="32">
        <f>E97-D97</f>
        <v>-4569</v>
      </c>
      <c r="F166" s="32">
        <f>F97-E97+F100-E100</f>
        <v>-1000</v>
      </c>
      <c r="G166" s="32">
        <f>G97-F97+G100-F100</f>
        <v>-1000</v>
      </c>
      <c r="H166" s="4"/>
      <c r="I166" s="32">
        <v>-1170</v>
      </c>
      <c r="J166" s="32">
        <v>-1164</v>
      </c>
      <c r="K166" s="31">
        <v>-1154</v>
      </c>
      <c r="L166" s="31">
        <v>3488</v>
      </c>
      <c r="M166" s="32">
        <v>-4000</v>
      </c>
      <c r="N166" s="32">
        <v>0</v>
      </c>
      <c r="O166" s="32"/>
      <c r="P166" s="30">
        <f t="shared" si="143"/>
        <v>0</v>
      </c>
    </row>
    <row r="167" spans="1:38" x14ac:dyDescent="0.25">
      <c r="A167" s="4" t="s">
        <v>76</v>
      </c>
      <c r="B167" s="32">
        <v>-3751</v>
      </c>
      <c r="C167" s="32">
        <v>-4217</v>
      </c>
      <c r="D167" s="32">
        <v>-4634</v>
      </c>
      <c r="E167" s="32">
        <f>-E35*E33</f>
        <v>-4810.3125</v>
      </c>
      <c r="F167" s="32">
        <f>-F35*F33</f>
        <v>-4736.875</v>
      </c>
      <c r="G167" s="32">
        <f>-G35*G33</f>
        <v>-4663.4375</v>
      </c>
      <c r="H167" s="4"/>
      <c r="I167" s="32">
        <v>127</v>
      </c>
      <c r="J167" s="32">
        <v>119</v>
      </c>
      <c r="K167" s="31">
        <v>3678</v>
      </c>
      <c r="L167" s="31">
        <v>-8558</v>
      </c>
      <c r="M167" s="32">
        <v>-1293</v>
      </c>
      <c r="N167" s="32">
        <v>-1286</v>
      </c>
      <c r="O167" s="32"/>
      <c r="P167" s="30">
        <f t="shared" si="143"/>
        <v>0</v>
      </c>
    </row>
    <row r="168" spans="1:38" x14ac:dyDescent="0.25">
      <c r="A168" s="4" t="s">
        <v>77</v>
      </c>
      <c r="B168" s="32">
        <v>0</v>
      </c>
      <c r="C168" s="32">
        <v>0</v>
      </c>
      <c r="D168" s="32">
        <v>3924</v>
      </c>
      <c r="E168" s="32">
        <f>E100-D100</f>
        <v>4398</v>
      </c>
      <c r="F168" s="32">
        <v>0</v>
      </c>
      <c r="G168" s="32">
        <v>0</v>
      </c>
      <c r="H168" s="4"/>
      <c r="I168" s="32">
        <v>-235</v>
      </c>
      <c r="J168" s="32">
        <v>-7</v>
      </c>
      <c r="K168" s="31">
        <v>583</v>
      </c>
      <c r="L168" s="31">
        <v>3583</v>
      </c>
      <c r="M168" s="32">
        <v>78</v>
      </c>
      <c r="N168" s="32">
        <v>2917</v>
      </c>
      <c r="O168" s="32"/>
      <c r="P168" s="30">
        <f t="shared" si="143"/>
        <v>0</v>
      </c>
    </row>
    <row r="169" spans="1:38" x14ac:dyDescent="0.25">
      <c r="A169" s="4" t="s">
        <v>78</v>
      </c>
      <c r="B169" s="32">
        <v>260</v>
      </c>
      <c r="C169" s="32">
        <v>335</v>
      </c>
      <c r="D169" s="32">
        <v>396</v>
      </c>
      <c r="E169" s="32">
        <f>D169</f>
        <v>396</v>
      </c>
      <c r="F169" s="32">
        <f t="shared" ref="F169:G169" si="144">E169</f>
        <v>396</v>
      </c>
      <c r="G169" s="32">
        <f t="shared" si="144"/>
        <v>396</v>
      </c>
      <c r="H169" s="4"/>
      <c r="I169" s="32">
        <v>-186</v>
      </c>
      <c r="J169" s="32">
        <v>-12</v>
      </c>
      <c r="K169" s="31">
        <v>-56</v>
      </c>
      <c r="L169" s="31">
        <v>650</v>
      </c>
      <c r="M169" s="32">
        <v>-231</v>
      </c>
      <c r="N169" s="32">
        <v>364</v>
      </c>
      <c r="O169" s="32"/>
      <c r="P169" s="30">
        <f t="shared" si="143"/>
        <v>0</v>
      </c>
    </row>
    <row r="170" spans="1:38" x14ac:dyDescent="0.25">
      <c r="A170" s="4" t="s">
        <v>79</v>
      </c>
      <c r="B170" s="32">
        <v>130</v>
      </c>
      <c r="C170" s="32">
        <v>208</v>
      </c>
      <c r="D170" s="32">
        <v>-281</v>
      </c>
      <c r="E170" s="32">
        <v>0</v>
      </c>
      <c r="F170" s="32">
        <v>0</v>
      </c>
      <c r="G170" s="32">
        <v>0</v>
      </c>
      <c r="H170" s="4"/>
      <c r="I170" s="32"/>
      <c r="J170" s="32"/>
      <c r="K170" s="32"/>
      <c r="L170" s="32">
        <v>-281</v>
      </c>
      <c r="M170" s="32">
        <v>185</v>
      </c>
      <c r="N170" s="32">
        <v>-453</v>
      </c>
      <c r="O170" s="32"/>
      <c r="P170" s="30">
        <f t="shared" si="143"/>
        <v>0</v>
      </c>
    </row>
    <row r="171" spans="1:38" x14ac:dyDescent="0.25">
      <c r="A171" s="4" t="s">
        <v>80</v>
      </c>
      <c r="B171" s="32">
        <v>200</v>
      </c>
      <c r="C171" s="32">
        <v>170</v>
      </c>
      <c r="D171" s="32">
        <v>-52</v>
      </c>
      <c r="E171" s="32">
        <v>-500</v>
      </c>
      <c r="F171" s="32">
        <v>-500</v>
      </c>
      <c r="G171" s="32">
        <v>-500</v>
      </c>
      <c r="H171" s="4"/>
      <c r="I171" s="32"/>
      <c r="J171" s="32"/>
      <c r="K171" s="32"/>
      <c r="L171" s="32">
        <v>-52</v>
      </c>
      <c r="M171" s="32"/>
      <c r="N171" s="32"/>
      <c r="O171" s="32"/>
    </row>
    <row r="172" spans="1:38" s="1" customFormat="1" x14ac:dyDescent="0.25">
      <c r="A172" s="18" t="s">
        <v>81</v>
      </c>
      <c r="B172" s="34">
        <v>-17772</v>
      </c>
      <c r="C172" s="34">
        <v>-20633</v>
      </c>
      <c r="D172" s="34">
        <v>-18963</v>
      </c>
      <c r="E172" s="34">
        <f>SUM(E165:E171)</f>
        <v>-20085.3125</v>
      </c>
      <c r="F172" s="34">
        <f t="shared" ref="F172:N172" si="145">SUM(F165:F171)</f>
        <v>-16840.875</v>
      </c>
      <c r="G172" s="34">
        <f t="shared" si="145"/>
        <v>-16767.4375</v>
      </c>
      <c r="H172" s="34"/>
      <c r="I172" s="34">
        <f t="shared" si="145"/>
        <v>-5475</v>
      </c>
      <c r="J172" s="34">
        <f t="shared" si="145"/>
        <v>-5660</v>
      </c>
      <c r="K172" s="34">
        <f t="shared" si="145"/>
        <v>-1731</v>
      </c>
      <c r="L172" s="34">
        <f t="shared" si="145"/>
        <v>-6097</v>
      </c>
      <c r="M172" s="34">
        <f t="shared" si="145"/>
        <v>-8986</v>
      </c>
      <c r="N172" s="34">
        <f t="shared" si="145"/>
        <v>-6358</v>
      </c>
      <c r="O172" s="34"/>
      <c r="P172" s="30">
        <f t="shared" ref="P172" si="146">SUM(I172:L172)-D172</f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</row>
    <row r="173" spans="1:38" x14ac:dyDescent="0.25">
      <c r="A173" s="4"/>
      <c r="B173" s="32"/>
      <c r="C173" s="32"/>
      <c r="D173" s="32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38" x14ac:dyDescent="0.25">
      <c r="A174" s="4" t="s">
        <v>82</v>
      </c>
      <c r="B174" s="32">
        <v>636</v>
      </c>
      <c r="C174" s="32">
        <v>382</v>
      </c>
      <c r="D174" s="32">
        <v>420</v>
      </c>
      <c r="E174" s="32">
        <f>D174</f>
        <v>420</v>
      </c>
      <c r="F174" s="32">
        <f t="shared" ref="F174:G174" si="147">E174</f>
        <v>420</v>
      </c>
      <c r="G174" s="32">
        <f t="shared" si="147"/>
        <v>420</v>
      </c>
      <c r="H174" s="4"/>
      <c r="I174" s="32">
        <v>-508</v>
      </c>
      <c r="J174" s="32">
        <v>265</v>
      </c>
      <c r="K174" s="31">
        <v>659</v>
      </c>
      <c r="L174" s="31">
        <v>4</v>
      </c>
      <c r="M174" s="32">
        <v>34</v>
      </c>
      <c r="N174" s="32">
        <v>-190</v>
      </c>
      <c r="O174" s="32"/>
      <c r="P174" s="30">
        <f t="shared" ref="P174:P175" si="148">SUM(I174:L174)-D174</f>
        <v>0</v>
      </c>
    </row>
    <row r="175" spans="1:38" x14ac:dyDescent="0.25">
      <c r="A175" s="4" t="s">
        <v>83</v>
      </c>
      <c r="B175" s="32">
        <v>1613</v>
      </c>
      <c r="C175" s="32">
        <v>-2227</v>
      </c>
      <c r="D175" s="32">
        <v>5224</v>
      </c>
      <c r="E175" s="32">
        <f>E172+E163+E154</f>
        <v>1083.3760510851353</v>
      </c>
      <c r="F175" s="32">
        <f t="shared" ref="F175" si="149">F172+F163+F154</f>
        <v>2709.3842780377854</v>
      </c>
      <c r="G175" s="32">
        <f>G172+G163+G154</f>
        <v>3386.3151279952726</v>
      </c>
      <c r="H175" s="4"/>
      <c r="I175" s="32">
        <v>203</v>
      </c>
      <c r="J175" s="32">
        <v>-830</v>
      </c>
      <c r="K175" s="31">
        <v>5305</v>
      </c>
      <c r="L175" s="31">
        <v>546</v>
      </c>
      <c r="M175" s="32">
        <v>-1811</v>
      </c>
      <c r="N175" s="32">
        <v>-4470</v>
      </c>
      <c r="O175" s="32"/>
      <c r="P175" s="30">
        <f t="shared" si="148"/>
        <v>0</v>
      </c>
    </row>
    <row r="176" spans="1:38" x14ac:dyDescent="0.25">
      <c r="A176" s="4" t="s">
        <v>84</v>
      </c>
      <c r="B176" s="32">
        <v>20377</v>
      </c>
      <c r="C176" s="32">
        <v>21990</v>
      </c>
      <c r="D176" s="32">
        <v>19763</v>
      </c>
      <c r="E176" s="32">
        <f>D177</f>
        <v>24987</v>
      </c>
      <c r="F176" s="32">
        <f t="shared" ref="F176:G176" si="150">E177</f>
        <v>26070.376051085135</v>
      </c>
      <c r="G176" s="32">
        <f t="shared" si="150"/>
        <v>28779.760329122921</v>
      </c>
      <c r="H176" s="4"/>
      <c r="I176" s="32">
        <v>19763</v>
      </c>
      <c r="J176" s="32">
        <f>I177</f>
        <v>19966</v>
      </c>
      <c r="K176" s="31">
        <f>J177</f>
        <v>19136</v>
      </c>
      <c r="L176" s="31">
        <f>K177</f>
        <v>24441</v>
      </c>
      <c r="M176" s="32">
        <v>24987</v>
      </c>
      <c r="N176" s="32">
        <f>M177</f>
        <v>23176</v>
      </c>
      <c r="O176" s="32"/>
      <c r="P176" s="30"/>
    </row>
    <row r="177" spans="1:38" s="1" customFormat="1" x14ac:dyDescent="0.25">
      <c r="A177" s="18" t="s">
        <v>85</v>
      </c>
      <c r="B177" s="34">
        <v>21990</v>
      </c>
      <c r="C177" s="34">
        <v>19763</v>
      </c>
      <c r="D177" s="34">
        <v>24987</v>
      </c>
      <c r="E177" s="34">
        <f>E176+E175</f>
        <v>26070.376051085135</v>
      </c>
      <c r="F177" s="34">
        <f t="shared" ref="F177:N177" si="151">F176+F175</f>
        <v>28779.760329122921</v>
      </c>
      <c r="G177" s="34">
        <f t="shared" si="151"/>
        <v>32166.075457118193</v>
      </c>
      <c r="H177" s="18"/>
      <c r="I177" s="34">
        <f t="shared" si="151"/>
        <v>19966</v>
      </c>
      <c r="J177" s="34">
        <f t="shared" si="151"/>
        <v>19136</v>
      </c>
      <c r="K177" s="34">
        <f t="shared" si="151"/>
        <v>24441</v>
      </c>
      <c r="L177" s="34">
        <f t="shared" si="151"/>
        <v>24987</v>
      </c>
      <c r="M177" s="34">
        <f t="shared" si="151"/>
        <v>23176</v>
      </c>
      <c r="N177" s="34">
        <f t="shared" si="151"/>
        <v>18706</v>
      </c>
      <c r="O177" s="34"/>
      <c r="P177" s="30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</row>
    <row r="178" spans="1:38" x14ac:dyDescent="0.25">
      <c r="A178" s="4" t="s">
        <v>86</v>
      </c>
      <c r="B178" s="32">
        <v>3433</v>
      </c>
      <c r="C178" s="32">
        <v>5775</v>
      </c>
      <c r="D178" s="32">
        <v>4541</v>
      </c>
      <c r="E178" s="32">
        <f>E23</f>
        <v>4607.930580000002</v>
      </c>
      <c r="F178" s="32">
        <f>F23</f>
        <v>5105.2250460500027</v>
      </c>
      <c r="G178" s="32">
        <f>G23</f>
        <v>5730.7832345500037</v>
      </c>
      <c r="H178" s="4"/>
      <c r="I178" s="32">
        <v>1194</v>
      </c>
      <c r="J178" s="32">
        <v>1861</v>
      </c>
      <c r="K178" s="31">
        <v>532</v>
      </c>
      <c r="L178" s="31">
        <v>954</v>
      </c>
      <c r="M178" s="32">
        <v>1290</v>
      </c>
      <c r="N178" s="32">
        <v>2694</v>
      </c>
      <c r="O178" s="32"/>
      <c r="P178" s="30">
        <f t="shared" ref="P178:P180" si="152">SUM(I178:L178)-D178</f>
        <v>0</v>
      </c>
    </row>
    <row r="179" spans="1:38" x14ac:dyDescent="0.25">
      <c r="A179" s="4" t="s">
        <v>87</v>
      </c>
      <c r="B179" s="32">
        <v>617</v>
      </c>
      <c r="C179" s="32">
        <v>583</v>
      </c>
      <c r="D179" s="32">
        <v>587</v>
      </c>
      <c r="E179" s="32">
        <f>-E16</f>
        <v>575</v>
      </c>
      <c r="F179" s="32">
        <f>-F16</f>
        <v>552</v>
      </c>
      <c r="G179" s="32">
        <f>-G16</f>
        <v>529</v>
      </c>
      <c r="H179" s="4"/>
      <c r="I179" s="32">
        <v>213</v>
      </c>
      <c r="J179" s="32">
        <v>48</v>
      </c>
      <c r="K179" s="31">
        <v>278</v>
      </c>
      <c r="L179" s="31">
        <v>48</v>
      </c>
      <c r="M179" s="32">
        <v>213</v>
      </c>
      <c r="N179" s="32">
        <v>48</v>
      </c>
      <c r="O179" s="32"/>
      <c r="P179" s="30">
        <f t="shared" si="152"/>
        <v>0</v>
      </c>
    </row>
    <row r="180" spans="1:38" x14ac:dyDescent="0.25">
      <c r="A180" s="4" t="s">
        <v>88</v>
      </c>
      <c r="B180" s="32">
        <v>96</v>
      </c>
      <c r="C180" s="32">
        <v>52</v>
      </c>
      <c r="D180" s="32">
        <v>59</v>
      </c>
      <c r="E180" s="32">
        <f>D180</f>
        <v>59</v>
      </c>
      <c r="F180" s="32">
        <f t="shared" ref="F180:G180" si="153">E180</f>
        <v>59</v>
      </c>
      <c r="G180" s="32">
        <f t="shared" si="153"/>
        <v>59</v>
      </c>
      <c r="H180" s="4"/>
      <c r="I180" s="32">
        <v>40</v>
      </c>
      <c r="J180" s="32">
        <v>20</v>
      </c>
      <c r="K180" s="31">
        <v>-9</v>
      </c>
      <c r="L180" s="31">
        <v>8</v>
      </c>
      <c r="M180" s="32">
        <v>26</v>
      </c>
      <c r="N180" s="32">
        <v>99</v>
      </c>
      <c r="O180" s="32"/>
      <c r="P180" s="30">
        <f t="shared" si="152"/>
        <v>0</v>
      </c>
    </row>
    <row r="181" spans="1:38" s="1" customFormat="1" x14ac:dyDescent="0.25">
      <c r="A181" s="18"/>
      <c r="B181" s="34"/>
      <c r="C181" s="34"/>
      <c r="D181" s="34"/>
      <c r="E181" s="34"/>
      <c r="F181" s="34"/>
      <c r="G181" s="34"/>
      <c r="H181" s="18"/>
      <c r="I181" s="34"/>
      <c r="J181" s="34"/>
      <c r="K181" s="34"/>
      <c r="L181" s="34"/>
      <c r="M181" s="34"/>
      <c r="N181" s="34"/>
      <c r="O181" s="34"/>
      <c r="P181" s="30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1:38" s="1" customFormat="1" x14ac:dyDescent="0.25">
      <c r="A182" s="18" t="s">
        <v>27</v>
      </c>
      <c r="B182" s="34">
        <f t="shared" ref="B182:D182" si="154">B187-B183</f>
        <v>16286</v>
      </c>
      <c r="C182" s="34">
        <f t="shared" si="154"/>
        <v>11975</v>
      </c>
      <c r="D182" s="34">
        <f t="shared" si="154"/>
        <v>17164</v>
      </c>
      <c r="E182" s="34">
        <f>E187-E183</f>
        <v>18692.533333333333</v>
      </c>
      <c r="F182" s="34">
        <f t="shared" ref="F182:G182" si="155">F187-F183</f>
        <v>19593.64333333333</v>
      </c>
      <c r="G182" s="34">
        <f t="shared" si="155"/>
        <v>19782.876433333331</v>
      </c>
      <c r="H182" s="18"/>
      <c r="I182" s="34">
        <f t="shared" ref="I182" si="156">I187-I183</f>
        <v>12367</v>
      </c>
      <c r="J182" s="34">
        <f t="shared" ref="J182" si="157">J187-J183</f>
        <v>11734</v>
      </c>
      <c r="K182" s="34">
        <f t="shared" ref="K182" si="158">K187-K183</f>
        <v>17092</v>
      </c>
      <c r="L182" s="34">
        <f t="shared" ref="L182" si="159">L187-L183</f>
        <v>17164</v>
      </c>
      <c r="M182" s="34">
        <f t="shared" ref="M182" si="160">M187-M183</f>
        <v>14756</v>
      </c>
      <c r="N182" s="34">
        <f t="shared" ref="N182" si="161">N187-N183</f>
        <v>12404</v>
      </c>
      <c r="O182" s="34"/>
      <c r="P182" s="30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x14ac:dyDescent="0.25">
      <c r="A183" s="18" t="s">
        <v>439</v>
      </c>
      <c r="B183" s="34">
        <f t="shared" ref="B183:C183" si="162">B184+B185+B186</f>
        <v>5704</v>
      </c>
      <c r="C183" s="34">
        <f t="shared" si="162"/>
        <v>7788</v>
      </c>
      <c r="D183" s="34">
        <f>D184+D185+D186</f>
        <v>7823</v>
      </c>
      <c r="E183" s="34">
        <f t="shared" ref="E183:G183" si="163">E184+E185+E186</f>
        <v>7377.8427177518024</v>
      </c>
      <c r="F183" s="34">
        <f t="shared" si="163"/>
        <v>9186.1169957895909</v>
      </c>
      <c r="G183" s="34">
        <f t="shared" si="163"/>
        <v>12383.199023784862</v>
      </c>
      <c r="H183" s="4"/>
      <c r="I183" s="34">
        <f t="shared" ref="I183" si="164">I184+I185+I186</f>
        <v>7599</v>
      </c>
      <c r="J183" s="34">
        <f t="shared" ref="J183" si="165">J184+J185+J186</f>
        <v>7402</v>
      </c>
      <c r="K183" s="34">
        <f t="shared" ref="K183" si="166">K184+K185+K186</f>
        <v>7349</v>
      </c>
      <c r="L183" s="34">
        <f t="shared" ref="L183" si="167">L184+L185+L186</f>
        <v>7823</v>
      </c>
      <c r="M183" s="34">
        <f t="shared" ref="M183" si="168">M184+M185+M186</f>
        <v>8420</v>
      </c>
      <c r="N183" s="34">
        <f t="shared" ref="N183" si="169">N184+N185+N186</f>
        <v>6302</v>
      </c>
      <c r="O183" s="32"/>
    </row>
    <row r="184" spans="1:38" x14ac:dyDescent="0.25">
      <c r="A184" s="46" t="s">
        <v>440</v>
      </c>
      <c r="B184" s="4">
        <v>1764</v>
      </c>
      <c r="C184" s="4">
        <v>3089</v>
      </c>
      <c r="D184" s="4">
        <v>2990</v>
      </c>
      <c r="E184" s="31">
        <f>E74</f>
        <v>3019.9</v>
      </c>
      <c r="F184" s="31">
        <f t="shared" ref="F184:N184" si="170">F74</f>
        <v>3050.0990000000002</v>
      </c>
      <c r="G184" s="31">
        <f t="shared" si="170"/>
        <v>2745.0891000000001</v>
      </c>
      <c r="H184" s="4"/>
      <c r="I184" s="31">
        <f t="shared" si="170"/>
        <v>3112</v>
      </c>
      <c r="J184" s="31">
        <f t="shared" si="170"/>
        <v>2926</v>
      </c>
      <c r="K184" s="31">
        <f t="shared" si="170"/>
        <v>2696</v>
      </c>
      <c r="L184" s="31">
        <f t="shared" si="170"/>
        <v>2990</v>
      </c>
      <c r="M184" s="31">
        <f t="shared" si="170"/>
        <v>3300</v>
      </c>
      <c r="N184" s="31">
        <f t="shared" si="170"/>
        <v>665</v>
      </c>
    </row>
    <row r="185" spans="1:38" x14ac:dyDescent="0.25">
      <c r="A185" s="46" t="s">
        <v>32</v>
      </c>
      <c r="B185" s="4">
        <v>3005</v>
      </c>
      <c r="C185" s="4">
        <v>3524</v>
      </c>
      <c r="D185" s="4">
        <v>3625</v>
      </c>
      <c r="E185" s="31">
        <f>E93</f>
        <v>3986.90157</v>
      </c>
      <c r="F185" s="31">
        <f t="shared" ref="F185:G185" si="171">F93</f>
        <v>4364.8266726000011</v>
      </c>
      <c r="G185" s="31">
        <f t="shared" si="171"/>
        <v>4778.4843909510009</v>
      </c>
      <c r="H185" s="4"/>
      <c r="I185" s="31">
        <f t="shared" ref="I185:N185" si="172">I93</f>
        <v>3518</v>
      </c>
      <c r="J185" s="31">
        <f t="shared" si="172"/>
        <v>3543</v>
      </c>
      <c r="K185" s="31">
        <f t="shared" si="172"/>
        <v>3614</v>
      </c>
      <c r="L185" s="31">
        <f t="shared" si="172"/>
        <v>3625</v>
      </c>
      <c r="M185" s="31">
        <f t="shared" si="172"/>
        <v>3712</v>
      </c>
      <c r="N185" s="31">
        <f t="shared" si="172"/>
        <v>4292</v>
      </c>
    </row>
    <row r="186" spans="1:38" x14ac:dyDescent="0.25">
      <c r="A186" s="46" t="s">
        <v>34</v>
      </c>
      <c r="B186" s="4">
        <v>935</v>
      </c>
      <c r="C186" s="4">
        <v>1175</v>
      </c>
      <c r="D186" s="4">
        <v>1208</v>
      </c>
      <c r="E186" s="21">
        <v>371.04114775180301</v>
      </c>
      <c r="F186" s="21">
        <v>1771.1913231895901</v>
      </c>
      <c r="G186" s="21">
        <v>4859.6255328338602</v>
      </c>
      <c r="H186" s="4"/>
      <c r="I186" s="4">
        <v>969</v>
      </c>
      <c r="J186" s="4">
        <v>933</v>
      </c>
      <c r="K186" s="4">
        <v>1039</v>
      </c>
      <c r="L186" s="4">
        <v>1208</v>
      </c>
      <c r="M186" s="4">
        <v>1408</v>
      </c>
      <c r="N186" s="4">
        <v>1345</v>
      </c>
    </row>
    <row r="187" spans="1:38" x14ac:dyDescent="0.25">
      <c r="A187" s="18" t="s">
        <v>85</v>
      </c>
      <c r="B187" s="33">
        <f t="shared" ref="B187:D187" si="173">B177</f>
        <v>21990</v>
      </c>
      <c r="C187" s="33">
        <f t="shared" si="173"/>
        <v>19763</v>
      </c>
      <c r="D187" s="33">
        <f t="shared" si="173"/>
        <v>24987</v>
      </c>
      <c r="E187" s="33">
        <f>E177</f>
        <v>26070.376051085135</v>
      </c>
      <c r="F187" s="33">
        <f t="shared" ref="F187:N187" si="174">F177</f>
        <v>28779.760329122921</v>
      </c>
      <c r="G187" s="33">
        <f t="shared" si="174"/>
        <v>32166.075457118193</v>
      </c>
      <c r="H187" s="4"/>
      <c r="I187" s="33">
        <f t="shared" si="174"/>
        <v>19966</v>
      </c>
      <c r="J187" s="33">
        <f t="shared" si="174"/>
        <v>19136</v>
      </c>
      <c r="K187" s="33">
        <f t="shared" si="174"/>
        <v>24441</v>
      </c>
      <c r="L187" s="33">
        <f t="shared" si="174"/>
        <v>24987</v>
      </c>
      <c r="M187" s="33">
        <f t="shared" si="174"/>
        <v>23176</v>
      </c>
      <c r="N187" s="33">
        <f t="shared" si="174"/>
        <v>18706</v>
      </c>
    </row>
    <row r="188" spans="1:38" s="1" customFormat="1" x14ac:dyDescent="0.25">
      <c r="A188" s="54" t="s">
        <v>416</v>
      </c>
      <c r="B188" s="30">
        <f>B187-B177</f>
        <v>0</v>
      </c>
      <c r="C188" s="30">
        <f t="shared" ref="C188:G188" si="175">C187-C177</f>
        <v>0</v>
      </c>
      <c r="D188" s="30">
        <f t="shared" si="175"/>
        <v>0</v>
      </c>
      <c r="E188" s="30">
        <f t="shared" si="175"/>
        <v>0</v>
      </c>
      <c r="F188" s="30">
        <f t="shared" si="175"/>
        <v>0</v>
      </c>
      <c r="G188" s="30">
        <f t="shared" si="175"/>
        <v>0</v>
      </c>
      <c r="H188" s="18"/>
      <c r="I188" s="30">
        <f t="shared" ref="I188" si="176">I187-I177</f>
        <v>0</v>
      </c>
      <c r="J188" s="30">
        <f t="shared" ref="J188" si="177">J187-J177</f>
        <v>0</v>
      </c>
      <c r="K188" s="30">
        <f t="shared" ref="K188" si="178">K187-K177</f>
        <v>0</v>
      </c>
      <c r="L188" s="30">
        <f t="shared" ref="L188" si="179">L187-L177</f>
        <v>0</v>
      </c>
      <c r="M188" s="30">
        <f t="shared" ref="M188" si="180">M187-M177</f>
        <v>0</v>
      </c>
      <c r="N188" s="30">
        <f t="shared" ref="N188" si="181">N187-N177</f>
        <v>0</v>
      </c>
      <c r="O188" s="33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38" s="1" customFormat="1" x14ac:dyDescent="0.25">
      <c r="A190" s="18" t="s">
        <v>301</v>
      </c>
      <c r="B190" s="33">
        <f t="shared" ref="B190:G190" si="182">B154+B156</f>
        <v>19696</v>
      </c>
      <c r="C190" s="33">
        <f t="shared" si="182"/>
        <v>18693</v>
      </c>
      <c r="D190" s="33">
        <f t="shared" si="182"/>
        <v>21577</v>
      </c>
      <c r="E190" s="33">
        <f t="shared" si="182"/>
        <v>21328.888551085136</v>
      </c>
      <c r="F190" s="33">
        <f t="shared" si="182"/>
        <v>19729.088278037787</v>
      </c>
      <c r="G190" s="33">
        <f t="shared" si="182"/>
        <v>20017.53572799527</v>
      </c>
      <c r="H190" s="18"/>
      <c r="I190" s="33">
        <f t="shared" ref="I190:N190" si="183">I154+I156</f>
        <v>5051</v>
      </c>
      <c r="J190" s="33">
        <f t="shared" si="183"/>
        <v>4368</v>
      </c>
      <c r="K190" s="33">
        <f t="shared" si="183"/>
        <v>6309</v>
      </c>
      <c r="L190" s="33">
        <f t="shared" si="183"/>
        <v>5849</v>
      </c>
      <c r="M190" s="33">
        <f t="shared" si="183"/>
        <v>6402</v>
      </c>
      <c r="N190" s="33">
        <f t="shared" si="183"/>
        <v>2625</v>
      </c>
      <c r="O190" s="33"/>
      <c r="P190" s="30">
        <f t="shared" ref="P190" si="184">SUM(I190:L190)-D190</f>
        <v>0</v>
      </c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</row>
    <row r="191" spans="1:38" s="1" customFormat="1" x14ac:dyDescent="0.25">
      <c r="A191" s="54" t="s">
        <v>416</v>
      </c>
      <c r="B191" s="30">
        <f t="shared" ref="B191:G191" si="185">B138-B25</f>
        <v>0</v>
      </c>
      <c r="C191" s="30">
        <f t="shared" si="185"/>
        <v>0</v>
      </c>
      <c r="D191" s="30">
        <f t="shared" si="185"/>
        <v>0</v>
      </c>
      <c r="E191" s="30">
        <f t="shared" si="185"/>
        <v>0</v>
      </c>
      <c r="F191" s="30">
        <f t="shared" si="185"/>
        <v>0</v>
      </c>
      <c r="G191" s="30">
        <f t="shared" si="185"/>
        <v>0</v>
      </c>
      <c r="H191" s="18"/>
      <c r="I191" s="30">
        <f t="shared" ref="I191:N191" si="186">I138-I25</f>
        <v>0</v>
      </c>
      <c r="J191" s="30">
        <f t="shared" si="186"/>
        <v>0</v>
      </c>
      <c r="K191" s="30">
        <f t="shared" si="186"/>
        <v>0</v>
      </c>
      <c r="L191" s="30">
        <f t="shared" si="186"/>
        <v>0</v>
      </c>
      <c r="M191" s="30">
        <f t="shared" si="186"/>
        <v>0</v>
      </c>
      <c r="N191" s="30">
        <f t="shared" si="186"/>
        <v>0</v>
      </c>
      <c r="O191" s="33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</row>
    <row r="192" spans="1:38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18" t="s">
        <v>307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4" t="s">
        <v>308</v>
      </c>
      <c r="B194" s="32">
        <v>12362</v>
      </c>
      <c r="C194" s="32">
        <v>16658</v>
      </c>
      <c r="D194" s="32">
        <v>18185</v>
      </c>
      <c r="E194" s="32">
        <f>-E165</f>
        <v>15000</v>
      </c>
      <c r="F194" s="32">
        <f t="shared" ref="F194:G194" si="187">-F165</f>
        <v>11000</v>
      </c>
      <c r="G194" s="32">
        <f t="shared" si="187"/>
        <v>11000</v>
      </c>
      <c r="H194" s="4"/>
      <c r="I194" s="4"/>
      <c r="J194" s="4"/>
      <c r="K194" s="4"/>
      <c r="L194" s="4"/>
      <c r="M194" s="4"/>
      <c r="N194" s="4"/>
    </row>
    <row r="195" spans="1:14" x14ac:dyDescent="0.25">
      <c r="A195" s="4" t="s">
        <v>309</v>
      </c>
      <c r="B195" s="32">
        <v>3751</v>
      </c>
      <c r="C195" s="32">
        <v>4217</v>
      </c>
      <c r="D195" s="32">
        <v>4634</v>
      </c>
      <c r="E195" s="32">
        <f>-E167</f>
        <v>4810.3125</v>
      </c>
      <c r="F195" s="32">
        <f t="shared" ref="F195:G195" si="188">-F167</f>
        <v>4736.875</v>
      </c>
      <c r="G195" s="32">
        <f t="shared" si="188"/>
        <v>4663.4375</v>
      </c>
      <c r="H195" s="4"/>
      <c r="I195" s="4"/>
      <c r="J195" s="4"/>
      <c r="K195" s="4"/>
      <c r="L195" s="4"/>
      <c r="M195" s="4"/>
      <c r="N195" s="4"/>
    </row>
    <row r="196" spans="1:14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</sheetData>
  <sheetProtection algorithmName="SHA-512" hashValue="4wT1AorhHUQUqzM6o4ESxIB3hPICTs6BKUbMMNOVrsVgsfwW7dZjGv4FK79482/v7PI1ZlgyonbZKHPBJY4nHQ==" saltValue="RAe8+uRbCN4mw1/Eixs5xw==" spinCount="100000" sheet="1" objects="1" scenarios="1" selectLockedCells="1" selectUnlockedCells="1"/>
  <mergeCells count="2">
    <mergeCell ref="B1:G1"/>
    <mergeCell ref="I1:N1"/>
  </mergeCells>
  <phoneticPr fontId="12" type="noConversion"/>
  <hyperlinks>
    <hyperlink ref="P1" location="Snapshot!A1" display="Home" xr:uid="{E42D0069-835D-486C-8750-F3149DD17A4C}"/>
  </hyperlinks>
  <pageMargins left="0.7" right="0.7" top="0.75" bottom="0.75" header="0.3" footer="0.3"/>
  <ignoredErrors>
    <ignoredError sqref="P3 P5" formulaRange="1"/>
  </ignoredError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102A-C391-483A-BD44-8C0BCF553521}">
  <dimension ref="A1:N94"/>
  <sheetViews>
    <sheetView workbookViewId="0">
      <selection activeCell="N18" sqref="N18"/>
    </sheetView>
  </sheetViews>
  <sheetFormatPr defaultColWidth="12.44140625" defaultRowHeight="13.8" x14ac:dyDescent="0.25"/>
  <cols>
    <col min="1" max="1" width="6.44140625" style="4" customWidth="1"/>
    <col min="2" max="2" width="21.33203125" style="4" customWidth="1"/>
    <col min="3" max="3" width="17.21875" style="4" bestFit="1" customWidth="1"/>
    <col min="4" max="5" width="13.77734375" style="4" customWidth="1"/>
    <col min="6" max="6" width="16.33203125" style="4" customWidth="1"/>
    <col min="7" max="12" width="13.77734375" style="4" customWidth="1"/>
    <col min="13" max="16384" width="12.44140625" style="4"/>
  </cols>
  <sheetData>
    <row r="1" spans="1:14" ht="14.4" x14ac:dyDescent="0.25">
      <c r="A1" s="18" t="s">
        <v>311</v>
      </c>
      <c r="B1" s="4" t="s">
        <v>460</v>
      </c>
      <c r="E1" s="4">
        <v>0</v>
      </c>
      <c r="F1" s="4">
        <v>0.5</v>
      </c>
      <c r="G1" s="4">
        <f>F1+1</f>
        <v>1.5</v>
      </c>
      <c r="H1" s="4">
        <f t="shared" ref="H1:L1" si="0">G1+1</f>
        <v>2.5</v>
      </c>
      <c r="I1" s="4">
        <f t="shared" si="0"/>
        <v>3.5</v>
      </c>
      <c r="J1" s="4">
        <f t="shared" si="0"/>
        <v>4.5</v>
      </c>
      <c r="K1" s="4">
        <f t="shared" si="0"/>
        <v>5.5</v>
      </c>
      <c r="L1" s="4">
        <f t="shared" si="0"/>
        <v>6.5</v>
      </c>
      <c r="N1" s="82" t="s">
        <v>438</v>
      </c>
    </row>
    <row r="2" spans="1:14" x14ac:dyDescent="0.25">
      <c r="B2" s="75"/>
      <c r="C2" s="13" t="s">
        <v>0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294</v>
      </c>
      <c r="I2" s="13" t="s">
        <v>318</v>
      </c>
      <c r="J2" s="13" t="s">
        <v>319</v>
      </c>
      <c r="K2" s="13" t="s">
        <v>320</v>
      </c>
      <c r="L2" s="13" t="s">
        <v>321</v>
      </c>
    </row>
    <row r="3" spans="1:14" x14ac:dyDescent="0.25">
      <c r="B3" s="4" t="s">
        <v>322</v>
      </c>
      <c r="C3" s="14">
        <f>'VISA Model'!B3</f>
        <v>32653</v>
      </c>
      <c r="D3" s="14">
        <f>'VISA Model'!C3</f>
        <v>35926</v>
      </c>
      <c r="E3" s="14">
        <f>'VISA Model'!D3</f>
        <v>40000</v>
      </c>
      <c r="F3" s="14">
        <f>'VISA Model'!E3</f>
        <v>44400.000000000007</v>
      </c>
      <c r="G3" s="14">
        <f>'VISA Model'!F3</f>
        <v>48840.000000000015</v>
      </c>
      <c r="H3" s="14">
        <f>'VISA Model'!G3</f>
        <v>54212.400000000023</v>
      </c>
      <c r="I3" s="14">
        <f>H3*(1+I4)</f>
        <v>59159.281500000026</v>
      </c>
      <c r="J3" s="14">
        <f t="shared" ref="J3:L3" si="1">I3*(1+J4)</f>
        <v>63448.329408750025</v>
      </c>
      <c r="K3" s="14">
        <f t="shared" si="1"/>
        <v>66858.677114470338</v>
      </c>
      <c r="L3" s="14">
        <f t="shared" si="1"/>
        <v>69198.730813476795</v>
      </c>
      <c r="M3" s="22"/>
    </row>
    <row r="4" spans="1:14" s="17" customFormat="1" x14ac:dyDescent="0.25">
      <c r="B4" s="17" t="s">
        <v>456</v>
      </c>
      <c r="C4" s="16">
        <f>'VISA Model'!B4</f>
        <v>0.114</v>
      </c>
      <c r="D4" s="16">
        <f>D3/C3-1</f>
        <v>0.10023581294214923</v>
      </c>
      <c r="E4" s="16">
        <f t="shared" ref="E4:H4" si="2">E3/D3-1</f>
        <v>0.11339976618604908</v>
      </c>
      <c r="F4" s="16">
        <f t="shared" si="2"/>
        <v>0.1100000000000001</v>
      </c>
      <c r="G4" s="16">
        <f t="shared" si="2"/>
        <v>0.10000000000000009</v>
      </c>
      <c r="H4" s="16">
        <f t="shared" si="2"/>
        <v>0.1100000000000001</v>
      </c>
      <c r="I4" s="16">
        <f>H4-(($H$4-$L$4)/4)</f>
        <v>9.1250000000000081E-2</v>
      </c>
      <c r="J4" s="16">
        <f t="shared" ref="J4:K4" si="3">I4-(($H$4-$L$4)/4)</f>
        <v>7.2500000000000064E-2</v>
      </c>
      <c r="K4" s="16">
        <f t="shared" si="3"/>
        <v>5.3750000000000041E-2</v>
      </c>
      <c r="L4" s="77">
        <f>C21</f>
        <v>3.5000000000000003E-2</v>
      </c>
    </row>
    <row r="5" spans="1:14" x14ac:dyDescent="0.25">
      <c r="B5" s="4" t="s">
        <v>312</v>
      </c>
      <c r="C5" s="14">
        <f>'VISA Model'!B22-'VISA Model'!B16</f>
        <v>21681</v>
      </c>
      <c r="D5" s="14">
        <f>'VISA Model'!C22-'VISA Model'!C16</f>
        <v>24557</v>
      </c>
      <c r="E5" s="14">
        <f>'VISA Model'!D22-'VISA Model'!D16</f>
        <v>24783</v>
      </c>
      <c r="F5" s="14">
        <f>'VISA Model'!E22-'VISA Model'!E16</f>
        <v>27680.474000000009</v>
      </c>
      <c r="G5" s="14">
        <f>'VISA Model'!F22-'VISA Model'!F16</f>
        <v>30582.735565000014</v>
      </c>
      <c r="H5" s="14">
        <f>'VISA Model'!G22-'VISA Model'!G16</f>
        <v>34239.48961500002</v>
      </c>
      <c r="I5" s="14">
        <f>I3*I6</f>
        <v>36896.774506776586</v>
      </c>
      <c r="J5" s="14">
        <f t="shared" ref="J5:L5" si="4">J3*J6</f>
        <v>39070.859654095257</v>
      </c>
      <c r="K5" s="14">
        <f t="shared" si="4"/>
        <v>40643.062314592535</v>
      </c>
      <c r="L5" s="14">
        <f t="shared" si="4"/>
        <v>41519.238488086077</v>
      </c>
    </row>
    <row r="6" spans="1:14" s="17" customFormat="1" x14ac:dyDescent="0.25">
      <c r="B6" s="17" t="s">
        <v>457</v>
      </c>
      <c r="C6" s="16">
        <f>C5/C3</f>
        <v>0.66398186996600617</v>
      </c>
      <c r="D6" s="16">
        <f t="shared" ref="D6:H6" si="5">D5/D3</f>
        <v>0.68354395145577018</v>
      </c>
      <c r="E6" s="16">
        <f t="shared" si="5"/>
        <v>0.61957499999999999</v>
      </c>
      <c r="F6" s="16">
        <f t="shared" si="5"/>
        <v>0.62343409909909919</v>
      </c>
      <c r="G6" s="16">
        <f t="shared" si="5"/>
        <v>0.62618213687551194</v>
      </c>
      <c r="H6" s="16">
        <f t="shared" si="5"/>
        <v>0.63158040623547396</v>
      </c>
      <c r="I6" s="16">
        <f>H6-(($H$6-$L$6)/4)</f>
        <v>0.62368530467660543</v>
      </c>
      <c r="J6" s="16">
        <f t="shared" ref="J6:K6" si="6">I6-(($H$6-$L$6)/4)</f>
        <v>0.61579020311773691</v>
      </c>
      <c r="K6" s="16">
        <f t="shared" si="6"/>
        <v>0.60789510155886839</v>
      </c>
      <c r="L6" s="77">
        <v>0.6</v>
      </c>
    </row>
    <row r="7" spans="1:14" x14ac:dyDescent="0.25">
      <c r="B7" s="4" t="s">
        <v>313</v>
      </c>
      <c r="C7" s="14">
        <f>'VISA Model'!B23</f>
        <v>3764</v>
      </c>
      <c r="D7" s="14">
        <f>'VISA Model'!C23</f>
        <v>4173</v>
      </c>
      <c r="E7" s="14">
        <f>'VISA Model'!D23</f>
        <v>4136</v>
      </c>
      <c r="F7" s="14">
        <f>'VISA Model'!E23</f>
        <v>4607.930580000002</v>
      </c>
      <c r="G7" s="14">
        <f>'VISA Model'!F23</f>
        <v>5105.2250460500027</v>
      </c>
      <c r="H7" s="14">
        <f>'VISA Model'!G23</f>
        <v>5730.7832345500037</v>
      </c>
      <c r="I7" s="14">
        <f>I5*I8</f>
        <v>6641.4194112197856</v>
      </c>
      <c r="J7" s="14">
        <f t="shared" ref="J7:L7" si="7">J5*J8</f>
        <v>7423.463334278099</v>
      </c>
      <c r="K7" s="14">
        <f t="shared" si="7"/>
        <v>8128.6124629185069</v>
      </c>
      <c r="L7" s="14">
        <f t="shared" si="7"/>
        <v>8719.0400824980752</v>
      </c>
    </row>
    <row r="8" spans="1:14" s="17" customFormat="1" x14ac:dyDescent="0.25">
      <c r="B8" s="17" t="s">
        <v>458</v>
      </c>
      <c r="C8" s="16">
        <f>'VISA Model'!B24</f>
        <v>0.17892285021628559</v>
      </c>
      <c r="D8" s="16">
        <f>'VISA Model'!C24</f>
        <v>0.17448569994982438</v>
      </c>
      <c r="E8" s="16">
        <f>'VISA Model'!D24</f>
        <v>0.17095147557245599</v>
      </c>
      <c r="F8" s="16">
        <f>'VISA Model'!E24</f>
        <v>0.17</v>
      </c>
      <c r="G8" s="16">
        <f>'VISA Model'!F24</f>
        <v>0.17</v>
      </c>
      <c r="H8" s="16">
        <f>'VISA Model'!G24</f>
        <v>0.17</v>
      </c>
      <c r="I8" s="16">
        <f>H8-(($H$8-$L$8)/4)</f>
        <v>0.18</v>
      </c>
      <c r="J8" s="16">
        <f t="shared" ref="J8:K8" si="8">I8-(($H$8-$L$8)/4)</f>
        <v>0.19</v>
      </c>
      <c r="K8" s="16">
        <f t="shared" si="8"/>
        <v>0.2</v>
      </c>
      <c r="L8" s="77">
        <f>C29</f>
        <v>0.21</v>
      </c>
    </row>
    <row r="9" spans="1:14" x14ac:dyDescent="0.25">
      <c r="B9" s="4" t="s">
        <v>314</v>
      </c>
      <c r="C9" s="14">
        <f>C5-C7</f>
        <v>17917</v>
      </c>
      <c r="D9" s="14">
        <f t="shared" ref="D9:L9" si="9">D5-D7</f>
        <v>20384</v>
      </c>
      <c r="E9" s="14">
        <f t="shared" si="9"/>
        <v>20647</v>
      </c>
      <c r="F9" s="14">
        <f t="shared" si="9"/>
        <v>23072.543420000009</v>
      </c>
      <c r="G9" s="14">
        <f t="shared" si="9"/>
        <v>25477.51051895001</v>
      </c>
      <c r="H9" s="14">
        <f t="shared" si="9"/>
        <v>28508.706380450018</v>
      </c>
      <c r="I9" s="14">
        <f t="shared" si="9"/>
        <v>30255.355095556799</v>
      </c>
      <c r="J9" s="14">
        <f t="shared" si="9"/>
        <v>31647.396319817159</v>
      </c>
      <c r="K9" s="14">
        <f t="shared" si="9"/>
        <v>32514.449851674028</v>
      </c>
      <c r="L9" s="14">
        <f t="shared" si="9"/>
        <v>32800.198405588002</v>
      </c>
    </row>
    <row r="10" spans="1:14" x14ac:dyDescent="0.25">
      <c r="B10" s="4" t="s">
        <v>315</v>
      </c>
      <c r="C10" s="14">
        <f>'VISA Model'!B141</f>
        <v>943</v>
      </c>
      <c r="D10" s="14">
        <f>'VISA Model'!C141</f>
        <v>1034</v>
      </c>
      <c r="E10" s="14">
        <f>'VISA Model'!D141</f>
        <v>1220</v>
      </c>
      <c r="F10" s="14">
        <f>'VISA Model'!E141</f>
        <v>1422.2174023185237</v>
      </c>
      <c r="G10" s="14">
        <f>'VISA Model'!F141</f>
        <v>1653.6186027288054</v>
      </c>
      <c r="H10" s="14">
        <f>'VISA Model'!G141</f>
        <v>1934.2255867039223</v>
      </c>
      <c r="I10" s="14">
        <f>I11*I3</f>
        <v>2174.6355686179918</v>
      </c>
      <c r="J10" s="14">
        <f t="shared" ref="J10:K10" si="10">J11*J3</f>
        <v>2400.8421570118644</v>
      </c>
      <c r="K10" s="14">
        <f t="shared" si="10"/>
        <v>2602.1172537650332</v>
      </c>
      <c r="L10" s="14">
        <f>L11*L3</f>
        <v>2767.949232539072</v>
      </c>
    </row>
    <row r="11" spans="1:14" s="17" customFormat="1" x14ac:dyDescent="0.25">
      <c r="B11" s="17" t="s">
        <v>459</v>
      </c>
      <c r="C11" s="16">
        <f>C10/C3</f>
        <v>2.8879429148929655E-2</v>
      </c>
      <c r="D11" s="16">
        <f t="shared" ref="D11:H11" si="11">D10/D3</f>
        <v>2.878138395590937E-2</v>
      </c>
      <c r="E11" s="16">
        <f t="shared" si="11"/>
        <v>3.0499999999999999E-2</v>
      </c>
      <c r="F11" s="16">
        <f t="shared" si="11"/>
        <v>3.2031923475642418E-2</v>
      </c>
      <c r="G11" s="16">
        <f t="shared" si="11"/>
        <v>3.3857874748747026E-2</v>
      </c>
      <c r="H11" s="16">
        <f t="shared" si="11"/>
        <v>3.5678656298262418E-2</v>
      </c>
      <c r="I11" s="16">
        <f>H11-(($H$11-$L$11)/4)</f>
        <v>3.6758992223696815E-2</v>
      </c>
      <c r="J11" s="16">
        <f t="shared" ref="J11:K11" si="12">I11-(($H$11-$L$11)/4)</f>
        <v>3.7839328149131213E-2</v>
      </c>
      <c r="K11" s="16">
        <f t="shared" si="12"/>
        <v>3.891966407456561E-2</v>
      </c>
      <c r="L11" s="77">
        <v>0.04</v>
      </c>
    </row>
    <row r="12" spans="1:14" x14ac:dyDescent="0.25">
      <c r="B12" s="4" t="s">
        <v>113</v>
      </c>
      <c r="C12" s="14">
        <f>-'VISA Model'!B156</f>
        <v>1059</v>
      </c>
      <c r="D12" s="14">
        <f>-'VISA Model'!C156</f>
        <v>1257</v>
      </c>
      <c r="E12" s="14">
        <f>-'VISA Model'!D156</f>
        <v>1482</v>
      </c>
      <c r="F12" s="14">
        <f>-'VISA Model'!E156</f>
        <v>1714.297094521354</v>
      </c>
      <c r="G12" s="14">
        <f>-'VISA Model'!F156</f>
        <v>1979.0015716728601</v>
      </c>
      <c r="H12" s="14">
        <f>-'VISA Model'!G156</f>
        <v>2299.528169373722</v>
      </c>
      <c r="I12" s="14">
        <f>I3*I13</f>
        <v>2621.5111048718059</v>
      </c>
      <c r="J12" s="14">
        <f t="shared" ref="J12:L12" si="13">J3*J13</f>
        <v>2931.8525967958417</v>
      </c>
      <c r="K12" s="14">
        <f t="shared" si="13"/>
        <v>3216.1867647985673</v>
      </c>
      <c r="L12" s="14">
        <f t="shared" si="13"/>
        <v>3459.9365406738398</v>
      </c>
    </row>
    <row r="13" spans="1:14" s="17" customFormat="1" x14ac:dyDescent="0.25">
      <c r="B13" s="17" t="s">
        <v>324</v>
      </c>
      <c r="C13" s="16">
        <f>C12/C3</f>
        <v>3.2431935809879645E-2</v>
      </c>
      <c r="D13" s="16">
        <f t="shared" ref="D13:H13" si="14">D12/D3</f>
        <v>3.498858765239659E-2</v>
      </c>
      <c r="E13" s="16">
        <f t="shared" si="14"/>
        <v>3.705E-2</v>
      </c>
      <c r="F13" s="16">
        <f t="shared" si="14"/>
        <v>3.8610294921652112E-2</v>
      </c>
      <c r="G13" s="16">
        <f t="shared" si="14"/>
        <v>4.0520097700099497E-2</v>
      </c>
      <c r="H13" s="16">
        <f t="shared" si="14"/>
        <v>4.2417014730462423E-2</v>
      </c>
      <c r="I13" s="16">
        <f>H13-(($H$13-$L$13)/4)</f>
        <v>4.4312761047846816E-2</v>
      </c>
      <c r="J13" s="16">
        <f t="shared" ref="J13:K13" si="15">I13-(($H$13-$L$13)/4)</f>
        <v>4.6208507365231209E-2</v>
      </c>
      <c r="K13" s="16">
        <f t="shared" si="15"/>
        <v>4.8104253682615603E-2</v>
      </c>
      <c r="L13" s="77">
        <v>0.05</v>
      </c>
    </row>
    <row r="14" spans="1:14" x14ac:dyDescent="0.25">
      <c r="B14" s="4" t="s">
        <v>316</v>
      </c>
      <c r="C14" s="14">
        <f>'VISA Model'!B122</f>
        <v>3933</v>
      </c>
      <c r="D14" s="14">
        <f>'VISA Model'!C122</f>
        <v>-3524</v>
      </c>
      <c r="E14" s="14">
        <f>'VISA Model'!D122</f>
        <v>3019</v>
      </c>
      <c r="F14" s="14">
        <f>'VISA Model'!E122</f>
        <v>-876.5751767120463</v>
      </c>
      <c r="G14" s="14">
        <f>'VISA Model'!F122</f>
        <v>-4871.0392719681704</v>
      </c>
      <c r="H14" s="14">
        <f>'VISA Model'!G122</f>
        <v>-7596.8680697849477</v>
      </c>
      <c r="I14" s="14">
        <f>I15*I3</f>
        <v>-6365.4599146146174</v>
      </c>
      <c r="J14" s="14">
        <f t="shared" ref="J14:L14" si="16">J15*J3</f>
        <v>-4762.7982703119515</v>
      </c>
      <c r="K14" s="14">
        <f t="shared" si="16"/>
        <v>-2843.6927242429615</v>
      </c>
      <c r="L14" s="14">
        <f t="shared" si="16"/>
        <v>-691.987308134768</v>
      </c>
    </row>
    <row r="15" spans="1:14" s="17" customFormat="1" x14ac:dyDescent="0.25">
      <c r="B15" s="17" t="s">
        <v>324</v>
      </c>
      <c r="C15" s="16"/>
      <c r="D15" s="16">
        <f>D14/D3</f>
        <v>-9.8090519400990922E-2</v>
      </c>
      <c r="E15" s="16">
        <f t="shared" ref="E15:H15" si="17">E14/E3</f>
        <v>7.5475E-2</v>
      </c>
      <c r="F15" s="16">
        <f t="shared" si="17"/>
        <v>-1.9742684160181219E-2</v>
      </c>
      <c r="G15" s="16">
        <f t="shared" si="17"/>
        <v>-9.9734628828177088E-2</v>
      </c>
      <c r="H15" s="16">
        <f t="shared" si="17"/>
        <v>-0.14013155790529369</v>
      </c>
      <c r="I15" s="16">
        <f>H15-(($H$15-$L$15)/4)</f>
        <v>-0.10759866842897027</v>
      </c>
      <c r="J15" s="16">
        <f t="shared" ref="J15:K15" si="18">I15-(($H$15-$L$15)/4)</f>
        <v>-7.506577895264685E-2</v>
      </c>
      <c r="K15" s="16">
        <f t="shared" si="18"/>
        <v>-4.2532889476323429E-2</v>
      </c>
      <c r="L15" s="77">
        <v>-0.01</v>
      </c>
    </row>
    <row r="16" spans="1:14" x14ac:dyDescent="0.25">
      <c r="B16" s="4" t="s">
        <v>317</v>
      </c>
      <c r="C16" s="14">
        <f>C9+C10-C12-C14</f>
        <v>13868</v>
      </c>
      <c r="D16" s="14">
        <f t="shared" ref="D16:L16" si="19">D9+D10-D12-D14</f>
        <v>23685</v>
      </c>
      <c r="E16" s="14">
        <f t="shared" si="19"/>
        <v>17366</v>
      </c>
      <c r="F16" s="14">
        <f t="shared" si="19"/>
        <v>23657.038904509227</v>
      </c>
      <c r="G16" s="14">
        <f t="shared" si="19"/>
        <v>30023.166821974126</v>
      </c>
      <c r="H16" s="14">
        <f t="shared" si="19"/>
        <v>35740.271867565163</v>
      </c>
      <c r="I16" s="14">
        <f t="shared" si="19"/>
        <v>36173.939473917606</v>
      </c>
      <c r="J16" s="14">
        <f t="shared" si="19"/>
        <v>35879.184150345129</v>
      </c>
      <c r="K16" s="14">
        <f t="shared" si="19"/>
        <v>34744.073064883458</v>
      </c>
      <c r="L16" s="14">
        <f t="shared" si="19"/>
        <v>32800.198405588002</v>
      </c>
    </row>
    <row r="17" spans="2:14" x14ac:dyDescent="0.25">
      <c r="B17" s="4" t="s">
        <v>463</v>
      </c>
      <c r="C17" s="14"/>
      <c r="D17" s="14"/>
      <c r="E17" s="97">
        <f t="shared" ref="E17:L17" si="20">1/(1*(1+$C$34)^E1)</f>
        <v>1</v>
      </c>
      <c r="F17" s="97">
        <f t="shared" si="20"/>
        <v>0.96876991378079136</v>
      </c>
      <c r="G17" s="97">
        <f t="shared" si="20"/>
        <v>0.90920523692401201</v>
      </c>
      <c r="H17" s="97">
        <f t="shared" si="20"/>
        <v>0.85330288553645162</v>
      </c>
      <c r="I17" s="97">
        <f t="shared" si="20"/>
        <v>0.80083768207077399</v>
      </c>
      <c r="J17" s="97">
        <f t="shared" si="20"/>
        <v>0.75159829398829936</v>
      </c>
      <c r="K17" s="97">
        <f t="shared" si="20"/>
        <v>0.70538638250066643</v>
      </c>
      <c r="L17" s="97">
        <f t="shared" si="20"/>
        <v>0.66201580365098922</v>
      </c>
    </row>
    <row r="18" spans="2:14" ht="14.4" thickBot="1" x14ac:dyDescent="0.3">
      <c r="B18" s="88" t="s">
        <v>334</v>
      </c>
      <c r="C18" s="89"/>
      <c r="D18" s="89"/>
      <c r="E18" s="89">
        <f>E16*E17</f>
        <v>17366</v>
      </c>
      <c r="F18" s="89">
        <f t="shared" ref="F18:L18" si="21">F16*F17</f>
        <v>22918.22753983023</v>
      </c>
      <c r="G18" s="89">
        <f t="shared" si="21"/>
        <v>27297.220503582121</v>
      </c>
      <c r="H18" s="89">
        <f t="shared" si="21"/>
        <v>30497.277114450619</v>
      </c>
      <c r="I18" s="89">
        <f t="shared" si="21"/>
        <v>28969.453839660648</v>
      </c>
      <c r="J18" s="89">
        <f t="shared" si="21"/>
        <v>26966.733597091428</v>
      </c>
      <c r="K18" s="89">
        <f t="shared" si="21"/>
        <v>24507.996012576983</v>
      </c>
      <c r="L18" s="89">
        <f t="shared" si="21"/>
        <v>21714.249707387236</v>
      </c>
    </row>
    <row r="21" spans="2:14" x14ac:dyDescent="0.25">
      <c r="B21" s="4" t="s">
        <v>465</v>
      </c>
      <c r="C21" s="76">
        <v>3.5000000000000003E-2</v>
      </c>
      <c r="D21" s="17" t="s">
        <v>467</v>
      </c>
    </row>
    <row r="22" spans="2:14" ht="14.4" x14ac:dyDescent="0.3">
      <c r="B22" s="4" t="s">
        <v>466</v>
      </c>
      <c r="C22" s="76">
        <v>2.5000000000000001E-2</v>
      </c>
      <c r="D22" s="17" t="s">
        <v>454</v>
      </c>
      <c r="G22" s="105"/>
    </row>
    <row r="23" spans="2:14" ht="14.4" customHeight="1" x14ac:dyDescent="0.3">
      <c r="B23" s="4" t="s">
        <v>325</v>
      </c>
      <c r="C23" s="23">
        <v>4.3999999999999997E-2</v>
      </c>
      <c r="D23" s="17" t="s">
        <v>451</v>
      </c>
      <c r="G23" s="24"/>
      <c r="H23" s="24"/>
      <c r="I23" s="119"/>
      <c r="J23" s="119"/>
      <c r="K23" s="119"/>
      <c r="L23" s="119"/>
      <c r="M23" s="119"/>
      <c r="N23" s="24"/>
    </row>
    <row r="24" spans="2:14" ht="14.4" x14ac:dyDescent="0.3">
      <c r="B24" s="4" t="s">
        <v>326</v>
      </c>
      <c r="C24" s="20">
        <f>'Vs S&amp;P'!L3</f>
        <v>0.76431016007032704</v>
      </c>
      <c r="D24" s="17" t="s">
        <v>452</v>
      </c>
      <c r="G24" s="24"/>
      <c r="H24" s="95"/>
      <c r="I24" s="92"/>
      <c r="J24" s="92"/>
      <c r="K24" s="92"/>
      <c r="L24" s="93"/>
      <c r="M24" s="93"/>
      <c r="N24" s="24"/>
    </row>
    <row r="25" spans="2:14" ht="14.4" customHeight="1" x14ac:dyDescent="0.25">
      <c r="B25" s="4" t="s">
        <v>327</v>
      </c>
      <c r="C25" s="23">
        <v>4.8000000000000001E-2</v>
      </c>
      <c r="D25" s="17" t="s">
        <v>453</v>
      </c>
      <c r="G25" s="120"/>
      <c r="H25" s="92"/>
      <c r="I25" s="106"/>
      <c r="J25" s="106"/>
      <c r="K25" s="106"/>
      <c r="L25" s="106"/>
      <c r="M25" s="106"/>
      <c r="N25" s="90" t="s">
        <v>461</v>
      </c>
    </row>
    <row r="26" spans="2:14" ht="14.4" x14ac:dyDescent="0.3">
      <c r="B26" s="4" t="s">
        <v>328</v>
      </c>
      <c r="C26" s="76">
        <f>C23+(C24*C25)</f>
        <v>8.0686887683375702E-2</v>
      </c>
      <c r="G26" s="120"/>
      <c r="H26" s="92"/>
      <c r="I26" s="106"/>
      <c r="J26" s="106"/>
      <c r="K26" s="106"/>
      <c r="L26" s="106"/>
      <c r="M26" s="106"/>
      <c r="N26" s="24"/>
    </row>
    <row r="27" spans="2:14" ht="14.4" x14ac:dyDescent="0.3">
      <c r="G27" s="120"/>
      <c r="H27" s="92"/>
      <c r="I27" s="106"/>
      <c r="J27" s="106"/>
      <c r="K27" s="107"/>
      <c r="L27" s="106"/>
      <c r="M27" s="106"/>
      <c r="N27" s="24"/>
    </row>
    <row r="28" spans="2:14" ht="14.4" x14ac:dyDescent="0.3">
      <c r="B28" s="4" t="s">
        <v>329</v>
      </c>
      <c r="C28" s="23">
        <f>C23+1%</f>
        <v>5.3999999999999999E-2</v>
      </c>
      <c r="D28" s="17" t="s">
        <v>468</v>
      </c>
      <c r="G28" s="120"/>
      <c r="H28" s="92"/>
      <c r="I28" s="106"/>
      <c r="J28" s="106"/>
      <c r="K28" s="106"/>
      <c r="L28" s="106"/>
      <c r="M28" s="106"/>
      <c r="N28" s="24"/>
    </row>
    <row r="29" spans="2:14" ht="14.4" x14ac:dyDescent="0.3">
      <c r="B29" s="4" t="s">
        <v>330</v>
      </c>
      <c r="C29" s="23">
        <v>0.21</v>
      </c>
      <c r="D29" s="17" t="s">
        <v>443</v>
      </c>
      <c r="G29" s="120"/>
      <c r="H29" s="92"/>
      <c r="I29" s="106"/>
      <c r="J29" s="106"/>
      <c r="K29" s="106"/>
      <c r="L29" s="106"/>
      <c r="M29" s="106"/>
      <c r="N29" s="24"/>
    </row>
    <row r="30" spans="2:14" ht="14.4" x14ac:dyDescent="0.3">
      <c r="B30" s="4" t="s">
        <v>331</v>
      </c>
      <c r="C30" s="14">
        <f>'VISA Model'!D126</f>
        <v>25171</v>
      </c>
      <c r="G30" s="24"/>
      <c r="H30" s="24"/>
      <c r="I30" s="90"/>
      <c r="J30" s="24"/>
      <c r="K30" s="24"/>
      <c r="L30" s="24"/>
      <c r="M30" s="24"/>
      <c r="N30" s="24"/>
    </row>
    <row r="31" spans="2:14" ht="14.4" x14ac:dyDescent="0.3">
      <c r="B31" s="4" t="s">
        <v>332</v>
      </c>
      <c r="C31" s="14">
        <f>'VISA Model'!D104</f>
        <v>37909</v>
      </c>
      <c r="G31" s="24"/>
      <c r="H31" s="24"/>
      <c r="I31" s="119"/>
      <c r="J31" s="119"/>
      <c r="K31" s="119"/>
      <c r="L31" s="119"/>
      <c r="M31" s="119"/>
    </row>
    <row r="32" spans="2:14" ht="14.4" x14ac:dyDescent="0.3">
      <c r="B32" s="4" t="s">
        <v>470</v>
      </c>
      <c r="C32" s="38">
        <f>C30/(C30+C31)</f>
        <v>0.39903297400126825</v>
      </c>
      <c r="G32" s="24"/>
      <c r="H32" s="24"/>
      <c r="I32" s="91"/>
      <c r="J32" s="91"/>
      <c r="K32" s="91"/>
      <c r="L32" s="91"/>
      <c r="M32" s="91"/>
    </row>
    <row r="33" spans="2:13" ht="14.4" x14ac:dyDescent="0.3">
      <c r="B33" s="4" t="s">
        <v>471</v>
      </c>
      <c r="C33" s="38">
        <f>1-C32</f>
        <v>0.60096702599873175</v>
      </c>
      <c r="G33" s="24"/>
      <c r="H33" s="24"/>
      <c r="I33" s="91"/>
      <c r="J33" s="91"/>
      <c r="K33" s="91"/>
      <c r="L33" s="91"/>
      <c r="M33" s="91"/>
    </row>
    <row r="34" spans="2:13" ht="14.4" x14ac:dyDescent="0.3">
      <c r="B34" s="4" t="s">
        <v>333</v>
      </c>
      <c r="C34" s="76">
        <f>C33*C26+C32*(C28*(1-C29))</f>
        <v>6.5512905599066099E-2</v>
      </c>
      <c r="G34" s="24"/>
      <c r="H34" s="95"/>
      <c r="I34" s="92"/>
      <c r="J34" s="92"/>
      <c r="K34" s="92"/>
      <c r="L34" s="93"/>
      <c r="M34" s="93"/>
    </row>
    <row r="35" spans="2:13" ht="14.4" x14ac:dyDescent="0.25">
      <c r="G35" s="94"/>
      <c r="H35" s="99"/>
      <c r="I35" s="99"/>
      <c r="J35" s="99"/>
      <c r="K35" s="99"/>
      <c r="L35" s="99"/>
      <c r="M35" s="96"/>
    </row>
    <row r="36" spans="2:13" ht="14.4" x14ac:dyDescent="0.25">
      <c r="B36" s="4" t="s">
        <v>335</v>
      </c>
      <c r="C36" s="14">
        <f>SUM(E18:L18)</f>
        <v>200237.15831457925</v>
      </c>
      <c r="D36" s="23">
        <f>1-D37</f>
        <v>0.26711812312158878</v>
      </c>
      <c r="G36" s="100"/>
      <c r="H36" s="101"/>
      <c r="I36" s="101"/>
      <c r="J36" s="101"/>
      <c r="K36" s="101"/>
      <c r="L36" s="101"/>
      <c r="M36" s="96"/>
    </row>
    <row r="37" spans="2:13" ht="14.4" x14ac:dyDescent="0.3">
      <c r="B37" s="4" t="s">
        <v>336</v>
      </c>
      <c r="C37" s="14">
        <f>((L16*(1+C22))/(C34-C22))*L17</f>
        <v>549383.10696196975</v>
      </c>
      <c r="D37" s="22">
        <f>C37/C38</f>
        <v>0.73288187687841122</v>
      </c>
      <c r="E37" s="104" t="s">
        <v>469</v>
      </c>
      <c r="F37" s="104"/>
      <c r="G37" s="104"/>
      <c r="H37" s="104"/>
      <c r="I37" s="101"/>
      <c r="J37" s="101"/>
      <c r="K37" s="101"/>
      <c r="L37" s="101"/>
      <c r="M37" s="96"/>
    </row>
    <row r="38" spans="2:13" ht="14.4" x14ac:dyDescent="0.25">
      <c r="B38" s="18" t="s">
        <v>464</v>
      </c>
      <c r="C38" s="15">
        <f>C36+C37</f>
        <v>749620.26527654903</v>
      </c>
      <c r="G38" s="100"/>
      <c r="H38" s="101"/>
      <c r="I38" s="101"/>
      <c r="J38" s="102"/>
      <c r="K38" s="101"/>
      <c r="L38" s="101"/>
      <c r="M38" s="96"/>
    </row>
    <row r="39" spans="2:13" ht="14.4" x14ac:dyDescent="0.25">
      <c r="B39" s="4" t="s">
        <v>338</v>
      </c>
      <c r="C39" s="14">
        <f>'VISA Model'!D73</f>
        <v>17164</v>
      </c>
      <c r="G39" s="100"/>
      <c r="H39" s="101"/>
      <c r="I39" s="101"/>
      <c r="J39" s="101"/>
      <c r="K39" s="101"/>
      <c r="L39" s="101"/>
      <c r="M39" s="96"/>
    </row>
    <row r="40" spans="2:13" ht="14.4" x14ac:dyDescent="0.25">
      <c r="B40" s="4" t="s">
        <v>331</v>
      </c>
      <c r="C40" s="14">
        <f>'VISA Model'!D126</f>
        <v>25171</v>
      </c>
      <c r="G40" s="100"/>
      <c r="H40" s="103"/>
      <c r="I40" s="101"/>
      <c r="J40" s="101"/>
      <c r="K40" s="101"/>
      <c r="L40" s="101"/>
    </row>
    <row r="41" spans="2:13" x14ac:dyDescent="0.25">
      <c r="B41" s="4" t="s">
        <v>339</v>
      </c>
      <c r="C41" s="14">
        <f>C38-C40+C39</f>
        <v>741613.26527654903</v>
      </c>
    </row>
    <row r="42" spans="2:13" x14ac:dyDescent="0.25">
      <c r="B42" s="4" t="s">
        <v>340</v>
      </c>
      <c r="C42" s="14">
        <f>'VISA Model'!D33</f>
        <v>1966</v>
      </c>
    </row>
    <row r="43" spans="2:13" x14ac:dyDescent="0.25">
      <c r="B43" s="18" t="s">
        <v>341</v>
      </c>
      <c r="C43" s="98">
        <f>C41/C42</f>
        <v>377.21936178868214</v>
      </c>
    </row>
    <row r="45" spans="2:13" x14ac:dyDescent="0.25">
      <c r="B45" s="18" t="s">
        <v>342</v>
      </c>
      <c r="C45" s="71">
        <f>Snapshot!C4</f>
        <v>322.39</v>
      </c>
    </row>
    <row r="46" spans="2:13" x14ac:dyDescent="0.25">
      <c r="B46" s="18" t="s">
        <v>343</v>
      </c>
      <c r="C46" s="78">
        <f>C43/C45-1</f>
        <v>0.17007153382140316</v>
      </c>
    </row>
    <row r="49" spans="2:12" x14ac:dyDescent="0.25">
      <c r="B49" s="18" t="s">
        <v>344</v>
      </c>
    </row>
    <row r="50" spans="2:12" x14ac:dyDescent="0.25">
      <c r="C50" s="68" t="s">
        <v>349</v>
      </c>
      <c r="D50" s="68" t="s">
        <v>350</v>
      </c>
      <c r="E50" s="68" t="s">
        <v>351</v>
      </c>
      <c r="F50" s="68" t="s">
        <v>352</v>
      </c>
      <c r="G50" s="68" t="s">
        <v>331</v>
      </c>
      <c r="H50" s="68" t="s">
        <v>332</v>
      </c>
      <c r="I50" s="68" t="s">
        <v>353</v>
      </c>
      <c r="J50" s="68" t="s">
        <v>337</v>
      </c>
      <c r="K50" s="68" t="s">
        <v>355</v>
      </c>
      <c r="L50" s="68" t="s">
        <v>354</v>
      </c>
    </row>
    <row r="51" spans="2:12" x14ac:dyDescent="0.25">
      <c r="B51" s="4" t="s">
        <v>345</v>
      </c>
      <c r="C51" s="14">
        <f>Snapshot!C7*1000</f>
        <v>607420</v>
      </c>
      <c r="D51" s="14">
        <f>'VISA Model'!D3</f>
        <v>40000</v>
      </c>
      <c r="E51" s="14">
        <f>'VISA Model'!D14</f>
        <v>23994</v>
      </c>
      <c r="F51" s="22">
        <f>E51/D51</f>
        <v>0.59984999999999999</v>
      </c>
      <c r="G51" s="14">
        <f>C40</f>
        <v>25171</v>
      </c>
      <c r="H51" s="14">
        <f>C31</f>
        <v>37909</v>
      </c>
      <c r="I51" s="19">
        <f>G51/H51</f>
        <v>0.66398480571895857</v>
      </c>
      <c r="J51" s="14">
        <f>C51+G51-C39</f>
        <v>615427</v>
      </c>
      <c r="K51" s="20">
        <f>C45/'VISA Model'!D30</f>
        <v>31.606862745098042</v>
      </c>
      <c r="L51" s="20">
        <f>J51/E51</f>
        <v>25.649203967658583</v>
      </c>
    </row>
    <row r="52" spans="2:12" x14ac:dyDescent="0.25">
      <c r="B52" s="4" t="s">
        <v>346</v>
      </c>
      <c r="C52" s="14">
        <v>432940</v>
      </c>
      <c r="D52" s="14">
        <v>32790</v>
      </c>
      <c r="E52" s="14">
        <v>18900</v>
      </c>
      <c r="F52" s="22">
        <f t="shared" ref="F52:F54" si="22">E52/D52</f>
        <v>0.57639524245196705</v>
      </c>
      <c r="G52" s="14">
        <v>18250</v>
      </c>
      <c r="H52" s="14">
        <v>7740</v>
      </c>
      <c r="I52" s="19">
        <f t="shared" ref="I52:I54" si="23">G52/H52</f>
        <v>2.3578811369509043</v>
      </c>
      <c r="J52" s="14">
        <f>C52+G52-13250</f>
        <v>437940</v>
      </c>
      <c r="K52" s="20">
        <f>489/16</f>
        <v>30.5625</v>
      </c>
      <c r="L52" s="20">
        <f t="shared" ref="L52:L54" si="24">J52/E52</f>
        <v>23.171428571428571</v>
      </c>
    </row>
    <row r="53" spans="2:12" x14ac:dyDescent="0.25">
      <c r="B53" s="4" t="s">
        <v>347</v>
      </c>
      <c r="C53" s="14">
        <v>222060</v>
      </c>
      <c r="D53" s="14">
        <v>77650</v>
      </c>
      <c r="E53" s="14">
        <v>13800</v>
      </c>
      <c r="F53" s="22">
        <f t="shared" si="22"/>
        <v>0.1777205408886027</v>
      </c>
      <c r="G53" s="14">
        <v>56390</v>
      </c>
      <c r="H53" s="14">
        <v>33470</v>
      </c>
      <c r="I53" s="19">
        <f t="shared" si="23"/>
        <v>1.6847923513594263</v>
      </c>
      <c r="J53" s="14">
        <f>C53+G53-47790</f>
        <v>230660</v>
      </c>
      <c r="K53" s="20">
        <f>325/15.4</f>
        <v>21.103896103896105</v>
      </c>
      <c r="L53" s="20">
        <f t="shared" si="24"/>
        <v>16.714492753623187</v>
      </c>
    </row>
    <row r="54" spans="2:12" x14ac:dyDescent="0.25">
      <c r="B54" s="4" t="s">
        <v>348</v>
      </c>
      <c r="C54" s="14">
        <v>36630</v>
      </c>
      <c r="D54" s="14">
        <v>33170</v>
      </c>
      <c r="E54" s="14">
        <v>6070</v>
      </c>
      <c r="F54" s="22">
        <f t="shared" si="22"/>
        <v>0.18299668375037684</v>
      </c>
      <c r="G54" s="14">
        <v>9990</v>
      </c>
      <c r="H54" s="14">
        <v>20260</v>
      </c>
      <c r="I54" s="19">
        <f t="shared" si="23"/>
        <v>0.49308983218163871</v>
      </c>
      <c r="J54" s="14">
        <f>C54+G54-24020</f>
        <v>22600</v>
      </c>
      <c r="K54" s="20">
        <f>41.53/5.42</f>
        <v>7.6623616236162366</v>
      </c>
      <c r="L54" s="20">
        <f t="shared" si="24"/>
        <v>3.7232289950576605</v>
      </c>
    </row>
    <row r="56" spans="2:12" s="18" customFormat="1" x14ac:dyDescent="0.25">
      <c r="B56" s="18" t="s">
        <v>357</v>
      </c>
      <c r="F56" s="69">
        <f>MEDIAN(F51:F54)</f>
        <v>0.37969596310117193</v>
      </c>
      <c r="I56" s="70">
        <f t="shared" ref="I56:L56" si="25">MEDIAN(I51:I54)</f>
        <v>1.1743885785391925</v>
      </c>
      <c r="J56" s="15">
        <f t="shared" si="25"/>
        <v>334300</v>
      </c>
      <c r="K56" s="71">
        <f t="shared" si="25"/>
        <v>25.833198051948052</v>
      </c>
      <c r="L56" s="71">
        <f t="shared" si="25"/>
        <v>19.942960662525877</v>
      </c>
    </row>
    <row r="57" spans="2:12" s="18" customFormat="1" x14ac:dyDescent="0.25">
      <c r="F57" s="69"/>
      <c r="I57" s="70"/>
      <c r="J57" s="15"/>
      <c r="K57" s="71"/>
      <c r="L57" s="71"/>
    </row>
    <row r="58" spans="2:12" x14ac:dyDescent="0.25">
      <c r="C58" s="68" t="s">
        <v>359</v>
      </c>
      <c r="D58" s="4" t="s">
        <v>474</v>
      </c>
      <c r="E58" s="4" t="s">
        <v>476</v>
      </c>
      <c r="F58" s="41" t="s">
        <v>358</v>
      </c>
    </row>
    <row r="59" spans="2:12" x14ac:dyDescent="0.25">
      <c r="B59" s="4" t="s">
        <v>345</v>
      </c>
      <c r="C59" s="19">
        <f>'VISA Model'!F30</f>
        <v>13.155039197229192</v>
      </c>
      <c r="D59" s="68" t="s">
        <v>475</v>
      </c>
      <c r="E59" s="45">
        <v>0.2</v>
      </c>
    </row>
    <row r="60" spans="2:12" x14ac:dyDescent="0.25">
      <c r="B60" s="109" t="s">
        <v>484</v>
      </c>
      <c r="C60" s="110"/>
      <c r="D60" s="114">
        <v>30</v>
      </c>
      <c r="E60" s="113">
        <f>1.2*K56</f>
        <v>30.999837662337661</v>
      </c>
      <c r="F60" s="111">
        <f>AVERAGE(D60:E60)*C59</f>
        <v>401.22762773633474</v>
      </c>
      <c r="G60" s="112" t="s">
        <v>360</v>
      </c>
    </row>
    <row r="61" spans="2:12" x14ac:dyDescent="0.25">
      <c r="C61" s="19"/>
      <c r="D61" s="68"/>
      <c r="E61" s="45"/>
      <c r="F61" s="71"/>
      <c r="G61" s="68"/>
    </row>
    <row r="62" spans="2:12" ht="14.4" x14ac:dyDescent="0.3">
      <c r="B62" s="83" t="s">
        <v>473</v>
      </c>
    </row>
    <row r="63" spans="2:12" x14ac:dyDescent="0.25">
      <c r="B63" s="18" t="s">
        <v>472</v>
      </c>
    </row>
    <row r="64" spans="2:12" x14ac:dyDescent="0.25">
      <c r="C64" s="21"/>
      <c r="D64" s="20"/>
    </row>
    <row r="66" spans="2:4" x14ac:dyDescent="0.25">
      <c r="B66" s="47" t="s">
        <v>361</v>
      </c>
      <c r="C66" s="68" t="s">
        <v>362</v>
      </c>
      <c r="D66" s="68" t="s">
        <v>364</v>
      </c>
    </row>
    <row r="67" spans="2:4" x14ac:dyDescent="0.25">
      <c r="B67" s="4" t="s">
        <v>311</v>
      </c>
      <c r="C67" s="45">
        <v>0.7</v>
      </c>
      <c r="D67" s="20">
        <f>C43</f>
        <v>377.21936178868214</v>
      </c>
    </row>
    <row r="68" spans="2:4" x14ac:dyDescent="0.25">
      <c r="B68" s="4" t="s">
        <v>363</v>
      </c>
      <c r="C68" s="45">
        <v>0.3</v>
      </c>
      <c r="D68" s="20">
        <f>F60</f>
        <v>401.22762773633474</v>
      </c>
    </row>
    <row r="70" spans="2:4" x14ac:dyDescent="0.25">
      <c r="B70" s="79" t="s">
        <v>365</v>
      </c>
      <c r="C70" s="80"/>
      <c r="D70" s="81">
        <f>C67*D67+C68*D68</f>
        <v>384.42184157297794</v>
      </c>
    </row>
    <row r="71" spans="2:4" x14ac:dyDescent="0.25">
      <c r="C71" s="4" t="s">
        <v>343</v>
      </c>
      <c r="D71" s="22">
        <f>D70/C45-1</f>
        <v>0.19241242461918162</v>
      </c>
    </row>
    <row r="74" spans="2:4" x14ac:dyDescent="0.25">
      <c r="B74" s="18" t="s">
        <v>372</v>
      </c>
    </row>
    <row r="76" spans="2:4" x14ac:dyDescent="0.25">
      <c r="B76" s="50" t="s">
        <v>373</v>
      </c>
      <c r="C76" s="50" t="s">
        <v>374</v>
      </c>
      <c r="D76" s="41" t="s">
        <v>375</v>
      </c>
    </row>
    <row r="77" spans="2:4" x14ac:dyDescent="0.25">
      <c r="B77" s="4" t="s">
        <v>311</v>
      </c>
      <c r="C77" s="21">
        <f>D67</f>
        <v>377.21936178868214</v>
      </c>
      <c r="D77" s="45">
        <v>0.7</v>
      </c>
    </row>
    <row r="78" spans="2:4" x14ac:dyDescent="0.25">
      <c r="B78" s="4" t="s">
        <v>376</v>
      </c>
      <c r="C78" s="21">
        <f>D68</f>
        <v>401.22762773633474</v>
      </c>
      <c r="D78" s="45">
        <v>0.3</v>
      </c>
    </row>
    <row r="80" spans="2:4" x14ac:dyDescent="0.25">
      <c r="B80" s="18" t="s">
        <v>365</v>
      </c>
      <c r="C80" s="72">
        <f>D70</f>
        <v>384.42184157297794</v>
      </c>
      <c r="D80" s="73">
        <v>1</v>
      </c>
    </row>
    <row r="81" spans="2:4" x14ac:dyDescent="0.25">
      <c r="D81" s="45"/>
    </row>
    <row r="82" spans="2:4" x14ac:dyDescent="0.25">
      <c r="B82" s="18" t="s">
        <v>377</v>
      </c>
    </row>
    <row r="83" spans="2:4" x14ac:dyDescent="0.25">
      <c r="B83" s="4" t="s">
        <v>466</v>
      </c>
      <c r="C83" s="22">
        <f>C22</f>
        <v>2.5000000000000001E-2</v>
      </c>
    </row>
    <row r="84" spans="2:4" x14ac:dyDescent="0.25">
      <c r="B84" s="4" t="s">
        <v>378</v>
      </c>
      <c r="C84" s="22">
        <f>C23</f>
        <v>4.3999999999999997E-2</v>
      </c>
    </row>
    <row r="85" spans="2:4" x14ac:dyDescent="0.25">
      <c r="B85" s="4" t="s">
        <v>326</v>
      </c>
      <c r="C85" s="74">
        <f>C24</f>
        <v>0.76431016007032704</v>
      </c>
    </row>
    <row r="86" spans="2:4" x14ac:dyDescent="0.25">
      <c r="B86" s="4" t="s">
        <v>379</v>
      </c>
      <c r="C86" s="22">
        <f>C25</f>
        <v>4.8000000000000001E-2</v>
      </c>
    </row>
    <row r="87" spans="2:4" x14ac:dyDescent="0.25">
      <c r="B87" s="4" t="s">
        <v>380</v>
      </c>
      <c r="C87" s="22">
        <f>C26</f>
        <v>8.0686887683375702E-2</v>
      </c>
    </row>
    <row r="89" spans="2:4" x14ac:dyDescent="0.25">
      <c r="B89" s="4" t="s">
        <v>329</v>
      </c>
      <c r="C89" s="22">
        <f>C28</f>
        <v>5.3999999999999999E-2</v>
      </c>
    </row>
    <row r="90" spans="2:4" x14ac:dyDescent="0.25">
      <c r="B90" s="4" t="s">
        <v>330</v>
      </c>
      <c r="C90" s="22">
        <f>C29</f>
        <v>0.21</v>
      </c>
    </row>
    <row r="91" spans="2:4" x14ac:dyDescent="0.25">
      <c r="B91" s="4" t="s">
        <v>333</v>
      </c>
      <c r="C91" s="22">
        <f>C34</f>
        <v>6.5512905599066099E-2</v>
      </c>
    </row>
    <row r="93" spans="2:4" x14ac:dyDescent="0.25">
      <c r="B93" s="18" t="s">
        <v>462</v>
      </c>
    </row>
    <row r="94" spans="2:4" x14ac:dyDescent="0.25">
      <c r="B94" s="18" t="s">
        <v>477</v>
      </c>
    </row>
  </sheetData>
  <sheetProtection algorithmName="SHA-512" hashValue="+FQhaTUBH09B0LC0bE6QsJ2bGSuZQPATIH1mpjDr6L1dCkX1orKEpNwKQnRHm/rbWLv8JKjD9Bh2WA49ThOraA==" saltValue="valk/Batxx/roSDSzQjD/A==" spinCount="100000" sheet="1" objects="1" scenarios="1" selectLockedCells="1" selectUnlockedCells="1"/>
  <mergeCells count="3">
    <mergeCell ref="I23:M23"/>
    <mergeCell ref="G25:G29"/>
    <mergeCell ref="I31:M31"/>
  </mergeCells>
  <conditionalFormatting sqref="I25:M2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35:M39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N1" location="Snapshot!A1" display="Home" xr:uid="{9E222C69-7522-4A41-A213-7E97C7D4799E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20F4-7FC2-4537-BC41-964FD6F160F2}">
  <dimension ref="A1:T54"/>
  <sheetViews>
    <sheetView workbookViewId="0">
      <selection activeCell="K22" sqref="K22"/>
    </sheetView>
  </sheetViews>
  <sheetFormatPr defaultRowHeight="13.8" x14ac:dyDescent="0.25"/>
  <cols>
    <col min="1" max="1" width="8.88671875" style="4"/>
    <col min="2" max="2" width="32.44140625" style="2" customWidth="1"/>
    <col min="3" max="8" width="9.5546875" style="2" bestFit="1" customWidth="1"/>
    <col min="9" max="20" width="8.88671875" style="4"/>
    <col min="21" max="16384" width="8.88671875" style="2"/>
  </cols>
  <sheetData>
    <row r="1" spans="1:20" s="4" customFormat="1" ht="14.4" x14ac:dyDescent="0.25">
      <c r="K1" s="82" t="s">
        <v>438</v>
      </c>
    </row>
    <row r="2" spans="1:20" s="4" customFormat="1" x14ac:dyDescent="0.25"/>
    <row r="3" spans="1:20" x14ac:dyDescent="0.25">
      <c r="B3" s="12" t="s">
        <v>114</v>
      </c>
      <c r="C3" s="12"/>
      <c r="D3" s="12"/>
      <c r="E3" s="12"/>
      <c r="F3" s="12"/>
      <c r="G3" s="12"/>
      <c r="H3" s="12"/>
    </row>
    <row r="4" spans="1:20" x14ac:dyDescent="0.25">
      <c r="B4" s="11" t="s">
        <v>107</v>
      </c>
      <c r="C4" s="13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294</v>
      </c>
    </row>
    <row r="5" spans="1:20" x14ac:dyDescent="0.25">
      <c r="B5" s="10" t="s">
        <v>108</v>
      </c>
      <c r="C5" s="11"/>
      <c r="D5" s="11"/>
      <c r="E5" s="11"/>
      <c r="F5" s="11"/>
      <c r="G5" s="11"/>
      <c r="H5" s="11"/>
    </row>
    <row r="6" spans="1:20" x14ac:dyDescent="0.25">
      <c r="B6" s="15" t="str">
        <f>'VISA Model'!A3</f>
        <v>Net revenue</v>
      </c>
      <c r="C6" s="14">
        <f>'VISA Model'!B3</f>
        <v>32653</v>
      </c>
      <c r="D6" s="14">
        <f>'VISA Model'!C3</f>
        <v>35926</v>
      </c>
      <c r="E6" s="14">
        <f>'VISA Model'!D3</f>
        <v>40000</v>
      </c>
      <c r="F6" s="14">
        <f>'VISA Model'!E3</f>
        <v>44400.000000000007</v>
      </c>
      <c r="G6" s="14">
        <f>'VISA Model'!F3</f>
        <v>48840.000000000015</v>
      </c>
      <c r="H6" s="14">
        <f>'VISA Model'!G3</f>
        <v>54212.400000000023</v>
      </c>
    </row>
    <row r="7" spans="1:20" x14ac:dyDescent="0.25">
      <c r="B7" s="16" t="str">
        <f>'VISA Model'!A4</f>
        <v>% Growth</v>
      </c>
      <c r="C7" s="16">
        <f>'VISA Model'!B4</f>
        <v>0.114</v>
      </c>
      <c r="D7" s="16">
        <f>'VISA Model'!C4</f>
        <v>0.10023581294214923</v>
      </c>
      <c r="E7" s="16">
        <f>'VISA Model'!D4</f>
        <v>0.11339976618604908</v>
      </c>
      <c r="F7" s="16">
        <f>'VISA Model'!E4</f>
        <v>0.1100000000000001</v>
      </c>
      <c r="G7" s="16">
        <f>'VISA Model'!F4</f>
        <v>0.10000000000000009</v>
      </c>
      <c r="H7" s="16">
        <f>'VISA Model'!G4</f>
        <v>0.1100000000000001</v>
      </c>
    </row>
    <row r="8" spans="1:20" x14ac:dyDescent="0.25">
      <c r="B8" s="18" t="str">
        <f>'VISA Model'!A14</f>
        <v>Operating income</v>
      </c>
      <c r="C8" s="14">
        <f>'VISA Model'!B14</f>
        <v>21000</v>
      </c>
      <c r="D8" s="14">
        <f>'VISA Model'!C14</f>
        <v>23595</v>
      </c>
      <c r="E8" s="14">
        <f>'VISA Model'!D14</f>
        <v>23994</v>
      </c>
      <c r="F8" s="14">
        <f>'VISA Model'!E14</f>
        <v>26873.430000000008</v>
      </c>
      <c r="G8" s="14">
        <f>'VISA Model'!F14</f>
        <v>29736.038700000012</v>
      </c>
      <c r="H8" s="14">
        <f>'VISA Model'!G14</f>
        <v>33389.08218300002</v>
      </c>
    </row>
    <row r="9" spans="1:20" s="9" customFormat="1" x14ac:dyDescent="0.25">
      <c r="A9" s="17"/>
      <c r="B9" s="16" t="str">
        <f>'VISA Model'!A15</f>
        <v>% Margin</v>
      </c>
      <c r="C9" s="16">
        <f>'VISA Model'!B15</f>
        <v>0.64312620586163594</v>
      </c>
      <c r="D9" s="16">
        <f>'VISA Model'!C15</f>
        <v>0.65676668707899566</v>
      </c>
      <c r="E9" s="16">
        <f>'VISA Model'!D15</f>
        <v>0.59984999999999999</v>
      </c>
      <c r="F9" s="16">
        <f>'VISA Model'!E15</f>
        <v>0.60525743243243246</v>
      </c>
      <c r="G9" s="16">
        <f>'VISA Model'!F15</f>
        <v>0.6088460012285013</v>
      </c>
      <c r="H9" s="16">
        <f>'VISA Model'!G15</f>
        <v>0.61589382102618595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25">
      <c r="B10" s="4" t="str">
        <f>'VISA Model'!A16</f>
        <v>Interest expense</v>
      </c>
      <c r="C10" s="4">
        <f>'VISA Model'!B16</f>
        <v>-644</v>
      </c>
      <c r="D10" s="4">
        <f>'VISA Model'!C16</f>
        <v>-641</v>
      </c>
      <c r="E10" s="4">
        <f>'VISA Model'!D16</f>
        <v>-589</v>
      </c>
      <c r="F10" s="4">
        <f>'VISA Model'!E16</f>
        <v>-575</v>
      </c>
      <c r="G10" s="4">
        <f>'VISA Model'!F16</f>
        <v>-552</v>
      </c>
      <c r="H10" s="4">
        <f>'VISA Model'!G16</f>
        <v>-529</v>
      </c>
    </row>
    <row r="11" spans="1:20" s="9" customFormat="1" x14ac:dyDescent="0.25">
      <c r="A11" s="17"/>
      <c r="B11" s="16" t="str">
        <f>'VISA Model'!A17</f>
        <v>% Int.cost</v>
      </c>
      <c r="C11" s="16">
        <f>'VISA Model'!B17</f>
        <v>3.1471436250794113E-2</v>
      </c>
      <c r="D11" s="16">
        <f>'VISA Model'!C17</f>
        <v>3.0764062200038394E-2</v>
      </c>
      <c r="E11" s="16">
        <f>'VISA Model'!D17</f>
        <v>2.3399944380437805E-2</v>
      </c>
      <c r="F11" s="16">
        <f>'VISA Model'!E17</f>
        <v>2.3E-2</v>
      </c>
      <c r="G11" s="16">
        <f>'VISA Model'!F17</f>
        <v>2.3E-2</v>
      </c>
      <c r="H11" s="16">
        <f>'VISA Model'!G17</f>
        <v>2.3E-2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B12" s="4" t="str">
        <f>'VISA Model'!A18</f>
        <v>Investment income (expense) and other</v>
      </c>
      <c r="C12" s="21">
        <f>'VISA Model'!B18</f>
        <v>681</v>
      </c>
      <c r="D12" s="21">
        <f>'VISA Model'!C18</f>
        <v>962</v>
      </c>
      <c r="E12" s="21">
        <f>'VISA Model'!D18</f>
        <v>789</v>
      </c>
      <c r="F12" s="21">
        <f>'VISA Model'!E18</f>
        <v>807.0440000000001</v>
      </c>
      <c r="G12" s="21">
        <f>'VISA Model'!F18</f>
        <v>846.69686500000012</v>
      </c>
      <c r="H12" s="21">
        <f>'VISA Model'!G18</f>
        <v>850.4074320000002</v>
      </c>
    </row>
    <row r="13" spans="1:20" x14ac:dyDescent="0.25">
      <c r="B13" s="16" t="str">
        <f>'VISA Model'!A19</f>
        <v>% Income</v>
      </c>
      <c r="C13" s="16">
        <f>'VISA Model'!B19</f>
        <v>3.1107253791339301E-2</v>
      </c>
      <c r="D13" s="16">
        <f>'VISA Model'!C19</f>
        <v>5.2671922908453787E-2</v>
      </c>
      <c r="E13" s="16">
        <f>'VISA Model'!D19</f>
        <v>3.5884841042434168E-2</v>
      </c>
      <c r="F13" s="16">
        <f>'VISA Model'!E19</f>
        <v>3.5000000000000003E-2</v>
      </c>
      <c r="G13" s="16">
        <f>'VISA Model'!F19</f>
        <v>3.5000000000000003E-2</v>
      </c>
      <c r="H13" s="16">
        <f>'VISA Model'!G19</f>
        <v>3.5000000000000003E-2</v>
      </c>
    </row>
    <row r="14" spans="1:20" x14ac:dyDescent="0.25">
      <c r="B14" s="18" t="str">
        <f>'VISA Model'!A22</f>
        <v>Income before income taxes</v>
      </c>
      <c r="C14" s="14">
        <f>'VISA Model'!B22</f>
        <v>21037</v>
      </c>
      <c r="D14" s="14">
        <f>'VISA Model'!C22</f>
        <v>23916</v>
      </c>
      <c r="E14" s="14">
        <f>'VISA Model'!D22</f>
        <v>24194</v>
      </c>
      <c r="F14" s="14">
        <f>'VISA Model'!E22</f>
        <v>27105.474000000009</v>
      </c>
      <c r="G14" s="14">
        <f>'VISA Model'!F22</f>
        <v>30030.735565000014</v>
      </c>
      <c r="H14" s="14">
        <f>'VISA Model'!G22</f>
        <v>33710.48961500002</v>
      </c>
    </row>
    <row r="15" spans="1:20" x14ac:dyDescent="0.25">
      <c r="B15" s="16" t="s">
        <v>101</v>
      </c>
      <c r="C15" s="16">
        <v>0.156</v>
      </c>
      <c r="D15" s="16">
        <f>D14/C14-1</f>
        <v>0.13685411417977855</v>
      </c>
      <c r="E15" s="16">
        <f t="shared" ref="E15:H15" si="0">E14/D14-1</f>
        <v>1.1624017394213038E-2</v>
      </c>
      <c r="F15" s="16">
        <f t="shared" si="0"/>
        <v>0.12033867901132544</v>
      </c>
      <c r="G15" s="16">
        <f t="shared" si="0"/>
        <v>0.10792143184804681</v>
      </c>
      <c r="H15" s="16">
        <f t="shared" si="0"/>
        <v>0.12253293103778184</v>
      </c>
    </row>
    <row r="16" spans="1:20" x14ac:dyDescent="0.25">
      <c r="B16" s="18" t="str">
        <f>'VISA Model'!A25</f>
        <v>Net income</v>
      </c>
      <c r="C16" s="14">
        <f>'VISA Model'!B25</f>
        <v>17273</v>
      </c>
      <c r="D16" s="14">
        <f>'VISA Model'!C25</f>
        <v>19743</v>
      </c>
      <c r="E16" s="14">
        <f>'VISA Model'!D25</f>
        <v>20058</v>
      </c>
      <c r="F16" s="14">
        <f>'VISA Model'!E25</f>
        <v>22497.543420000009</v>
      </c>
      <c r="G16" s="14">
        <f>'VISA Model'!F25</f>
        <v>24925.51051895001</v>
      </c>
      <c r="H16" s="14">
        <f>'VISA Model'!G25</f>
        <v>27979.706380450018</v>
      </c>
    </row>
    <row r="17" spans="1:20" s="9" customFormat="1" x14ac:dyDescent="0.25">
      <c r="A17" s="17"/>
      <c r="B17" s="17" t="str">
        <f>'VISA Model'!A26</f>
        <v>% Growth</v>
      </c>
      <c r="C17" s="16">
        <f>'VISA Model'!B26</f>
        <v>0.15484388580597708</v>
      </c>
      <c r="D17" s="16">
        <f>'VISA Model'!C26</f>
        <v>0.14299774214091365</v>
      </c>
      <c r="E17" s="16">
        <f>'VISA Model'!D26</f>
        <v>1.595502203312571E-2</v>
      </c>
      <c r="F17" s="16">
        <f>'VISA Model'!E26</f>
        <v>0.12162446006580963</v>
      </c>
      <c r="G17" s="16">
        <f>'VISA Model'!F26</f>
        <v>0.10792143184804659</v>
      </c>
      <c r="H17" s="16">
        <f>'VISA Model'!G26</f>
        <v>0.12253293103778184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B18" s="4" t="s">
        <v>109</v>
      </c>
      <c r="C18" s="19">
        <f>'VISA Model'!B29</f>
        <v>8.2899999999999991</v>
      </c>
      <c r="D18" s="19">
        <f>'VISA Model'!C29</f>
        <v>9.74</v>
      </c>
      <c r="E18" s="19">
        <f>'VISA Model'!D29</f>
        <v>10.210000000000001</v>
      </c>
      <c r="F18" s="19">
        <f>'VISA Model'!E29</f>
        <v>11.749519942749265</v>
      </c>
      <c r="G18" s="19">
        <f>'VISA Model'!F29</f>
        <v>13.175333382237316</v>
      </c>
      <c r="H18" s="19">
        <f>'VISA Model'!G29</f>
        <v>15.017280146639134</v>
      </c>
    </row>
    <row r="19" spans="1:20" x14ac:dyDescent="0.25">
      <c r="B19" s="4" t="s">
        <v>110</v>
      </c>
      <c r="C19" s="19">
        <f>'VISA Model'!B30</f>
        <v>8.2799999999999994</v>
      </c>
      <c r="D19" s="19">
        <f>'VISA Model'!C30</f>
        <v>9.73</v>
      </c>
      <c r="E19" s="19">
        <f>'VISA Model'!D30</f>
        <v>10.199999999999999</v>
      </c>
      <c r="F19" s="19">
        <f>'VISA Model'!E30</f>
        <v>11.692350247515108</v>
      </c>
      <c r="G19" s="19">
        <f>'VISA Model'!F30</f>
        <v>13.155039197229192</v>
      </c>
      <c r="H19" s="19">
        <f>'VISA Model'!G30</f>
        <v>14.999507541620327</v>
      </c>
    </row>
    <row r="20" spans="1:20" x14ac:dyDescent="0.25">
      <c r="B20" s="4"/>
      <c r="C20" s="4"/>
      <c r="D20" s="4"/>
      <c r="E20" s="4"/>
      <c r="F20" s="4"/>
      <c r="G20" s="4"/>
      <c r="H20" s="4"/>
    </row>
    <row r="21" spans="1:20" x14ac:dyDescent="0.25">
      <c r="B21" s="11" t="s">
        <v>107</v>
      </c>
      <c r="C21" s="13" t="s">
        <v>0</v>
      </c>
      <c r="D21" s="13" t="s">
        <v>1</v>
      </c>
      <c r="E21" s="13" t="s">
        <v>2</v>
      </c>
      <c r="F21" s="13" t="s">
        <v>3</v>
      </c>
      <c r="G21" s="13" t="s">
        <v>4</v>
      </c>
      <c r="H21" s="13" t="s">
        <v>294</v>
      </c>
    </row>
    <row r="22" spans="1:20" x14ac:dyDescent="0.25">
      <c r="B22" s="10" t="s">
        <v>111</v>
      </c>
      <c r="C22" s="11"/>
      <c r="D22" s="11"/>
      <c r="E22" s="11"/>
      <c r="F22" s="11"/>
      <c r="G22" s="11"/>
      <c r="H22" s="11"/>
    </row>
    <row r="23" spans="1:20" x14ac:dyDescent="0.25">
      <c r="B23" s="4" t="s">
        <v>112</v>
      </c>
      <c r="C23" s="14">
        <f>'VISA Model'!B100+'VISA Model'!B97-'VISA Model'!B73-'VISA Model'!B74</f>
        <v>2413</v>
      </c>
      <c r="D23" s="14">
        <f>'VISA Model'!C100+'VISA Model'!C97-'VISA Model'!C73-'VISA Model'!C74</f>
        <v>5772</v>
      </c>
      <c r="E23" s="14">
        <f>'VISA Model'!D100+'VISA Model'!D97-'VISA Model'!D73-'VISA Model'!D74</f>
        <v>5017</v>
      </c>
      <c r="F23" s="14">
        <f>'VISA Model'!E100+'VISA Model'!E97-'VISA Model'!E73-'VISA Model'!E74</f>
        <v>3957.8999999999992</v>
      </c>
      <c r="G23" s="14">
        <f>'VISA Model'!F100+'VISA Model'!F97-'VISA Model'!F73-'VISA Model'!F74</f>
        <v>2026.5910000000022</v>
      </c>
      <c r="H23" s="14">
        <f>'VISA Model'!G100+'VISA Model'!G97-'VISA Model'!G73-'VISA Model'!G74</f>
        <v>1142.3678000000009</v>
      </c>
    </row>
    <row r="24" spans="1:20" x14ac:dyDescent="0.25">
      <c r="B24" s="4" t="s">
        <v>113</v>
      </c>
      <c r="C24" s="14">
        <f>-'VISA Model'!B156</f>
        <v>1059</v>
      </c>
      <c r="D24" s="14">
        <f>-'VISA Model'!C156</f>
        <v>1257</v>
      </c>
      <c r="E24" s="14">
        <f>-'VISA Model'!D156</f>
        <v>1482</v>
      </c>
      <c r="F24" s="14">
        <f>-'VISA Model'!E156</f>
        <v>1714.297094521354</v>
      </c>
      <c r="G24" s="14">
        <f>-'VISA Model'!F156</f>
        <v>1979.0015716728601</v>
      </c>
      <c r="H24" s="14">
        <f>-'VISA Model'!G156</f>
        <v>2299.528169373722</v>
      </c>
    </row>
    <row r="25" spans="1:20" x14ac:dyDescent="0.25">
      <c r="B25" s="4" t="s">
        <v>115</v>
      </c>
      <c r="C25" s="14">
        <f>'VISA Model'!B154+'VISA Model'!B156</f>
        <v>19696</v>
      </c>
      <c r="D25" s="14">
        <f>'VISA Model'!C154+'VISA Model'!C156</f>
        <v>18693</v>
      </c>
      <c r="E25" s="14">
        <f>'VISA Model'!D154+'VISA Model'!D156</f>
        <v>21577</v>
      </c>
      <c r="F25" s="14">
        <f>'VISA Model'!E154+'VISA Model'!E156</f>
        <v>21328.888551085136</v>
      </c>
      <c r="G25" s="14">
        <f>'VISA Model'!F154+'VISA Model'!F156</f>
        <v>19729.088278037787</v>
      </c>
      <c r="H25" s="14">
        <f>'VISA Model'!G154+'VISA Model'!G156</f>
        <v>20017.53572799527</v>
      </c>
    </row>
    <row r="26" spans="1:20" x14ac:dyDescent="0.25">
      <c r="B26" s="4"/>
      <c r="C26" s="4"/>
      <c r="D26" s="4"/>
      <c r="E26" s="4"/>
      <c r="F26" s="4"/>
      <c r="G26" s="4"/>
      <c r="H26" s="4"/>
    </row>
    <row r="27" spans="1:20" x14ac:dyDescent="0.25">
      <c r="B27" s="11" t="s">
        <v>107</v>
      </c>
      <c r="C27" s="13" t="s">
        <v>0</v>
      </c>
      <c r="D27" s="13" t="s">
        <v>1</v>
      </c>
      <c r="E27" s="13" t="s">
        <v>2</v>
      </c>
      <c r="F27" s="13" t="s">
        <v>3</v>
      </c>
      <c r="G27" s="13" t="s">
        <v>4</v>
      </c>
      <c r="H27" s="13" t="s">
        <v>294</v>
      </c>
    </row>
    <row r="28" spans="1:20" x14ac:dyDescent="0.25">
      <c r="B28" s="10" t="s">
        <v>116</v>
      </c>
      <c r="C28" s="11"/>
      <c r="D28" s="11"/>
      <c r="E28" s="11"/>
      <c r="F28" s="11"/>
      <c r="G28" s="11"/>
      <c r="H28" s="11"/>
    </row>
    <row r="29" spans="1:20" x14ac:dyDescent="0.25">
      <c r="B29" s="4" t="s">
        <v>117</v>
      </c>
      <c r="C29" s="23">
        <f>C9</f>
        <v>0.64312620586163594</v>
      </c>
      <c r="D29" s="23">
        <f t="shared" ref="D29:G29" si="1">D9</f>
        <v>0.65676668707899566</v>
      </c>
      <c r="E29" s="23">
        <f t="shared" si="1"/>
        <v>0.59984999999999999</v>
      </c>
      <c r="F29" s="23">
        <f t="shared" si="1"/>
        <v>0.60525743243243246</v>
      </c>
      <c r="G29" s="23">
        <f t="shared" si="1"/>
        <v>0.6088460012285013</v>
      </c>
      <c r="H29" s="23">
        <f t="shared" ref="H29" si="2">H9</f>
        <v>0.61589382102618595</v>
      </c>
    </row>
    <row r="30" spans="1:20" x14ac:dyDescent="0.25">
      <c r="B30" s="4" t="s">
        <v>118</v>
      </c>
      <c r="C30" s="22">
        <f>C16/C6</f>
        <v>0.52898661684990655</v>
      </c>
      <c r="D30" s="22">
        <f t="shared" ref="D30:G30" si="3">D16/D6</f>
        <v>0.54954628959527918</v>
      </c>
      <c r="E30" s="22">
        <f t="shared" si="3"/>
        <v>0.50144999999999995</v>
      </c>
      <c r="F30" s="22">
        <f t="shared" si="3"/>
        <v>0.5067014283783785</v>
      </c>
      <c r="G30" s="22">
        <f t="shared" si="3"/>
        <v>0.51035033822583953</v>
      </c>
      <c r="H30" s="22">
        <f t="shared" ref="H30" si="4">H16/H6</f>
        <v>0.51611266758988728</v>
      </c>
    </row>
    <row r="31" spans="1:20" x14ac:dyDescent="0.25">
      <c r="B31" s="4" t="s">
        <v>119</v>
      </c>
      <c r="C31" s="22">
        <f>C25/C6</f>
        <v>0.60319113098337063</v>
      </c>
      <c r="D31" s="22">
        <f t="shared" ref="D31:G31" si="5">D25/D6</f>
        <v>0.52031954573289541</v>
      </c>
      <c r="E31" s="22">
        <f t="shared" si="5"/>
        <v>0.53942500000000004</v>
      </c>
      <c r="F31" s="22">
        <f t="shared" si="5"/>
        <v>0.48038037277218765</v>
      </c>
      <c r="G31" s="22">
        <f t="shared" si="5"/>
        <v>0.40395348644631002</v>
      </c>
      <c r="H31" s="22">
        <f t="shared" ref="H31" si="6">H25/H6</f>
        <v>0.36924275125239359</v>
      </c>
    </row>
    <row r="32" spans="1:20" x14ac:dyDescent="0.25">
      <c r="B32" s="4" t="s">
        <v>120</v>
      </c>
      <c r="C32" s="22">
        <f>C25/C16</f>
        <v>1.1402767324726453</v>
      </c>
      <c r="D32" s="22">
        <f t="shared" ref="D32:G32" si="7">D25/D16</f>
        <v>0.94681659322291445</v>
      </c>
      <c r="E32" s="22">
        <f t="shared" si="7"/>
        <v>1.0757303818925117</v>
      </c>
      <c r="F32" s="22">
        <f t="shared" si="7"/>
        <v>0.94805411208247947</v>
      </c>
      <c r="G32" s="22">
        <f t="shared" si="7"/>
        <v>0.79152193344398858</v>
      </c>
      <c r="H32" s="22">
        <f t="shared" ref="H32" si="8">H25/H16</f>
        <v>0.71543051438102023</v>
      </c>
    </row>
    <row r="33" spans="2:8" x14ac:dyDescent="0.25">
      <c r="B33" s="4" t="s">
        <v>121</v>
      </c>
      <c r="C33" s="22">
        <f>C16/'VISA Model'!B104</f>
        <v>0.44595048150156197</v>
      </c>
      <c r="D33" s="22">
        <f>D16/'VISA Model'!C104</f>
        <v>0.50445869637427498</v>
      </c>
      <c r="E33" s="22">
        <f>E16/'VISA Model'!D104</f>
        <v>0.52910918251602523</v>
      </c>
      <c r="F33" s="22">
        <f>F16/'VISA Model'!E104</f>
        <v>0.53544653071141424</v>
      </c>
      <c r="G33" s="22">
        <f>G16/'VISA Model'!F104</f>
        <v>0.54461171399678099</v>
      </c>
      <c r="H33" s="22">
        <f>H16/'VISA Model'!G104</f>
        <v>0.57103650356853575</v>
      </c>
    </row>
    <row r="34" spans="2:8" x14ac:dyDescent="0.25">
      <c r="B34" s="4" t="s">
        <v>128</v>
      </c>
      <c r="C34" s="22">
        <f>C23/'VISA Model'!B104</f>
        <v>6.2298298608421759E-2</v>
      </c>
      <c r="D34" s="22">
        <f>D23/'VISA Model'!C104</f>
        <v>0.14748192247745101</v>
      </c>
      <c r="E34" s="22">
        <f>E23/'VISA Model'!D104</f>
        <v>0.13234324302935979</v>
      </c>
      <c r="F34" s="22">
        <f>F23/'VISA Model'!E104</f>
        <v>9.4198899157084279E-2</v>
      </c>
      <c r="G34" s="22">
        <f>G23/'VISA Model'!F104</f>
        <v>4.4280144121475164E-2</v>
      </c>
      <c r="H34" s="22">
        <f>H23/'VISA Model'!G104</f>
        <v>2.3314530375382333E-2</v>
      </c>
    </row>
    <row r="35" spans="2:8" x14ac:dyDescent="0.25">
      <c r="B35" s="4" t="s">
        <v>126</v>
      </c>
      <c r="C35" s="20">
        <f>Snapshot!$C$4/C19</f>
        <v>38.935990338164252</v>
      </c>
      <c r="D35" s="20">
        <f>Snapshot!$C$4/D19</f>
        <v>33.13360739979445</v>
      </c>
      <c r="E35" s="20">
        <f>Snapshot!$C$4/E19</f>
        <v>31.606862745098042</v>
      </c>
      <c r="F35" s="20">
        <f>Snapshot!$C$4/F19</f>
        <v>27.57272859393818</v>
      </c>
      <c r="G35" s="20">
        <f>Snapshot!$C$4/G19</f>
        <v>24.50695852490535</v>
      </c>
      <c r="H35" s="20">
        <f>Snapshot!$C$4/H19</f>
        <v>21.493372306086638</v>
      </c>
    </row>
    <row r="36" spans="2:8" x14ac:dyDescent="0.25">
      <c r="B36" s="4" t="s">
        <v>127</v>
      </c>
      <c r="C36" s="20">
        <f>Snapshot!$C$4/Consolidated!C41</f>
        <v>17.354275424057004</v>
      </c>
      <c r="D36" s="20">
        <f>Snapshot!$C$4/Consolidated!D41</f>
        <v>16.713833712343817</v>
      </c>
      <c r="E36" s="20">
        <f>Snapshot!$C$4/Consolidated!E41</f>
        <v>16.719479279326809</v>
      </c>
      <c r="F36" s="20">
        <f>Snapshot!$C$4/Consolidated!F41</f>
        <v>14.763721867871608</v>
      </c>
      <c r="G36" s="20">
        <f>Snapshot!$C$4/Consolidated!G41</f>
        <v>13.346776687096728</v>
      </c>
      <c r="H36" s="20">
        <f>Snapshot!$C$4/Consolidated!H41</f>
        <v>12.273500171564509</v>
      </c>
    </row>
    <row r="37" spans="2:8" x14ac:dyDescent="0.25">
      <c r="B37" s="4"/>
      <c r="C37" s="4"/>
      <c r="D37" s="4"/>
      <c r="E37" s="4"/>
      <c r="F37" s="4"/>
      <c r="G37" s="4"/>
      <c r="H37" s="4"/>
    </row>
    <row r="38" spans="2:8" x14ac:dyDescent="0.25">
      <c r="B38" s="10" t="s">
        <v>122</v>
      </c>
      <c r="C38" s="13" t="s">
        <v>0</v>
      </c>
      <c r="D38" s="13" t="s">
        <v>1</v>
      </c>
      <c r="E38" s="13" t="s">
        <v>2</v>
      </c>
      <c r="F38" s="13" t="s">
        <v>3</v>
      </c>
      <c r="G38" s="13" t="s">
        <v>4</v>
      </c>
      <c r="H38" s="13" t="s">
        <v>294</v>
      </c>
    </row>
    <row r="39" spans="2:8" x14ac:dyDescent="0.25">
      <c r="B39" s="4" t="s">
        <v>123</v>
      </c>
      <c r="C39" s="19">
        <f>C25/'VISA Model'!B33</f>
        <v>9.4465227817745809</v>
      </c>
      <c r="D39" s="19">
        <f>D25/'VISA Model'!C33</f>
        <v>9.2129127649088218</v>
      </c>
      <c r="E39" s="19">
        <f>E25/'VISA Model'!D33</f>
        <v>10.975076297049847</v>
      </c>
      <c r="F39" s="19">
        <f>F25/'VISA Model'!E33</f>
        <v>11.084980732065295</v>
      </c>
      <c r="G39" s="19">
        <f>G25/'VISA Model'!F33</f>
        <v>10.412502059922305</v>
      </c>
      <c r="H39" s="19">
        <f>H25/'VISA Model'!G33</f>
        <v>10.731105395963423</v>
      </c>
    </row>
    <row r="40" spans="2:8" x14ac:dyDescent="0.25">
      <c r="B40" s="4" t="s">
        <v>283</v>
      </c>
      <c r="C40" s="19">
        <f>C19</f>
        <v>8.2799999999999994</v>
      </c>
      <c r="D40" s="19">
        <f t="shared" ref="D40:G40" si="9">D19</f>
        <v>9.73</v>
      </c>
      <c r="E40" s="19">
        <f t="shared" si="9"/>
        <v>10.199999999999999</v>
      </c>
      <c r="F40" s="19">
        <f t="shared" si="9"/>
        <v>11.692350247515108</v>
      </c>
      <c r="G40" s="19">
        <f t="shared" si="9"/>
        <v>13.155039197229192</v>
      </c>
      <c r="H40" s="19">
        <f t="shared" ref="H40" si="10">H19</f>
        <v>14.999507541620327</v>
      </c>
    </row>
    <row r="41" spans="2:8" x14ac:dyDescent="0.25">
      <c r="B41" s="4" t="s">
        <v>124</v>
      </c>
      <c r="C41" s="20">
        <f>'VISA Model'!B104/'VISA Model'!B33</f>
        <v>18.576978417266186</v>
      </c>
      <c r="D41" s="20">
        <f>'VISA Model'!C104/'VISA Model'!C33</f>
        <v>19.288812222769838</v>
      </c>
      <c r="E41" s="20">
        <f>'VISA Model'!D104/'VISA Model'!D33</f>
        <v>19.282299084435401</v>
      </c>
      <c r="F41" s="20">
        <f>'VISA Model'!E104/'VISA Model'!E33</f>
        <v>21.836634615934884</v>
      </c>
      <c r="G41" s="20">
        <f>'VISA Model'!F104/'VISA Model'!F33</f>
        <v>24.154895789308977</v>
      </c>
      <c r="H41" s="20">
        <f>'VISA Model'!G104/'VISA Model'!G33</f>
        <v>26.26716058935817</v>
      </c>
    </row>
    <row r="42" spans="2:8" x14ac:dyDescent="0.25">
      <c r="B42" s="4" t="s">
        <v>125</v>
      </c>
      <c r="C42" s="4">
        <v>1.87</v>
      </c>
      <c r="D42" s="4">
        <v>2.08</v>
      </c>
      <c r="E42" s="4">
        <v>2.44</v>
      </c>
      <c r="F42" s="19">
        <v>2.5</v>
      </c>
      <c r="G42" s="19">
        <v>2.5</v>
      </c>
      <c r="H42" s="19">
        <v>2.5</v>
      </c>
    </row>
    <row r="43" spans="2:8" x14ac:dyDescent="0.25">
      <c r="B43" s="4"/>
      <c r="C43" s="4"/>
      <c r="D43" s="4"/>
      <c r="E43" s="4"/>
      <c r="F43" s="4"/>
      <c r="G43" s="4"/>
      <c r="H43" s="4"/>
    </row>
    <row r="44" spans="2:8" x14ac:dyDescent="0.25">
      <c r="B44" s="4"/>
      <c r="C44" s="4"/>
      <c r="D44" s="4"/>
      <c r="E44" s="4"/>
      <c r="F44" s="4"/>
      <c r="G44" s="4"/>
      <c r="H44" s="4"/>
    </row>
    <row r="45" spans="2:8" x14ac:dyDescent="0.25">
      <c r="B45" s="4"/>
      <c r="C45" s="4"/>
      <c r="D45" s="4"/>
      <c r="E45" s="4"/>
      <c r="F45" s="4"/>
      <c r="G45" s="4"/>
      <c r="H45" s="4"/>
    </row>
    <row r="46" spans="2:8" x14ac:dyDescent="0.25">
      <c r="B46" s="4"/>
      <c r="C46" s="4"/>
      <c r="D46" s="4"/>
      <c r="E46" s="4"/>
      <c r="F46" s="4"/>
      <c r="G46" s="4"/>
      <c r="H46" s="4"/>
    </row>
    <row r="47" spans="2:8" x14ac:dyDescent="0.25">
      <c r="B47" s="4"/>
      <c r="C47" s="4"/>
      <c r="D47" s="4"/>
      <c r="E47" s="4"/>
      <c r="F47" s="4"/>
      <c r="G47" s="4"/>
      <c r="H47" s="4"/>
    </row>
    <row r="48" spans="2:8" x14ac:dyDescent="0.25">
      <c r="B48" s="4"/>
      <c r="C48" s="4"/>
      <c r="D48" s="4"/>
      <c r="E48" s="4"/>
      <c r="F48" s="4"/>
      <c r="G48" s="4"/>
      <c r="H48" s="4"/>
    </row>
    <row r="49" spans="2:8" x14ac:dyDescent="0.25">
      <c r="B49" s="4"/>
      <c r="C49" s="4"/>
      <c r="D49" s="4"/>
      <c r="E49" s="4"/>
      <c r="F49" s="4"/>
      <c r="G49" s="4"/>
      <c r="H49" s="4"/>
    </row>
    <row r="50" spans="2:8" x14ac:dyDescent="0.25">
      <c r="B50" s="4"/>
      <c r="C50" s="4"/>
      <c r="D50" s="4"/>
      <c r="E50" s="4"/>
      <c r="F50" s="4"/>
      <c r="G50" s="4"/>
      <c r="H50" s="4"/>
    </row>
    <row r="51" spans="2:8" x14ac:dyDescent="0.25">
      <c r="B51" s="4"/>
      <c r="C51" s="4"/>
      <c r="D51" s="4"/>
      <c r="E51" s="4"/>
      <c r="F51" s="4"/>
      <c r="G51" s="4"/>
      <c r="H51" s="4"/>
    </row>
    <row r="52" spans="2:8" x14ac:dyDescent="0.25">
      <c r="B52" s="4"/>
      <c r="C52" s="4"/>
      <c r="D52" s="4"/>
      <c r="E52" s="4"/>
      <c r="F52" s="4"/>
      <c r="G52" s="4"/>
      <c r="H52" s="4"/>
    </row>
    <row r="53" spans="2:8" x14ac:dyDescent="0.25">
      <c r="B53" s="4"/>
      <c r="C53" s="4"/>
      <c r="D53" s="4"/>
      <c r="E53" s="4"/>
      <c r="F53" s="4"/>
      <c r="G53" s="4"/>
      <c r="H53" s="4"/>
    </row>
    <row r="54" spans="2:8" x14ac:dyDescent="0.25">
      <c r="B54" s="4"/>
      <c r="C54" s="4"/>
      <c r="D54" s="4"/>
      <c r="E54" s="4"/>
      <c r="F54" s="4"/>
      <c r="G54" s="4"/>
      <c r="H54" s="4"/>
    </row>
  </sheetData>
  <sheetProtection algorithmName="SHA-512" hashValue="bOiK+XhyfKuR1sy8gyCdUn0gGWpBUXUNJSCk6jWDeI3fU7bB9zTpuFBpRMqhZXpcTouPscvJcs5B+5RLgLZBvQ==" saltValue="Obj3KxGEuynMg6DWW/tBoA==" spinCount="100000" sheet="1" objects="1" scenarios="1" selectLockedCells="1" selectUnlockedCells="1"/>
  <hyperlinks>
    <hyperlink ref="K1" location="Snapshot!A1" display="Home" xr:uid="{51DC4C3B-23CE-4E21-A3DB-5CED0E5E1A02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6CFC-4BE5-4210-99AB-FBAF45698287}">
  <dimension ref="A1:L252"/>
  <sheetViews>
    <sheetView workbookViewId="0">
      <selection activeCell="K19" sqref="K19"/>
    </sheetView>
  </sheetViews>
  <sheetFormatPr defaultRowHeight="14.4" x14ac:dyDescent="0.3"/>
  <cols>
    <col min="1" max="1" width="10.5546875" style="24" bestFit="1" customWidth="1"/>
    <col min="2" max="3" width="11.109375" style="24" customWidth="1"/>
    <col min="4" max="4" width="10.5546875" style="24" bestFit="1" customWidth="1"/>
    <col min="5" max="7" width="8.88671875" style="24"/>
    <col min="8" max="8" width="12.44140625" style="24" bestFit="1" customWidth="1"/>
    <col min="9" max="9" width="14.6640625" style="24" bestFit="1" customWidth="1"/>
    <col min="10" max="10" width="8.88671875" style="24"/>
    <col min="11" max="11" width="20.21875" style="24" bestFit="1" customWidth="1"/>
    <col min="12" max="16384" width="8.88671875" style="24"/>
  </cols>
  <sheetData>
    <row r="1" spans="1:12" x14ac:dyDescent="0.3">
      <c r="B1" s="25" t="s">
        <v>130</v>
      </c>
      <c r="C1" s="25" t="s">
        <v>131</v>
      </c>
      <c r="E1" s="25" t="s">
        <v>130</v>
      </c>
      <c r="F1" s="25" t="s">
        <v>131</v>
      </c>
      <c r="G1" s="82" t="s">
        <v>438</v>
      </c>
      <c r="H1" s="83" t="s">
        <v>447</v>
      </c>
      <c r="I1" s="83" t="s">
        <v>448</v>
      </c>
      <c r="K1" s="83" t="s">
        <v>446</v>
      </c>
    </row>
    <row r="2" spans="1:12" x14ac:dyDescent="0.3">
      <c r="A2" s="24" t="s">
        <v>132</v>
      </c>
      <c r="B2" s="62">
        <v>7403.05</v>
      </c>
      <c r="C2" s="24">
        <v>332.64</v>
      </c>
      <c r="D2" s="24" t="s">
        <v>132</v>
      </c>
      <c r="E2" s="26">
        <f t="shared" ref="E2:E65" si="0">$E$252*B2/$B$252</f>
        <v>124.13726608089073</v>
      </c>
      <c r="F2" s="26">
        <f t="shared" ref="F2:F65" si="1">$F$252*C2/$C$252</f>
        <v>90.415873878771407</v>
      </c>
      <c r="H2" s="67">
        <f>C2/C3-1</f>
        <v>2.1151189562548023E-2</v>
      </c>
      <c r="I2" s="67">
        <f t="shared" ref="I2:I42" si="2">B2/B3-1</f>
        <v>-7.3564149287974612E-4</v>
      </c>
      <c r="K2" s="87" t="s">
        <v>449</v>
      </c>
    </row>
    <row r="3" spans="1:12" x14ac:dyDescent="0.3">
      <c r="A3" s="24" t="s">
        <v>133</v>
      </c>
      <c r="B3" s="62">
        <v>7408.5</v>
      </c>
      <c r="C3" s="24">
        <v>325.75</v>
      </c>
      <c r="D3" s="24" t="s">
        <v>133</v>
      </c>
      <c r="E3" s="26">
        <f t="shared" si="0"/>
        <v>124.22865383325507</v>
      </c>
      <c r="F3" s="26">
        <f t="shared" si="1"/>
        <v>88.543082359336779</v>
      </c>
      <c r="H3" s="67">
        <f t="shared" ref="H3:H66" si="3">C3/C4-1</f>
        <v>1.0014882797966029E-2</v>
      </c>
      <c r="I3" s="67">
        <f t="shared" si="2"/>
        <v>-1.236328926950736E-2</v>
      </c>
      <c r="K3" s="83" t="s">
        <v>450</v>
      </c>
      <c r="L3" s="86">
        <f xml:space="preserve"> _xlfn.COVARIANCE.S(H2:H251,I2:I251)/_xlfn.VAR.S(I2:I251)</f>
        <v>0.76431016007032704</v>
      </c>
    </row>
    <row r="4" spans="1:12" x14ac:dyDescent="0.3">
      <c r="A4" s="24" t="s">
        <v>134</v>
      </c>
      <c r="B4" s="62">
        <v>7501.24</v>
      </c>
      <c r="C4" s="24">
        <v>322.52</v>
      </c>
      <c r="D4" s="24" t="s">
        <v>134</v>
      </c>
      <c r="E4" s="26">
        <f t="shared" si="0"/>
        <v>125.78375477899255</v>
      </c>
      <c r="F4" s="26">
        <f t="shared" si="1"/>
        <v>87.665126393041589</v>
      </c>
      <c r="H4" s="67">
        <f t="shared" si="3"/>
        <v>6.8995660453934349E-3</v>
      </c>
      <c r="I4" s="67">
        <f t="shared" si="2"/>
        <v>7.6555730933269839E-3</v>
      </c>
    </row>
    <row r="5" spans="1:12" x14ac:dyDescent="0.3">
      <c r="A5" s="24" t="s">
        <v>135</v>
      </c>
      <c r="B5" s="62">
        <v>7444.25</v>
      </c>
      <c r="C5" s="24">
        <v>320.31</v>
      </c>
      <c r="D5" s="24" t="s">
        <v>135</v>
      </c>
      <c r="E5" s="26">
        <f t="shared" si="0"/>
        <v>124.82812395197531</v>
      </c>
      <c r="F5" s="26">
        <f t="shared" si="1"/>
        <v>87.064419679260681</v>
      </c>
      <c r="H5" s="67">
        <f t="shared" si="3"/>
        <v>-1.8718215795600845E-2</v>
      </c>
      <c r="I5" s="67">
        <f t="shared" si="2"/>
        <v>5.8492411795225685E-3</v>
      </c>
    </row>
    <row r="6" spans="1:12" x14ac:dyDescent="0.3">
      <c r="A6" s="63">
        <v>46361</v>
      </c>
      <c r="B6" s="62">
        <v>7400.96</v>
      </c>
      <c r="C6" s="24">
        <v>326.42</v>
      </c>
      <c r="D6" s="63">
        <v>46361</v>
      </c>
      <c r="E6" s="26">
        <f t="shared" si="0"/>
        <v>124.10222013548862</v>
      </c>
      <c r="F6" s="26">
        <f t="shared" si="1"/>
        <v>88.725197064419689</v>
      </c>
      <c r="H6" s="67">
        <f t="shared" si="3"/>
        <v>7.9046501574755457E-3</v>
      </c>
      <c r="I6" s="67">
        <f t="shared" si="2"/>
        <v>-1.6026246350926421E-3</v>
      </c>
    </row>
    <row r="7" spans="1:12" x14ac:dyDescent="0.3">
      <c r="A7" s="63">
        <v>46331</v>
      </c>
      <c r="B7" s="62">
        <v>7412.84</v>
      </c>
      <c r="C7" s="24">
        <v>323.86</v>
      </c>
      <c r="D7" s="63">
        <v>46331</v>
      </c>
      <c r="E7" s="26">
        <f t="shared" si="0"/>
        <v>124.30142866724796</v>
      </c>
      <c r="F7" s="26">
        <f t="shared" si="1"/>
        <v>88.029355803207395</v>
      </c>
      <c r="H7" s="67">
        <f t="shared" si="3"/>
        <v>1.5903886571096981E-2</v>
      </c>
      <c r="I7" s="67">
        <f t="shared" si="2"/>
        <v>1.8800015677942206E-3</v>
      </c>
    </row>
    <row r="8" spans="1:12" x14ac:dyDescent="0.3">
      <c r="A8" s="63">
        <v>46239</v>
      </c>
      <c r="B8" s="62">
        <v>7398.93</v>
      </c>
      <c r="C8" s="24">
        <v>318.79000000000002</v>
      </c>
      <c r="D8" s="63">
        <v>46239</v>
      </c>
      <c r="E8" s="26">
        <f t="shared" si="0"/>
        <v>124.06818029378228</v>
      </c>
      <c r="F8" s="26">
        <f t="shared" si="1"/>
        <v>86.651263930415894</v>
      </c>
      <c r="H8" s="67">
        <f t="shared" si="3"/>
        <v>-7.7502490039839111E-3</v>
      </c>
      <c r="I8" s="67">
        <f t="shared" si="2"/>
        <v>8.4256607846959763E-3</v>
      </c>
    </row>
    <row r="9" spans="1:12" x14ac:dyDescent="0.3">
      <c r="A9" s="63">
        <v>46208</v>
      </c>
      <c r="B9" s="62">
        <v>7337.11</v>
      </c>
      <c r="C9" s="24">
        <v>321.27999999999997</v>
      </c>
      <c r="D9" s="63">
        <v>46208</v>
      </c>
      <c r="E9" s="26">
        <f t="shared" si="0"/>
        <v>123.03155811925681</v>
      </c>
      <c r="F9" s="26">
        <f t="shared" si="1"/>
        <v>87.328078282141888</v>
      </c>
      <c r="H9" s="67">
        <f t="shared" si="3"/>
        <v>7.7791718946047528E-3</v>
      </c>
      <c r="I9" s="67">
        <f t="shared" si="2"/>
        <v>-3.8030609141467275E-3</v>
      </c>
    </row>
    <row r="10" spans="1:12" x14ac:dyDescent="0.3">
      <c r="A10" s="63">
        <v>46178</v>
      </c>
      <c r="B10" s="62">
        <v>7365.12</v>
      </c>
      <c r="C10" s="24">
        <v>318.8</v>
      </c>
      <c r="D10" s="63">
        <v>46178</v>
      </c>
      <c r="E10" s="26">
        <f t="shared" si="0"/>
        <v>123.50124086122476</v>
      </c>
      <c r="F10" s="26">
        <f t="shared" si="1"/>
        <v>86.653982060342486</v>
      </c>
      <c r="H10" s="67">
        <f t="shared" si="3"/>
        <v>-1.0030121417259119E-2</v>
      </c>
      <c r="I10" s="67">
        <f t="shared" si="2"/>
        <v>1.4588344202269621E-2</v>
      </c>
    </row>
    <row r="11" spans="1:12" x14ac:dyDescent="0.3">
      <c r="A11" s="63">
        <v>46147</v>
      </c>
      <c r="B11" s="62">
        <v>7259.22</v>
      </c>
      <c r="C11" s="24">
        <v>322.02999999999997</v>
      </c>
      <c r="D11" s="63">
        <v>46147</v>
      </c>
      <c r="E11" s="26">
        <f t="shared" si="0"/>
        <v>121.72546783821852</v>
      </c>
      <c r="F11" s="26">
        <f t="shared" si="1"/>
        <v>87.531938026637675</v>
      </c>
      <c r="H11" s="67">
        <f t="shared" si="3"/>
        <v>-1.4746825761052573E-2</v>
      </c>
      <c r="I11" s="67">
        <f t="shared" si="2"/>
        <v>8.1199875013020506E-3</v>
      </c>
    </row>
    <row r="12" spans="1:12" x14ac:dyDescent="0.3">
      <c r="A12" s="63">
        <v>46117</v>
      </c>
      <c r="B12" s="62">
        <v>7200.75</v>
      </c>
      <c r="C12" s="24">
        <v>326.85000000000002</v>
      </c>
      <c r="D12" s="63">
        <v>46117</v>
      </c>
      <c r="E12" s="26">
        <f t="shared" si="0"/>
        <v>120.74501978670601</v>
      </c>
      <c r="F12" s="26">
        <f t="shared" si="1"/>
        <v>88.842076651263952</v>
      </c>
      <c r="H12" s="67">
        <f t="shared" si="3"/>
        <v>-3.5972319604912206E-3</v>
      </c>
      <c r="I12" s="67">
        <f t="shared" si="2"/>
        <v>-4.0621732419379164E-3</v>
      </c>
    </row>
    <row r="13" spans="1:12" x14ac:dyDescent="0.3">
      <c r="A13" s="63">
        <v>46027</v>
      </c>
      <c r="B13" s="62">
        <v>7230.12</v>
      </c>
      <c r="C13" s="24">
        <v>328.03</v>
      </c>
      <c r="D13" s="63">
        <v>46027</v>
      </c>
      <c r="E13" s="26">
        <f t="shared" si="0"/>
        <v>121.23750754577772</v>
      </c>
      <c r="F13" s="26">
        <f t="shared" si="1"/>
        <v>89.162815982603973</v>
      </c>
      <c r="H13" s="67">
        <f t="shared" si="3"/>
        <v>-5.4875090953189209E-3</v>
      </c>
      <c r="I13" s="67">
        <f t="shared" si="2"/>
        <v>2.9282800273546794E-3</v>
      </c>
    </row>
    <row r="14" spans="1:12" x14ac:dyDescent="0.3">
      <c r="A14" s="24" t="s">
        <v>136</v>
      </c>
      <c r="B14" s="62">
        <v>7209.01</v>
      </c>
      <c r="C14" s="24">
        <v>329.84</v>
      </c>
      <c r="D14" s="24" t="s">
        <v>136</v>
      </c>
      <c r="E14" s="26">
        <f t="shared" si="0"/>
        <v>120.88352672882151</v>
      </c>
      <c r="F14" s="26">
        <f t="shared" si="1"/>
        <v>89.654797499320466</v>
      </c>
      <c r="H14" s="67">
        <f t="shared" si="3"/>
        <v>-1.4991339664337411E-2</v>
      </c>
      <c r="I14" s="67">
        <f t="shared" si="2"/>
        <v>1.0238300436522074E-2</v>
      </c>
    </row>
    <row r="15" spans="1:12" x14ac:dyDescent="0.3">
      <c r="A15" s="24" t="s">
        <v>137</v>
      </c>
      <c r="B15" s="62">
        <v>7135.95</v>
      </c>
      <c r="C15" s="24">
        <v>334.86</v>
      </c>
      <c r="D15" s="24" t="s">
        <v>137</v>
      </c>
      <c r="E15" s="26">
        <f t="shared" si="0"/>
        <v>119.65842779529143</v>
      </c>
      <c r="F15" s="26">
        <f t="shared" si="1"/>
        <v>91.019298722478936</v>
      </c>
      <c r="H15" s="67">
        <f t="shared" si="3"/>
        <v>8.2638215324927211E-2</v>
      </c>
      <c r="I15" s="67">
        <f t="shared" si="2"/>
        <v>-3.9922676080017538E-4</v>
      </c>
    </row>
    <row r="16" spans="1:12" x14ac:dyDescent="0.3">
      <c r="A16" s="24" t="s">
        <v>138</v>
      </c>
      <c r="B16" s="62">
        <v>7138.8</v>
      </c>
      <c r="C16" s="24">
        <v>309.3</v>
      </c>
      <c r="D16" s="24" t="s">
        <v>138</v>
      </c>
      <c r="E16" s="26">
        <f t="shared" si="0"/>
        <v>119.70621772083976</v>
      </c>
      <c r="F16" s="26">
        <f t="shared" si="1"/>
        <v>84.071758630062519</v>
      </c>
      <c r="H16" s="67">
        <f t="shared" si="3"/>
        <v>-1.1303084127238794E-3</v>
      </c>
      <c r="I16" s="67">
        <f t="shared" si="2"/>
        <v>-4.8941232884158747E-3</v>
      </c>
    </row>
    <row r="17" spans="1:9" x14ac:dyDescent="0.3">
      <c r="A17" s="24" t="s">
        <v>139</v>
      </c>
      <c r="B17" s="62">
        <v>7173.91</v>
      </c>
      <c r="C17" s="24">
        <v>309.64999999999998</v>
      </c>
      <c r="D17" s="24" t="s">
        <v>139</v>
      </c>
      <c r="E17" s="26">
        <f t="shared" si="0"/>
        <v>120.29495606680528</v>
      </c>
      <c r="F17" s="26">
        <f t="shared" si="1"/>
        <v>84.166893177493876</v>
      </c>
      <c r="H17" s="67">
        <f t="shared" si="3"/>
        <v>7.4332622325634645E-4</v>
      </c>
      <c r="I17" s="67">
        <f t="shared" si="2"/>
        <v>1.2323658633259793E-3</v>
      </c>
    </row>
    <row r="18" spans="1:9" x14ac:dyDescent="0.3">
      <c r="A18" s="24" t="s">
        <v>140</v>
      </c>
      <c r="B18" s="62">
        <v>7165.08</v>
      </c>
      <c r="C18" s="24">
        <v>309.42</v>
      </c>
      <c r="D18" s="24" t="s">
        <v>140</v>
      </c>
      <c r="E18" s="26">
        <f t="shared" si="0"/>
        <v>120.14689113958011</v>
      </c>
      <c r="F18" s="26">
        <f t="shared" si="1"/>
        <v>84.104376189181849</v>
      </c>
      <c r="H18" s="67">
        <f t="shared" si="3"/>
        <v>1.7482517482518833E-3</v>
      </c>
      <c r="I18" s="67">
        <f t="shared" si="2"/>
        <v>7.9736649597659248E-3</v>
      </c>
    </row>
    <row r="19" spans="1:9" x14ac:dyDescent="0.3">
      <c r="A19" s="24" t="s">
        <v>141</v>
      </c>
      <c r="B19" s="62">
        <v>7108.4</v>
      </c>
      <c r="C19" s="24">
        <v>308.88</v>
      </c>
      <c r="D19" s="24" t="s">
        <v>141</v>
      </c>
      <c r="E19" s="26">
        <f t="shared" si="0"/>
        <v>119.19645851499094</v>
      </c>
      <c r="F19" s="26">
        <f t="shared" si="1"/>
        <v>83.957597173144876</v>
      </c>
      <c r="H19" s="67">
        <f t="shared" si="3"/>
        <v>-7.7419769346912526E-3</v>
      </c>
      <c r="I19" s="67">
        <f t="shared" si="2"/>
        <v>-4.1328682105381542E-3</v>
      </c>
    </row>
    <row r="20" spans="1:9" x14ac:dyDescent="0.3">
      <c r="A20" s="24" t="s">
        <v>142</v>
      </c>
      <c r="B20" s="62">
        <v>7137.9</v>
      </c>
      <c r="C20" s="24">
        <v>311.29000000000002</v>
      </c>
      <c r="D20" s="24" t="s">
        <v>142</v>
      </c>
      <c r="E20" s="26">
        <f t="shared" si="0"/>
        <v>119.69112616540345</v>
      </c>
      <c r="F20" s="26">
        <f t="shared" si="1"/>
        <v>84.612666485458021</v>
      </c>
      <c r="H20" s="67">
        <f t="shared" si="3"/>
        <v>4.3556817448540119E-3</v>
      </c>
      <c r="I20" s="67">
        <f t="shared" si="2"/>
        <v>1.0460064467632257E-2</v>
      </c>
    </row>
    <row r="21" spans="1:9" x14ac:dyDescent="0.3">
      <c r="A21" s="24" t="s">
        <v>143</v>
      </c>
      <c r="B21" s="62">
        <v>7064.01</v>
      </c>
      <c r="C21" s="24">
        <v>309.94</v>
      </c>
      <c r="D21" s="24" t="s">
        <v>143</v>
      </c>
      <c r="E21" s="26">
        <f t="shared" si="0"/>
        <v>118.45210946408208</v>
      </c>
      <c r="F21" s="26">
        <f t="shared" si="1"/>
        <v>84.245718945365596</v>
      </c>
      <c r="H21" s="67">
        <f t="shared" si="3"/>
        <v>-1.2741288144231366E-2</v>
      </c>
      <c r="I21" s="67">
        <f t="shared" si="2"/>
        <v>-6.3481658822305276E-3</v>
      </c>
    </row>
    <row r="22" spans="1:9" x14ac:dyDescent="0.3">
      <c r="A22" s="24" t="s">
        <v>144</v>
      </c>
      <c r="B22" s="62">
        <v>7109.14</v>
      </c>
      <c r="C22" s="24">
        <v>313.94</v>
      </c>
      <c r="D22" s="24" t="s">
        <v>144</v>
      </c>
      <c r="E22" s="26">
        <f t="shared" si="0"/>
        <v>119.20886712723858</v>
      </c>
      <c r="F22" s="26">
        <f t="shared" si="1"/>
        <v>85.332970916009785</v>
      </c>
      <c r="H22" s="67">
        <f t="shared" si="3"/>
        <v>-9.7154753643302616E-3</v>
      </c>
      <c r="I22" s="67">
        <f t="shared" si="2"/>
        <v>-2.3743836004749275E-3</v>
      </c>
    </row>
    <row r="23" spans="1:9" x14ac:dyDescent="0.3">
      <c r="A23" s="24" t="s">
        <v>145</v>
      </c>
      <c r="B23" s="62">
        <v>7126.06</v>
      </c>
      <c r="C23" s="24">
        <v>317.02</v>
      </c>
      <c r="D23" s="24" t="s">
        <v>145</v>
      </c>
      <c r="E23" s="26">
        <f t="shared" si="0"/>
        <v>119.49258836944126</v>
      </c>
      <c r="F23" s="26">
        <f t="shared" si="1"/>
        <v>86.170154933405826</v>
      </c>
      <c r="H23" s="67">
        <f t="shared" si="3"/>
        <v>6.0933037131067902E-3</v>
      </c>
      <c r="I23" s="67">
        <f t="shared" si="2"/>
        <v>1.2040424468278577E-2</v>
      </c>
    </row>
    <row r="24" spans="1:9" x14ac:dyDescent="0.3">
      <c r="A24" s="24" t="s">
        <v>146</v>
      </c>
      <c r="B24" s="62">
        <v>7041.28</v>
      </c>
      <c r="C24" s="24">
        <v>315.10000000000002</v>
      </c>
      <c r="D24" s="24" t="s">
        <v>146</v>
      </c>
      <c r="E24" s="26">
        <f t="shared" si="0"/>
        <v>118.07096384734052</v>
      </c>
      <c r="F24" s="26">
        <f t="shared" si="1"/>
        <v>85.648273987496623</v>
      </c>
      <c r="H24" s="67">
        <f t="shared" si="3"/>
        <v>-2.5640213984995386E-3</v>
      </c>
      <c r="I24" s="67">
        <f t="shared" si="2"/>
        <v>2.6100143102256723E-3</v>
      </c>
    </row>
    <row r="25" spans="1:9" x14ac:dyDescent="0.3">
      <c r="A25" s="24" t="s">
        <v>147</v>
      </c>
      <c r="B25" s="62">
        <v>7022.95</v>
      </c>
      <c r="C25" s="24">
        <v>315.91000000000003</v>
      </c>
      <c r="D25" s="24" t="s">
        <v>147</v>
      </c>
      <c r="E25" s="26">
        <f t="shared" si="0"/>
        <v>117.7635991682876</v>
      </c>
      <c r="F25" s="26">
        <f t="shared" si="1"/>
        <v>85.868442511552061</v>
      </c>
      <c r="H25" s="67">
        <f t="shared" si="3"/>
        <v>1.458072389761389E-2</v>
      </c>
      <c r="I25" s="67">
        <f t="shared" si="2"/>
        <v>7.9757383693725981E-3</v>
      </c>
    </row>
    <row r="26" spans="1:9" x14ac:dyDescent="0.3">
      <c r="A26" s="24" t="s">
        <v>148</v>
      </c>
      <c r="B26" s="62">
        <v>6967.38</v>
      </c>
      <c r="C26" s="24">
        <v>311.37</v>
      </c>
      <c r="D26" s="24" t="s">
        <v>148</v>
      </c>
      <c r="E26" s="26">
        <f t="shared" si="0"/>
        <v>116.83177946206989</v>
      </c>
      <c r="F26" s="26">
        <f t="shared" si="1"/>
        <v>84.634411524870899</v>
      </c>
      <c r="H26" s="67">
        <f t="shared" si="3"/>
        <v>6.3996897120139895E-3</v>
      </c>
      <c r="I26" s="67">
        <f t="shared" si="2"/>
        <v>1.1782917818722538E-2</v>
      </c>
    </row>
    <row r="27" spans="1:9" x14ac:dyDescent="0.3">
      <c r="A27" s="24" t="s">
        <v>149</v>
      </c>
      <c r="B27" s="62">
        <v>6886.24</v>
      </c>
      <c r="C27" s="24">
        <v>309.39</v>
      </c>
      <c r="D27" s="24" t="s">
        <v>149</v>
      </c>
      <c r="E27" s="26">
        <f t="shared" si="0"/>
        <v>115.47119189751156</v>
      </c>
      <c r="F27" s="26">
        <f t="shared" si="1"/>
        <v>84.096221799402016</v>
      </c>
      <c r="H27" s="67">
        <f t="shared" si="3"/>
        <v>1.6526481797870751E-2</v>
      </c>
      <c r="I27" s="67">
        <f t="shared" si="2"/>
        <v>1.0173260827151198E-2</v>
      </c>
    </row>
    <row r="28" spans="1:9" x14ac:dyDescent="0.3">
      <c r="A28" s="63">
        <v>46299</v>
      </c>
      <c r="B28" s="62">
        <v>6816.89</v>
      </c>
      <c r="C28" s="24">
        <v>304.36</v>
      </c>
      <c r="D28" s="63">
        <v>46299</v>
      </c>
      <c r="E28" s="26">
        <f t="shared" si="0"/>
        <v>114.30830370916895</v>
      </c>
      <c r="F28" s="26">
        <f t="shared" si="1"/>
        <v>82.72900244631694</v>
      </c>
      <c r="H28" s="67">
        <f t="shared" si="3"/>
        <v>-1.2747737519867686E-2</v>
      </c>
      <c r="I28" s="67">
        <f t="shared" si="2"/>
        <v>-1.138518255854426E-3</v>
      </c>
    </row>
    <row r="29" spans="1:9" x14ac:dyDescent="0.3">
      <c r="A29" s="63">
        <v>46269</v>
      </c>
      <c r="B29" s="62">
        <v>6824.66</v>
      </c>
      <c r="C29" s="24">
        <v>308.29000000000002</v>
      </c>
      <c r="D29" s="63">
        <v>46269</v>
      </c>
      <c r="E29" s="26">
        <f t="shared" si="0"/>
        <v>114.43859413776913</v>
      </c>
      <c r="F29" s="26">
        <f t="shared" si="1"/>
        <v>83.797227507474872</v>
      </c>
      <c r="H29" s="67">
        <f t="shared" si="3"/>
        <v>-2.1685655100982526E-3</v>
      </c>
      <c r="I29" s="67">
        <f t="shared" si="2"/>
        <v>6.1700091849836713E-3</v>
      </c>
    </row>
    <row r="30" spans="1:9" x14ac:dyDescent="0.3">
      <c r="A30" s="63">
        <v>46238</v>
      </c>
      <c r="B30" s="62">
        <v>6782.81</v>
      </c>
      <c r="C30" s="24">
        <v>308.95999999999998</v>
      </c>
      <c r="D30" s="63">
        <v>46238</v>
      </c>
      <c r="E30" s="26">
        <f t="shared" si="0"/>
        <v>113.73683680998055</v>
      </c>
      <c r="F30" s="26">
        <f t="shared" si="1"/>
        <v>83.979342212557754</v>
      </c>
      <c r="H30" s="67">
        <f t="shared" si="3"/>
        <v>2.1186580730457649E-2</v>
      </c>
      <c r="I30" s="67">
        <f t="shared" si="2"/>
        <v>2.5081420917808295E-2</v>
      </c>
    </row>
    <row r="31" spans="1:9" x14ac:dyDescent="0.3">
      <c r="A31" s="63">
        <v>46207</v>
      </c>
      <c r="B31" s="62">
        <v>6616.85</v>
      </c>
      <c r="C31" s="24">
        <v>302.55</v>
      </c>
      <c r="D31" s="63">
        <v>46207</v>
      </c>
      <c r="E31" s="26">
        <f t="shared" si="0"/>
        <v>110.9539539875243</v>
      </c>
      <c r="F31" s="26">
        <f t="shared" si="1"/>
        <v>82.237020929600433</v>
      </c>
      <c r="H31" s="67">
        <f t="shared" si="3"/>
        <v>-2.5714568291957951E-3</v>
      </c>
      <c r="I31" s="67">
        <f t="shared" si="2"/>
        <v>7.5924517115533163E-4</v>
      </c>
    </row>
    <row r="32" spans="1:9" x14ac:dyDescent="0.3">
      <c r="A32" s="63">
        <v>46177</v>
      </c>
      <c r="B32" s="62">
        <v>6611.83</v>
      </c>
      <c r="C32" s="24">
        <v>303.33</v>
      </c>
      <c r="D32" s="63">
        <v>46177</v>
      </c>
      <c r="E32" s="26">
        <f t="shared" si="0"/>
        <v>110.86977664497954</v>
      </c>
      <c r="F32" s="26">
        <f t="shared" si="1"/>
        <v>82.449035063876053</v>
      </c>
      <c r="H32" s="67">
        <f t="shared" si="3"/>
        <v>8.410904255319096E-3</v>
      </c>
      <c r="I32" s="67">
        <f t="shared" si="2"/>
        <v>4.4267617038020735E-3</v>
      </c>
    </row>
    <row r="33" spans="1:9" x14ac:dyDescent="0.3">
      <c r="A33" s="63">
        <v>46057</v>
      </c>
      <c r="B33" s="62">
        <v>6582.69</v>
      </c>
      <c r="C33" s="24">
        <v>300.8</v>
      </c>
      <c r="D33" s="63">
        <v>46057</v>
      </c>
      <c r="E33" s="26">
        <f t="shared" si="0"/>
        <v>110.38114561674156</v>
      </c>
      <c r="F33" s="26">
        <f t="shared" si="1"/>
        <v>81.761348192443606</v>
      </c>
      <c r="H33" s="67">
        <f t="shared" si="3"/>
        <v>7.6714347928044102E-3</v>
      </c>
      <c r="I33" s="67">
        <f t="shared" si="2"/>
        <v>1.1208579962647125E-3</v>
      </c>
    </row>
    <row r="34" spans="1:9" x14ac:dyDescent="0.3">
      <c r="A34" s="63">
        <v>46026</v>
      </c>
      <c r="B34" s="62">
        <v>6575.32</v>
      </c>
      <c r="C34" s="24">
        <v>298.51</v>
      </c>
      <c r="D34" s="63">
        <v>46026</v>
      </c>
      <c r="E34" s="26">
        <f t="shared" si="0"/>
        <v>110.25756254611308</v>
      </c>
      <c r="F34" s="26">
        <f t="shared" si="1"/>
        <v>81.138896439249805</v>
      </c>
      <c r="H34" s="67">
        <f t="shared" si="3"/>
        <v>-1.2341185812599353E-2</v>
      </c>
      <c r="I34" s="67">
        <f t="shared" si="2"/>
        <v>7.1685466231241612E-3</v>
      </c>
    </row>
    <row r="35" spans="1:9" x14ac:dyDescent="0.3">
      <c r="A35" s="24" t="s">
        <v>150</v>
      </c>
      <c r="B35" s="62">
        <v>6528.52</v>
      </c>
      <c r="C35" s="24">
        <v>302.24</v>
      </c>
      <c r="D35" s="24" t="s">
        <v>150</v>
      </c>
      <c r="E35" s="26">
        <f t="shared" si="0"/>
        <v>109.47280166342478</v>
      </c>
      <c r="F35" s="26">
        <f t="shared" si="1"/>
        <v>82.152758901875515</v>
      </c>
      <c r="H35" s="67">
        <f t="shared" si="3"/>
        <v>9.0138211924950529E-3</v>
      </c>
      <c r="I35" s="67">
        <f t="shared" si="2"/>
        <v>2.9131172245937753E-2</v>
      </c>
    </row>
    <row r="36" spans="1:9" x14ac:dyDescent="0.3">
      <c r="A36" s="24" t="s">
        <v>151</v>
      </c>
      <c r="B36" s="62">
        <v>6343.72</v>
      </c>
      <c r="C36" s="24">
        <v>299.54000000000002</v>
      </c>
      <c r="D36" s="24" t="s">
        <v>151</v>
      </c>
      <c r="E36" s="26">
        <f t="shared" si="0"/>
        <v>106.3740022805017</v>
      </c>
      <c r="F36" s="26">
        <f t="shared" si="1"/>
        <v>81.418863821690692</v>
      </c>
      <c r="H36" s="67">
        <f t="shared" si="3"/>
        <v>1.3603140227395949E-2</v>
      </c>
      <c r="I36" s="67">
        <f t="shared" si="2"/>
        <v>-3.9457672892280193E-3</v>
      </c>
    </row>
    <row r="37" spans="1:9" x14ac:dyDescent="0.3">
      <c r="A37" s="24" t="s">
        <v>152</v>
      </c>
      <c r="B37" s="62">
        <v>6368.85</v>
      </c>
      <c r="C37" s="24">
        <v>295.52</v>
      </c>
      <c r="D37" s="24" t="s">
        <v>152</v>
      </c>
      <c r="E37" s="26">
        <f t="shared" si="0"/>
        <v>106.79539204507344</v>
      </c>
      <c r="F37" s="26">
        <f t="shared" si="1"/>
        <v>80.326175591193262</v>
      </c>
      <c r="H37" s="67">
        <f t="shared" si="3"/>
        <v>-3.2762740156449421E-2</v>
      </c>
      <c r="I37" s="67">
        <f t="shared" si="2"/>
        <v>-1.6721834878249076E-2</v>
      </c>
    </row>
    <row r="38" spans="1:9" x14ac:dyDescent="0.3">
      <c r="A38" s="24" t="s">
        <v>153</v>
      </c>
      <c r="B38" s="62">
        <v>6477.16</v>
      </c>
      <c r="C38" s="24">
        <v>305.52999999999997</v>
      </c>
      <c r="D38" s="24" t="s">
        <v>153</v>
      </c>
      <c r="E38" s="26">
        <f t="shared" si="0"/>
        <v>108.61157689985914</v>
      </c>
      <c r="F38" s="26">
        <f t="shared" si="1"/>
        <v>83.047023647730356</v>
      </c>
      <c r="H38" s="67">
        <f t="shared" si="3"/>
        <v>2.0333869010527028E-3</v>
      </c>
      <c r="I38" s="67">
        <f t="shared" si="2"/>
        <v>-1.7406210652467391E-2</v>
      </c>
    </row>
    <row r="39" spans="1:9" x14ac:dyDescent="0.3">
      <c r="A39" s="24" t="s">
        <v>154</v>
      </c>
      <c r="B39" s="62">
        <v>6591.9</v>
      </c>
      <c r="C39" s="24">
        <v>304.91000000000003</v>
      </c>
      <c r="D39" s="24" t="s">
        <v>154</v>
      </c>
      <c r="E39" s="26">
        <f t="shared" si="0"/>
        <v>110.53558253403983</v>
      </c>
      <c r="F39" s="26">
        <f t="shared" si="1"/>
        <v>82.878499592280519</v>
      </c>
      <c r="H39" s="67">
        <f t="shared" si="3"/>
        <v>3.7858835923099132E-3</v>
      </c>
      <c r="I39" s="67">
        <f t="shared" si="2"/>
        <v>5.4191572470740912E-3</v>
      </c>
    </row>
    <row r="40" spans="1:9" x14ac:dyDescent="0.3">
      <c r="A40" s="24" t="s">
        <v>155</v>
      </c>
      <c r="B40" s="62">
        <v>6556.37</v>
      </c>
      <c r="C40" s="24">
        <v>303.76</v>
      </c>
      <c r="D40" s="24" t="s">
        <v>155</v>
      </c>
      <c r="E40" s="26">
        <f t="shared" si="0"/>
        <v>109.93980146220403</v>
      </c>
      <c r="F40" s="26">
        <f t="shared" si="1"/>
        <v>82.565914650720316</v>
      </c>
      <c r="H40" s="67">
        <f t="shared" si="3"/>
        <v>-2.2336092497701188E-3</v>
      </c>
      <c r="I40" s="67">
        <f t="shared" si="2"/>
        <v>-3.742592311198889E-3</v>
      </c>
    </row>
    <row r="41" spans="1:9" x14ac:dyDescent="0.3">
      <c r="A41" s="24" t="s">
        <v>156</v>
      </c>
      <c r="B41" s="62">
        <v>6581</v>
      </c>
      <c r="C41" s="24">
        <v>304.44</v>
      </c>
      <c r="D41" s="24" t="s">
        <v>156</v>
      </c>
      <c r="E41" s="26">
        <f t="shared" si="0"/>
        <v>110.35280702931115</v>
      </c>
      <c r="F41" s="26">
        <f t="shared" si="1"/>
        <v>82.750747485729818</v>
      </c>
      <c r="H41" s="67">
        <f t="shared" si="3"/>
        <v>9.3495126317884036E-3</v>
      </c>
      <c r="I41" s="67">
        <f t="shared" si="2"/>
        <v>1.1453197427795159E-2</v>
      </c>
    </row>
    <row r="42" spans="1:9" x14ac:dyDescent="0.3">
      <c r="A42" s="24" t="s">
        <v>157</v>
      </c>
      <c r="B42" s="62">
        <v>6506.48</v>
      </c>
      <c r="C42" s="24">
        <v>301.62</v>
      </c>
      <c r="D42" s="24" t="s">
        <v>157</v>
      </c>
      <c r="E42" s="26">
        <f t="shared" si="0"/>
        <v>109.10322623918438</v>
      </c>
      <c r="F42" s="26">
        <f t="shared" si="1"/>
        <v>81.984234846425665</v>
      </c>
      <c r="H42" s="67">
        <f t="shared" si="3"/>
        <v>6.372827066164044E-3</v>
      </c>
      <c r="I42" s="67">
        <f t="shared" si="2"/>
        <v>-1.5138144460977054E-2</v>
      </c>
    </row>
    <row r="43" spans="1:9" x14ac:dyDescent="0.3">
      <c r="A43" s="24" t="s">
        <v>158</v>
      </c>
      <c r="B43" s="62">
        <v>6606.49</v>
      </c>
      <c r="C43" s="24">
        <v>299.70999999999998</v>
      </c>
      <c r="D43" s="24" t="s">
        <v>158</v>
      </c>
      <c r="E43" s="26">
        <f t="shared" si="0"/>
        <v>110.78023341605741</v>
      </c>
      <c r="F43" s="26">
        <f t="shared" si="1"/>
        <v>81.465072030443054</v>
      </c>
      <c r="H43" s="67">
        <f t="shared" si="3"/>
        <v>2.3075379573271881E-3</v>
      </c>
      <c r="I43" s="67">
        <v>2.3075379573271881E-3</v>
      </c>
    </row>
    <row r="44" spans="1:9" x14ac:dyDescent="0.3">
      <c r="A44" s="24" t="s">
        <v>159</v>
      </c>
      <c r="B44" s="62">
        <v>6624.7</v>
      </c>
      <c r="C44" s="24">
        <v>299.02</v>
      </c>
      <c r="D44" s="24" t="s">
        <v>159</v>
      </c>
      <c r="E44" s="26">
        <f t="shared" si="0"/>
        <v>111.08558588771882</v>
      </c>
      <c r="F44" s="26">
        <f t="shared" si="1"/>
        <v>81.277521065506932</v>
      </c>
      <c r="H44" s="67">
        <f t="shared" si="3"/>
        <v>-3.0603643908448386E-2</v>
      </c>
      <c r="I44" s="67">
        <v>-3.0603643908448386E-2</v>
      </c>
    </row>
    <row r="45" spans="1:9" x14ac:dyDescent="0.3">
      <c r="A45" s="24" t="s">
        <v>160</v>
      </c>
      <c r="B45" s="62">
        <v>6716.09</v>
      </c>
      <c r="C45" s="24">
        <v>308.45999999999998</v>
      </c>
      <c r="D45" s="24" t="s">
        <v>160</v>
      </c>
      <c r="E45" s="26">
        <f t="shared" si="0"/>
        <v>112.61804950030182</v>
      </c>
      <c r="F45" s="26">
        <f t="shared" si="1"/>
        <v>83.843435716227233</v>
      </c>
      <c r="H45" s="67">
        <f t="shared" si="3"/>
        <v>-5.3206926574442814E-3</v>
      </c>
      <c r="I45" s="67">
        <v>-5.3206926574442814E-3</v>
      </c>
    </row>
    <row r="46" spans="1:9" x14ac:dyDescent="0.3">
      <c r="A46" s="24" t="s">
        <v>161</v>
      </c>
      <c r="B46" s="62">
        <v>6699.38</v>
      </c>
      <c r="C46" s="24">
        <v>310.11</v>
      </c>
      <c r="D46" s="24" t="s">
        <v>161</v>
      </c>
      <c r="E46" s="26">
        <f t="shared" si="0"/>
        <v>112.33784962103427</v>
      </c>
      <c r="F46" s="26">
        <f t="shared" si="1"/>
        <v>84.291927154117971</v>
      </c>
      <c r="H46" s="67">
        <f t="shared" si="3"/>
        <v>9.6698573940223742E-3</v>
      </c>
      <c r="I46" s="67">
        <v>9.6698573940223742E-3</v>
      </c>
    </row>
    <row r="47" spans="1:9" x14ac:dyDescent="0.3">
      <c r="A47" s="24" t="s">
        <v>162</v>
      </c>
      <c r="B47" s="62">
        <v>6632.19</v>
      </c>
      <c r="C47" s="24">
        <v>307.14</v>
      </c>
      <c r="D47" s="24" t="s">
        <v>162</v>
      </c>
      <c r="E47" s="26">
        <f t="shared" si="0"/>
        <v>111.21118116573881</v>
      </c>
      <c r="F47" s="26">
        <f t="shared" si="1"/>
        <v>83.484642565914655</v>
      </c>
      <c r="H47" s="67">
        <f t="shared" si="3"/>
        <v>2.0880913539966794E-3</v>
      </c>
      <c r="I47" s="67">
        <v>2.0880913539966794E-3</v>
      </c>
    </row>
    <row r="48" spans="1:9" x14ac:dyDescent="0.3">
      <c r="A48" s="63">
        <v>46359</v>
      </c>
      <c r="B48" s="62">
        <v>6672.62</v>
      </c>
      <c r="C48" s="24">
        <v>306.5</v>
      </c>
      <c r="D48" s="63">
        <v>46359</v>
      </c>
      <c r="E48" s="26">
        <f t="shared" si="0"/>
        <v>111.88912737272787</v>
      </c>
      <c r="F48" s="26">
        <f t="shared" si="1"/>
        <v>83.310682250611578</v>
      </c>
      <c r="H48" s="67">
        <f t="shared" si="3"/>
        <v>-7.962195753495549E-3</v>
      </c>
      <c r="I48" s="67">
        <v>-7.962195753495549E-3</v>
      </c>
    </row>
    <row r="49" spans="1:9" x14ac:dyDescent="0.3">
      <c r="A49" s="63">
        <v>46329</v>
      </c>
      <c r="B49" s="62">
        <v>6775.8</v>
      </c>
      <c r="C49" s="24">
        <v>308.95999999999998</v>
      </c>
      <c r="D49" s="63">
        <v>46329</v>
      </c>
      <c r="E49" s="26">
        <f t="shared" si="0"/>
        <v>113.61929036152659</v>
      </c>
      <c r="F49" s="26">
        <f t="shared" si="1"/>
        <v>83.979342212557754</v>
      </c>
      <c r="H49" s="67">
        <f t="shared" si="3"/>
        <v>-1.7396558852526889E-2</v>
      </c>
      <c r="I49" s="67">
        <v>-1.7396558852526889E-2</v>
      </c>
    </row>
    <row r="50" spans="1:9" x14ac:dyDescent="0.3">
      <c r="A50" s="63">
        <v>46298</v>
      </c>
      <c r="B50" s="62">
        <v>6781.48</v>
      </c>
      <c r="C50" s="24">
        <v>314.43</v>
      </c>
      <c r="D50" s="63">
        <v>46298</v>
      </c>
      <c r="E50" s="26">
        <f t="shared" si="0"/>
        <v>113.71453484472465</v>
      </c>
      <c r="F50" s="26">
        <f t="shared" si="1"/>
        <v>85.466159282413699</v>
      </c>
      <c r="H50" s="67">
        <f t="shared" si="3"/>
        <v>-4.8738804316865725E-3</v>
      </c>
      <c r="I50" s="67">
        <f t="shared" ref="I50:I70" si="4">B50/B51-1</f>
        <v>-2.1350826001804712E-3</v>
      </c>
    </row>
    <row r="51" spans="1:9" x14ac:dyDescent="0.3">
      <c r="A51" s="63">
        <v>46268</v>
      </c>
      <c r="B51" s="62">
        <v>6795.99</v>
      </c>
      <c r="C51" s="24">
        <v>315.97000000000003</v>
      </c>
      <c r="D51" s="63">
        <v>46268</v>
      </c>
      <c r="E51" s="26">
        <f t="shared" si="0"/>
        <v>113.95784425514789</v>
      </c>
      <c r="F51" s="26">
        <f t="shared" si="1"/>
        <v>85.884751291111726</v>
      </c>
      <c r="H51" s="67">
        <f t="shared" si="3"/>
        <v>-4.3798840433576514E-3</v>
      </c>
      <c r="I51" s="67">
        <f t="shared" si="4"/>
        <v>8.3041296613362015E-3</v>
      </c>
    </row>
    <row r="52" spans="1:9" x14ac:dyDescent="0.3">
      <c r="A52" s="63">
        <v>46176</v>
      </c>
      <c r="B52" s="62">
        <v>6740.02</v>
      </c>
      <c r="C52" s="24">
        <v>317.36</v>
      </c>
      <c r="D52" s="63">
        <v>46176</v>
      </c>
      <c r="E52" s="26">
        <f t="shared" si="0"/>
        <v>113.01931719095847</v>
      </c>
      <c r="F52" s="26">
        <f t="shared" si="1"/>
        <v>86.262571350910576</v>
      </c>
      <c r="H52" s="67">
        <f t="shared" si="3"/>
        <v>-7.6297686053783398E-3</v>
      </c>
      <c r="I52" s="67">
        <f t="shared" si="4"/>
        <v>-1.3276804314631963E-2</v>
      </c>
    </row>
    <row r="53" spans="1:9" x14ac:dyDescent="0.3">
      <c r="A53" s="63">
        <v>46145</v>
      </c>
      <c r="B53" s="62">
        <v>6830.71</v>
      </c>
      <c r="C53" s="24">
        <v>319.8</v>
      </c>
      <c r="D53" s="63">
        <v>46145</v>
      </c>
      <c r="E53" s="26">
        <f t="shared" si="0"/>
        <v>114.54004292709101</v>
      </c>
      <c r="F53" s="26">
        <f t="shared" si="1"/>
        <v>86.92579505300354</v>
      </c>
      <c r="H53" s="67">
        <f t="shared" si="3"/>
        <v>-2.0906793147564828E-3</v>
      </c>
      <c r="I53" s="67">
        <f t="shared" si="4"/>
        <v>-5.6466991775238062E-3</v>
      </c>
    </row>
    <row r="54" spans="1:9" x14ac:dyDescent="0.3">
      <c r="A54" s="63">
        <v>46115</v>
      </c>
      <c r="B54" s="62">
        <v>6869.5</v>
      </c>
      <c r="C54" s="24">
        <v>320.47000000000003</v>
      </c>
      <c r="D54" s="63">
        <v>46115</v>
      </c>
      <c r="E54" s="26">
        <f t="shared" si="0"/>
        <v>115.19048896639613</v>
      </c>
      <c r="F54" s="26">
        <f t="shared" si="1"/>
        <v>87.10790975808645</v>
      </c>
      <c r="H54" s="67">
        <f t="shared" si="3"/>
        <v>-1.1220895801513642E-3</v>
      </c>
      <c r="I54" s="67">
        <f t="shared" si="4"/>
        <v>7.7560319395360011E-3</v>
      </c>
    </row>
    <row r="55" spans="1:9" x14ac:dyDescent="0.3">
      <c r="A55" s="63">
        <v>46084</v>
      </c>
      <c r="B55" s="62">
        <v>6816.63</v>
      </c>
      <c r="C55" s="24">
        <v>320.83</v>
      </c>
      <c r="D55" s="63">
        <v>46084</v>
      </c>
      <c r="E55" s="26">
        <f t="shared" si="0"/>
        <v>114.30394392648735</v>
      </c>
      <c r="F55" s="26">
        <f t="shared" si="1"/>
        <v>87.205762435444413</v>
      </c>
      <c r="H55" s="67">
        <f t="shared" si="3"/>
        <v>9.9840878599732896E-4</v>
      </c>
      <c r="I55" s="67">
        <f t="shared" si="4"/>
        <v>-9.4439971983341087E-3</v>
      </c>
    </row>
    <row r="56" spans="1:9" x14ac:dyDescent="0.3">
      <c r="A56" s="63">
        <v>46056</v>
      </c>
      <c r="B56" s="62">
        <v>6881.62</v>
      </c>
      <c r="C56" s="24">
        <v>320.51</v>
      </c>
      <c r="D56" s="63">
        <v>46056</v>
      </c>
      <c r="E56" s="26">
        <f t="shared" si="0"/>
        <v>115.39372191293849</v>
      </c>
      <c r="F56" s="26">
        <f t="shared" si="1"/>
        <v>87.118782277792889</v>
      </c>
      <c r="H56" s="67">
        <f t="shared" si="3"/>
        <v>1.1557443618417373E-3</v>
      </c>
      <c r="I56" s="67">
        <f t="shared" si="4"/>
        <v>3.9832065685119211E-4</v>
      </c>
    </row>
    <row r="57" spans="1:9" x14ac:dyDescent="0.3">
      <c r="A57" s="24" t="s">
        <v>163</v>
      </c>
      <c r="B57" s="62">
        <v>6878.88</v>
      </c>
      <c r="C57" s="24">
        <v>320.14</v>
      </c>
      <c r="D57" s="24" t="s">
        <v>163</v>
      </c>
      <c r="E57" s="26">
        <f t="shared" si="0"/>
        <v>115.34777651083238</v>
      </c>
      <c r="F57" s="26">
        <f t="shared" si="1"/>
        <v>87.018211470508291</v>
      </c>
      <c r="H57" s="67">
        <f t="shared" si="3"/>
        <v>1.0862014524786856E-2</v>
      </c>
      <c r="I57" s="67">
        <f t="shared" si="4"/>
        <v>-4.3393555521460403E-3</v>
      </c>
    </row>
    <row r="58" spans="1:9" x14ac:dyDescent="0.3">
      <c r="A58" s="24" t="s">
        <v>164</v>
      </c>
      <c r="B58" s="62">
        <v>6908.86</v>
      </c>
      <c r="C58" s="24">
        <v>316.7</v>
      </c>
      <c r="D58" s="24" t="s">
        <v>164</v>
      </c>
      <c r="E58" s="26">
        <f t="shared" si="0"/>
        <v>115.85049299081091</v>
      </c>
      <c r="F58" s="26">
        <f t="shared" si="1"/>
        <v>86.083174775754287</v>
      </c>
      <c r="H58" s="67">
        <f t="shared" si="3"/>
        <v>1.1853413847087602E-2</v>
      </c>
      <c r="I58" s="67">
        <f t="shared" si="4"/>
        <v>-5.3655776669887523E-3</v>
      </c>
    </row>
    <row r="59" spans="1:9" x14ac:dyDescent="0.3">
      <c r="A59" s="24" t="s">
        <v>165</v>
      </c>
      <c r="B59" s="62">
        <v>6946.13</v>
      </c>
      <c r="C59" s="24">
        <v>312.99</v>
      </c>
      <c r="D59" s="24" t="s">
        <v>165</v>
      </c>
      <c r="E59" s="26">
        <f t="shared" si="0"/>
        <v>116.47545106982359</v>
      </c>
      <c r="F59" s="26">
        <f t="shared" si="1"/>
        <v>85.07474857298179</v>
      </c>
      <c r="H59" s="67">
        <f t="shared" si="3"/>
        <v>1.8781329340537667E-2</v>
      </c>
      <c r="I59" s="67">
        <f t="shared" si="4"/>
        <v>8.1363469456769977E-3</v>
      </c>
    </row>
    <row r="60" spans="1:9" x14ac:dyDescent="0.3">
      <c r="A60" s="24" t="s">
        <v>166</v>
      </c>
      <c r="B60" s="62">
        <v>6890.07</v>
      </c>
      <c r="C60" s="24">
        <v>307.22000000000003</v>
      </c>
      <c r="D60" s="24" t="s">
        <v>166</v>
      </c>
      <c r="E60" s="26">
        <f t="shared" si="0"/>
        <v>115.53541485009055</v>
      </c>
      <c r="F60" s="26">
        <f t="shared" si="1"/>
        <v>83.506387605327546</v>
      </c>
      <c r="H60" s="67">
        <f t="shared" si="3"/>
        <v>2.2837009004308406E-3</v>
      </c>
      <c r="I60" s="67">
        <f t="shared" si="4"/>
        <v>7.6516397937917979E-3</v>
      </c>
    </row>
    <row r="61" spans="1:9" x14ac:dyDescent="0.3">
      <c r="A61" s="24" t="s">
        <v>167</v>
      </c>
      <c r="B61" s="62">
        <v>6837.75</v>
      </c>
      <c r="C61" s="24">
        <v>306.52</v>
      </c>
      <c r="D61" s="24" t="s">
        <v>167</v>
      </c>
      <c r="E61" s="26">
        <f t="shared" si="0"/>
        <v>114.65809242739284</v>
      </c>
      <c r="F61" s="26">
        <f t="shared" si="1"/>
        <v>83.316118510464804</v>
      </c>
      <c r="H61" s="67">
        <f t="shared" si="3"/>
        <v>-4.4960274186010341E-2</v>
      </c>
      <c r="I61" s="67">
        <f t="shared" si="4"/>
        <v>-1.0385685815636703E-2</v>
      </c>
    </row>
    <row r="62" spans="1:9" x14ac:dyDescent="0.3">
      <c r="A62" s="24" t="s">
        <v>168</v>
      </c>
      <c r="B62" s="62">
        <v>6909.51</v>
      </c>
      <c r="C62" s="24">
        <v>320.95</v>
      </c>
      <c r="D62" s="24" t="s">
        <v>168</v>
      </c>
      <c r="E62" s="26">
        <f t="shared" si="0"/>
        <v>115.86139244751492</v>
      </c>
      <c r="F62" s="26">
        <f t="shared" si="1"/>
        <v>87.238379994563743</v>
      </c>
      <c r="H62" s="67">
        <f t="shared" si="3"/>
        <v>6.3336782366036903E-3</v>
      </c>
      <c r="I62" s="67">
        <f t="shared" si="4"/>
        <v>6.9397789821754596E-3</v>
      </c>
    </row>
    <row r="63" spans="1:9" x14ac:dyDescent="0.3">
      <c r="A63" s="24" t="s">
        <v>169</v>
      </c>
      <c r="B63" s="62">
        <v>6861.89</v>
      </c>
      <c r="C63" s="24">
        <v>318.93</v>
      </c>
      <c r="D63" s="24" t="s">
        <v>169</v>
      </c>
      <c r="E63" s="26">
        <f t="shared" si="0"/>
        <v>115.06288148098463</v>
      </c>
      <c r="F63" s="26">
        <f t="shared" si="1"/>
        <v>86.689317749388422</v>
      </c>
      <c r="H63" s="67">
        <f t="shared" si="3"/>
        <v>-4.2772400874180327E-3</v>
      </c>
      <c r="I63" s="67">
        <f t="shared" si="4"/>
        <v>-2.8221370640183485E-3</v>
      </c>
    </row>
    <row r="64" spans="1:9" x14ac:dyDescent="0.3">
      <c r="A64" s="24" t="s">
        <v>170</v>
      </c>
      <c r="B64" s="62">
        <v>6881.31</v>
      </c>
      <c r="C64" s="24">
        <v>320.3</v>
      </c>
      <c r="D64" s="24" t="s">
        <v>170</v>
      </c>
      <c r="E64" s="26">
        <f t="shared" si="0"/>
        <v>115.38852371051043</v>
      </c>
      <c r="F64" s="26">
        <f t="shared" si="1"/>
        <v>87.06170154933406</v>
      </c>
      <c r="H64" s="67">
        <f t="shared" si="3"/>
        <v>2.50391236306724E-3</v>
      </c>
      <c r="I64" s="67">
        <f t="shared" si="4"/>
        <v>5.5660931549768033E-3</v>
      </c>
    </row>
    <row r="65" spans="1:9" x14ac:dyDescent="0.3">
      <c r="A65" s="24" t="s">
        <v>171</v>
      </c>
      <c r="B65" s="62">
        <v>6843.22</v>
      </c>
      <c r="C65" s="24">
        <v>319.5</v>
      </c>
      <c r="D65" s="24" t="s">
        <v>171</v>
      </c>
      <c r="E65" s="26">
        <f t="shared" si="0"/>
        <v>114.74981554765577</v>
      </c>
      <c r="F65" s="26">
        <f t="shared" si="1"/>
        <v>86.844251155205228</v>
      </c>
      <c r="H65" s="67">
        <f t="shared" si="3"/>
        <v>1.7256749872643917E-2</v>
      </c>
      <c r="I65" s="67">
        <f t="shared" si="4"/>
        <v>1.0312792104349988E-3</v>
      </c>
    </row>
    <row r="66" spans="1:9" x14ac:dyDescent="0.3">
      <c r="A66" s="24" t="s">
        <v>172</v>
      </c>
      <c r="B66" s="62">
        <v>6836.17</v>
      </c>
      <c r="C66" s="24">
        <v>314.08</v>
      </c>
      <c r="D66" s="24" t="s">
        <v>172</v>
      </c>
      <c r="E66" s="26">
        <f t="shared" ref="E66:E129" si="5">$E$252*B66/$B$252</f>
        <v>114.63159836340465</v>
      </c>
      <c r="F66" s="26">
        <f t="shared" ref="F66:F129" si="6">$F$252*C66/$C$252</f>
        <v>85.371024734982342</v>
      </c>
      <c r="H66" s="67">
        <f t="shared" si="3"/>
        <v>-3.1155530877907456E-2</v>
      </c>
      <c r="I66" s="67">
        <f t="shared" si="4"/>
        <v>4.9906626312057334E-4</v>
      </c>
    </row>
    <row r="67" spans="1:9" x14ac:dyDescent="0.3">
      <c r="A67" s="63">
        <v>46358</v>
      </c>
      <c r="B67" s="62">
        <v>6832.76</v>
      </c>
      <c r="C67" s="24">
        <v>324.18</v>
      </c>
      <c r="D67" s="63">
        <v>46358</v>
      </c>
      <c r="E67" s="26">
        <f t="shared" si="5"/>
        <v>114.57441813669595</v>
      </c>
      <c r="F67" s="26">
        <f t="shared" si="6"/>
        <v>88.116335960858933</v>
      </c>
      <c r="H67" s="67">
        <f t="shared" ref="H67:H130" si="7">C67/C68-1</f>
        <v>-1.5368727979589325E-2</v>
      </c>
      <c r="I67" s="67">
        <f t="shared" si="4"/>
        <v>-1.5660947897203292E-2</v>
      </c>
    </row>
    <row r="68" spans="1:9" x14ac:dyDescent="0.3">
      <c r="A68" s="63">
        <v>46328</v>
      </c>
      <c r="B68" s="62">
        <v>6941.47</v>
      </c>
      <c r="C68" s="24">
        <v>329.24</v>
      </c>
      <c r="D68" s="63">
        <v>46328</v>
      </c>
      <c r="E68" s="26">
        <f t="shared" si="5"/>
        <v>116.39731034945335</v>
      </c>
      <c r="F68" s="26">
        <f t="shared" si="6"/>
        <v>89.491709703723842</v>
      </c>
      <c r="H68" s="67">
        <f t="shared" si="7"/>
        <v>3.2605052259500056E-3</v>
      </c>
      <c r="I68" s="67">
        <f t="shared" si="4"/>
        <v>-4.8978580514336123E-5</v>
      </c>
    </row>
    <row r="69" spans="1:9" x14ac:dyDescent="0.3">
      <c r="A69" s="63">
        <v>46297</v>
      </c>
      <c r="B69" s="62">
        <v>6941.81</v>
      </c>
      <c r="C69" s="24">
        <v>328.17</v>
      </c>
      <c r="D69" s="63">
        <v>46297</v>
      </c>
      <c r="E69" s="26">
        <f t="shared" si="5"/>
        <v>116.40301160372928</v>
      </c>
      <c r="F69" s="26">
        <f t="shared" si="6"/>
        <v>89.200869801576516</v>
      </c>
      <c r="H69" s="67">
        <f t="shared" si="7"/>
        <v>7.9550340930032437E-3</v>
      </c>
      <c r="I69" s="67">
        <f t="shared" si="4"/>
        <v>-3.3037465433419788E-3</v>
      </c>
    </row>
    <row r="70" spans="1:9" x14ac:dyDescent="0.3">
      <c r="A70" s="63">
        <v>46267</v>
      </c>
      <c r="B70" s="62">
        <v>6964.82</v>
      </c>
      <c r="C70" s="24">
        <v>325.58</v>
      </c>
      <c r="D70" s="63">
        <v>46267</v>
      </c>
      <c r="E70" s="26">
        <f t="shared" si="5"/>
        <v>116.78885237105104</v>
      </c>
      <c r="F70" s="26">
        <f t="shared" si="6"/>
        <v>88.496874150584404</v>
      </c>
      <c r="H70" s="67">
        <f t="shared" si="7"/>
        <v>-1.80951806502202E-2</v>
      </c>
      <c r="I70" s="67">
        <f t="shared" si="4"/>
        <v>4.6910837672922145E-3</v>
      </c>
    </row>
    <row r="71" spans="1:9" x14ac:dyDescent="0.3">
      <c r="A71" s="63">
        <v>46175</v>
      </c>
      <c r="B71" s="62">
        <v>6932.3</v>
      </c>
      <c r="C71" s="24">
        <v>331.58</v>
      </c>
      <c r="D71" s="63">
        <v>46175</v>
      </c>
      <c r="E71" s="26">
        <f t="shared" si="5"/>
        <v>116.24354416795224</v>
      </c>
      <c r="F71" s="26">
        <f t="shared" si="6"/>
        <v>90.127752106550702</v>
      </c>
      <c r="H71" s="67">
        <f t="shared" si="7"/>
        <v>7.4438671649499355E-3</v>
      </c>
      <c r="I71" s="67">
        <v>7.4438671649499355E-3</v>
      </c>
    </row>
    <row r="72" spans="1:9" x14ac:dyDescent="0.3">
      <c r="A72" s="63">
        <v>46144</v>
      </c>
      <c r="B72" s="62">
        <v>6798.4</v>
      </c>
      <c r="C72" s="24">
        <v>329.13</v>
      </c>
      <c r="D72" s="63">
        <v>46144</v>
      </c>
      <c r="E72" s="26">
        <f t="shared" si="5"/>
        <v>113.99825608692736</v>
      </c>
      <c r="F72" s="26">
        <f t="shared" si="6"/>
        <v>89.461810274531132</v>
      </c>
      <c r="H72" s="67">
        <f t="shared" si="7"/>
        <v>-2.4852250340960946E-3</v>
      </c>
      <c r="I72" s="67">
        <v>-2.4852250340960946E-3</v>
      </c>
    </row>
    <row r="73" spans="1:9" x14ac:dyDescent="0.3">
      <c r="A73" s="63">
        <v>46114</v>
      </c>
      <c r="B73" s="62">
        <v>6882.72</v>
      </c>
      <c r="C73" s="24">
        <v>329.95</v>
      </c>
      <c r="D73" s="63">
        <v>46114</v>
      </c>
      <c r="E73" s="26">
        <f t="shared" si="5"/>
        <v>115.41216714736065</v>
      </c>
      <c r="F73" s="26">
        <f t="shared" si="6"/>
        <v>89.684696928513191</v>
      </c>
      <c r="H73" s="67">
        <f t="shared" si="7"/>
        <v>3.1009637308849758E-3</v>
      </c>
      <c r="I73" s="67">
        <v>3.1009637308849758E-3</v>
      </c>
    </row>
    <row r="74" spans="1:9" x14ac:dyDescent="0.3">
      <c r="A74" s="63">
        <v>46083</v>
      </c>
      <c r="B74" s="62">
        <v>6917.81</v>
      </c>
      <c r="C74" s="24">
        <v>328.93</v>
      </c>
      <c r="D74" s="63">
        <v>46083</v>
      </c>
      <c r="E74" s="26">
        <f t="shared" si="5"/>
        <v>116.00057012542759</v>
      </c>
      <c r="F74" s="26">
        <f t="shared" si="6"/>
        <v>89.407447675998924</v>
      </c>
      <c r="H74" s="67">
        <f t="shared" si="7"/>
        <v>-1.4707644380541507E-2</v>
      </c>
      <c r="I74" s="67">
        <v>-1.4707644380541507E-2</v>
      </c>
    </row>
    <row r="75" spans="1:9" x14ac:dyDescent="0.3">
      <c r="A75" s="63">
        <v>46055</v>
      </c>
      <c r="B75" s="62">
        <v>6976.44</v>
      </c>
      <c r="C75" s="24">
        <v>333.84</v>
      </c>
      <c r="D75" s="63">
        <v>46055</v>
      </c>
      <c r="E75" s="26">
        <f t="shared" si="5"/>
        <v>116.98370112012877</v>
      </c>
      <c r="F75" s="26">
        <f t="shared" si="6"/>
        <v>90.74204946996467</v>
      </c>
      <c r="H75" s="67">
        <f t="shared" si="7"/>
        <v>3.7317838610446463E-2</v>
      </c>
      <c r="I75" s="67">
        <f t="shared" ref="I75:I85" si="8">B75/B76-1</f>
        <v>5.3912434446889979E-3</v>
      </c>
    </row>
    <row r="76" spans="1:9" x14ac:dyDescent="0.3">
      <c r="A76" s="24" t="s">
        <v>173</v>
      </c>
      <c r="B76" s="62">
        <v>6939.03</v>
      </c>
      <c r="C76" s="24">
        <v>321.83</v>
      </c>
      <c r="D76" s="24" t="s">
        <v>173</v>
      </c>
      <c r="E76" s="26">
        <f t="shared" si="5"/>
        <v>116.356395465826</v>
      </c>
      <c r="F76" s="26">
        <f t="shared" si="6"/>
        <v>87.477575428105467</v>
      </c>
      <c r="H76" s="67">
        <f t="shared" si="7"/>
        <v>-3.0048221820373811E-2</v>
      </c>
      <c r="I76" s="67">
        <f t="shared" si="8"/>
        <v>-4.3019022788028938E-3</v>
      </c>
    </row>
    <row r="77" spans="1:9" x14ac:dyDescent="0.3">
      <c r="A77" s="24" t="s">
        <v>174</v>
      </c>
      <c r="B77" s="62">
        <v>6969.01</v>
      </c>
      <c r="C77" s="24">
        <v>331.8</v>
      </c>
      <c r="D77" s="24" t="s">
        <v>174</v>
      </c>
      <c r="E77" s="26">
        <f t="shared" si="5"/>
        <v>116.85911194580454</v>
      </c>
      <c r="F77" s="26">
        <f t="shared" si="6"/>
        <v>90.187550964936136</v>
      </c>
      <c r="H77" s="67">
        <f t="shared" si="7"/>
        <v>1.4740962750015241E-2</v>
      </c>
      <c r="I77" s="67">
        <f t="shared" si="8"/>
        <v>-1.2926284352460238E-3</v>
      </c>
    </row>
    <row r="78" spans="1:9" x14ac:dyDescent="0.3">
      <c r="A78" s="24" t="s">
        <v>175</v>
      </c>
      <c r="B78" s="62">
        <v>6978.03</v>
      </c>
      <c r="C78" s="24">
        <v>326.98</v>
      </c>
      <c r="D78" s="24" t="s">
        <v>175</v>
      </c>
      <c r="E78" s="26">
        <f t="shared" si="5"/>
        <v>117.01036286806627</v>
      </c>
      <c r="F78" s="26">
        <f t="shared" si="6"/>
        <v>88.877412340309874</v>
      </c>
      <c r="H78" s="67">
        <f t="shared" si="7"/>
        <v>5.2880772305232693E-3</v>
      </c>
      <c r="I78" s="67">
        <f t="shared" si="8"/>
        <v>-8.1678273579299798E-5</v>
      </c>
    </row>
    <row r="79" spans="1:9" x14ac:dyDescent="0.3">
      <c r="A79" s="24" t="s">
        <v>176</v>
      </c>
      <c r="B79" s="62">
        <v>6978.6</v>
      </c>
      <c r="C79" s="24">
        <v>325.26</v>
      </c>
      <c r="D79" s="24" t="s">
        <v>176</v>
      </c>
      <c r="E79" s="26">
        <f t="shared" si="5"/>
        <v>117.01992085317593</v>
      </c>
      <c r="F79" s="26">
        <f t="shared" si="6"/>
        <v>88.409893992932865</v>
      </c>
      <c r="H79" s="67">
        <f t="shared" si="7"/>
        <v>-9.8328716247070291E-3</v>
      </c>
      <c r="I79" s="67">
        <f t="shared" si="8"/>
        <v>4.0818793047137092E-3</v>
      </c>
    </row>
    <row r="80" spans="1:9" x14ac:dyDescent="0.3">
      <c r="A80" s="24" t="s">
        <v>177</v>
      </c>
      <c r="B80" s="62">
        <v>6950.23</v>
      </c>
      <c r="C80" s="24">
        <v>328.49</v>
      </c>
      <c r="D80" s="24" t="s">
        <v>177</v>
      </c>
      <c r="E80" s="26">
        <f t="shared" si="5"/>
        <v>116.54420148903347</v>
      </c>
      <c r="F80" s="26">
        <f t="shared" si="6"/>
        <v>89.287849959228055</v>
      </c>
      <c r="H80" s="67">
        <f t="shared" si="7"/>
        <v>7.0819792752467858E-3</v>
      </c>
      <c r="I80" s="67">
        <f t="shared" si="8"/>
        <v>5.0060659869484159E-3</v>
      </c>
    </row>
    <row r="81" spans="1:9" x14ac:dyDescent="0.3">
      <c r="A81" s="24" t="s">
        <v>178</v>
      </c>
      <c r="B81" s="62">
        <v>6915.61</v>
      </c>
      <c r="C81" s="24">
        <v>326.18</v>
      </c>
      <c r="D81" s="24" t="s">
        <v>178</v>
      </c>
      <c r="E81" s="26">
        <f t="shared" si="5"/>
        <v>115.96367965658327</v>
      </c>
      <c r="F81" s="26">
        <f t="shared" si="6"/>
        <v>88.659961946181028</v>
      </c>
      <c r="H81" s="67">
        <f t="shared" si="7"/>
        <v>-5.5153817869835198E-4</v>
      </c>
      <c r="I81" s="67">
        <f t="shared" si="8"/>
        <v>3.2690374420485391E-4</v>
      </c>
    </row>
    <row r="82" spans="1:9" x14ac:dyDescent="0.3">
      <c r="A82" s="24" t="s">
        <v>179</v>
      </c>
      <c r="B82" s="62">
        <v>6913.35</v>
      </c>
      <c r="C82" s="24">
        <v>326.36</v>
      </c>
      <c r="D82" s="24" t="s">
        <v>179</v>
      </c>
      <c r="E82" s="26">
        <f t="shared" si="5"/>
        <v>115.92578308404319</v>
      </c>
      <c r="F82" s="26">
        <f t="shared" si="6"/>
        <v>88.708888284860024</v>
      </c>
      <c r="H82" s="67">
        <f t="shared" si="7"/>
        <v>3.3202164289229952E-3</v>
      </c>
      <c r="I82" s="67">
        <f t="shared" si="8"/>
        <v>5.4875051268103991E-3</v>
      </c>
    </row>
    <row r="83" spans="1:9" x14ac:dyDescent="0.3">
      <c r="A83" s="24" t="s">
        <v>180</v>
      </c>
      <c r="B83" s="62">
        <v>6875.62</v>
      </c>
      <c r="C83" s="24">
        <v>325.27999999999997</v>
      </c>
      <c r="D83" s="24" t="s">
        <v>180</v>
      </c>
      <c r="E83" s="26">
        <f t="shared" si="5"/>
        <v>115.29311154336307</v>
      </c>
      <c r="F83" s="26">
        <f t="shared" si="6"/>
        <v>88.415330252786077</v>
      </c>
      <c r="H83" s="67">
        <f t="shared" si="7"/>
        <v>-1.6573568227856716E-3</v>
      </c>
      <c r="I83" s="67">
        <f t="shared" si="8"/>
        <v>1.1587703733783039E-2</v>
      </c>
    </row>
    <row r="84" spans="1:9" x14ac:dyDescent="0.3">
      <c r="A84" s="24" t="s">
        <v>181</v>
      </c>
      <c r="B84" s="62">
        <v>6796.86</v>
      </c>
      <c r="C84" s="24">
        <v>325.82</v>
      </c>
      <c r="D84" s="24" t="s">
        <v>181</v>
      </c>
      <c r="E84" s="26">
        <f t="shared" si="5"/>
        <v>113.97243275873633</v>
      </c>
      <c r="F84" s="26">
        <f t="shared" si="6"/>
        <v>88.56210926882305</v>
      </c>
      <c r="H84" s="67">
        <f t="shared" si="7"/>
        <v>-7.554066402680526E-3</v>
      </c>
      <c r="I84" s="67">
        <f t="shared" si="8"/>
        <v>-2.0626771431165203E-2</v>
      </c>
    </row>
    <row r="85" spans="1:9" x14ac:dyDescent="0.3">
      <c r="A85" s="24" t="s">
        <v>182</v>
      </c>
      <c r="B85" s="62">
        <v>6940.01</v>
      </c>
      <c r="C85" s="24">
        <v>328.3</v>
      </c>
      <c r="D85" s="24" t="s">
        <v>182</v>
      </c>
      <c r="E85" s="26">
        <f t="shared" si="5"/>
        <v>116.37282849285666</v>
      </c>
      <c r="F85" s="26">
        <f t="shared" si="6"/>
        <v>89.236205490622453</v>
      </c>
      <c r="H85" s="67">
        <f t="shared" si="7"/>
        <v>1.6781083142638487E-3</v>
      </c>
      <c r="I85" s="67">
        <f t="shared" si="8"/>
        <v>-6.4223763656545696E-4</v>
      </c>
    </row>
    <row r="86" spans="1:9" x14ac:dyDescent="0.3">
      <c r="A86" s="24" t="s">
        <v>183</v>
      </c>
      <c r="B86" s="62">
        <v>6944.47</v>
      </c>
      <c r="C86" s="24">
        <v>327.75</v>
      </c>
      <c r="D86" s="24" t="s">
        <v>183</v>
      </c>
      <c r="E86" s="26">
        <f t="shared" si="5"/>
        <v>116.44761553424105</v>
      </c>
      <c r="F86" s="26">
        <f t="shared" si="6"/>
        <v>89.086708344658874</v>
      </c>
      <c r="H86" s="67">
        <f t="shared" si="7"/>
        <v>-4.3138803657685187E-3</v>
      </c>
      <c r="I86" s="67">
        <v>-4.3138803657685187E-3</v>
      </c>
    </row>
    <row r="87" spans="1:9" x14ac:dyDescent="0.3">
      <c r="A87" s="24" t="s">
        <v>184</v>
      </c>
      <c r="B87" s="62">
        <v>6926.6</v>
      </c>
      <c r="C87" s="24">
        <v>329.17</v>
      </c>
      <c r="D87" s="24" t="s">
        <v>184</v>
      </c>
      <c r="E87" s="26">
        <f t="shared" si="5"/>
        <v>116.14796431685558</v>
      </c>
      <c r="F87" s="26">
        <f t="shared" si="6"/>
        <v>89.472682794237571</v>
      </c>
      <c r="H87" s="67">
        <f t="shared" si="7"/>
        <v>3.934366231548081E-3</v>
      </c>
      <c r="I87" s="67">
        <v>3.934366231548081E-3</v>
      </c>
    </row>
    <row r="88" spans="1:9" x14ac:dyDescent="0.3">
      <c r="A88" s="24" t="s">
        <v>185</v>
      </c>
      <c r="B88" s="62">
        <v>6963.74</v>
      </c>
      <c r="C88" s="24">
        <v>327.88</v>
      </c>
      <c r="D88" s="24" t="s">
        <v>185</v>
      </c>
      <c r="E88" s="26">
        <f t="shared" si="5"/>
        <v>116.77074250452746</v>
      </c>
      <c r="F88" s="26">
        <f t="shared" si="6"/>
        <v>89.12204403370481</v>
      </c>
      <c r="H88" s="67">
        <f t="shared" si="7"/>
        <v>-4.4638694638694632E-2</v>
      </c>
      <c r="I88" s="67">
        <v>-4.4638694638694632E-2</v>
      </c>
    </row>
    <row r="89" spans="1:9" x14ac:dyDescent="0.3">
      <c r="A89" s="63">
        <v>46357</v>
      </c>
      <c r="B89" s="62">
        <v>6977.27</v>
      </c>
      <c r="C89" s="24">
        <v>343.2</v>
      </c>
      <c r="D89" s="63">
        <v>46357</v>
      </c>
      <c r="E89" s="26">
        <f t="shared" si="5"/>
        <v>116.99761888792004</v>
      </c>
      <c r="F89" s="26">
        <f t="shared" si="6"/>
        <v>93.286219081272094</v>
      </c>
      <c r="H89" s="67">
        <f t="shared" si="7"/>
        <v>-1.8783772193155523E-2</v>
      </c>
      <c r="I89" s="67">
        <v>-1.8783772193155523E-2</v>
      </c>
    </row>
    <row r="90" spans="1:9" x14ac:dyDescent="0.3">
      <c r="A90" s="63">
        <v>46266</v>
      </c>
      <c r="B90" s="62">
        <v>6966.28</v>
      </c>
      <c r="C90" s="24">
        <v>349.77</v>
      </c>
      <c r="D90" s="63">
        <v>46266</v>
      </c>
      <c r="E90" s="26">
        <f t="shared" si="5"/>
        <v>116.81333422764773</v>
      </c>
      <c r="F90" s="26">
        <f t="shared" si="6"/>
        <v>95.072030443055183</v>
      </c>
      <c r="H90" s="67">
        <f t="shared" si="7"/>
        <v>-6.9840729069075014E-3</v>
      </c>
      <c r="I90" s="67">
        <v>-6.9840729069075014E-3</v>
      </c>
    </row>
    <row r="91" spans="1:9" x14ac:dyDescent="0.3">
      <c r="A91" s="63">
        <v>46235</v>
      </c>
      <c r="B91" s="62">
        <v>6921.46</v>
      </c>
      <c r="C91" s="24">
        <v>352.23</v>
      </c>
      <c r="D91" s="63">
        <v>46235</v>
      </c>
      <c r="E91" s="26">
        <f t="shared" si="5"/>
        <v>116.0617747669193</v>
      </c>
      <c r="F91" s="26">
        <f t="shared" si="6"/>
        <v>95.740690405001359</v>
      </c>
      <c r="H91" s="67">
        <f t="shared" si="7"/>
        <v>-1.0256266157131599E-2</v>
      </c>
      <c r="I91" s="67">
        <v>-1.0256266157131599E-2</v>
      </c>
    </row>
    <row r="92" spans="1:9" x14ac:dyDescent="0.3">
      <c r="A92" s="63">
        <v>46204</v>
      </c>
      <c r="B92" s="62">
        <v>6920.93</v>
      </c>
      <c r="C92" s="24">
        <v>355.88</v>
      </c>
      <c r="D92" s="63">
        <v>46204</v>
      </c>
      <c r="E92" s="26">
        <f t="shared" si="5"/>
        <v>116.05288751760681</v>
      </c>
      <c r="F92" s="26">
        <f t="shared" si="6"/>
        <v>96.732807828214192</v>
      </c>
      <c r="H92" s="67">
        <f t="shared" si="7"/>
        <v>-4.6985121378230188E-3</v>
      </c>
      <c r="I92" s="67">
        <f t="shared" ref="I92:I114" si="9">B92/B93-1</f>
        <v>-3.4399739662078765E-3</v>
      </c>
    </row>
    <row r="93" spans="1:9" x14ac:dyDescent="0.3">
      <c r="A93" s="63">
        <v>46174</v>
      </c>
      <c r="B93" s="62">
        <v>6944.82</v>
      </c>
      <c r="C93" s="24">
        <v>357.56</v>
      </c>
      <c r="D93" s="63">
        <v>46174</v>
      </c>
      <c r="E93" s="26">
        <f t="shared" si="5"/>
        <v>116.45348447246629</v>
      </c>
      <c r="F93" s="26">
        <f t="shared" si="6"/>
        <v>97.189453655884762</v>
      </c>
      <c r="H93" s="67">
        <f t="shared" si="7"/>
        <v>1.0627473148671518E-2</v>
      </c>
      <c r="I93" s="67">
        <f t="shared" si="9"/>
        <v>6.1967096732129523E-3</v>
      </c>
    </row>
    <row r="94" spans="1:9" x14ac:dyDescent="0.3">
      <c r="A94" s="63">
        <v>46143</v>
      </c>
      <c r="B94" s="62">
        <v>6902.05</v>
      </c>
      <c r="C94" s="24">
        <v>353.8</v>
      </c>
      <c r="D94" s="63">
        <v>46143</v>
      </c>
      <c r="E94" s="26">
        <f t="shared" si="5"/>
        <v>115.7363002213428</v>
      </c>
      <c r="F94" s="26">
        <f t="shared" si="6"/>
        <v>96.167436803479205</v>
      </c>
      <c r="H94" s="67">
        <f t="shared" si="7"/>
        <v>2.1126760563380254E-2</v>
      </c>
      <c r="I94" s="67">
        <f t="shared" si="9"/>
        <v>6.3541868667500445E-3</v>
      </c>
    </row>
    <row r="95" spans="1:9" x14ac:dyDescent="0.3">
      <c r="A95" s="63">
        <v>46054</v>
      </c>
      <c r="B95" s="62">
        <v>6858.47</v>
      </c>
      <c r="C95" s="24">
        <v>346.48</v>
      </c>
      <c r="D95" s="63">
        <v>46054</v>
      </c>
      <c r="E95" s="26">
        <f t="shared" si="5"/>
        <v>115.00553357032665</v>
      </c>
      <c r="F95" s="26">
        <f t="shared" si="6"/>
        <v>94.177765697200329</v>
      </c>
      <c r="H95" s="67">
        <f t="shared" si="7"/>
        <v>-1.2061247184283252E-2</v>
      </c>
      <c r="I95" s="67">
        <f t="shared" si="9"/>
        <v>1.8946753341611E-3</v>
      </c>
    </row>
    <row r="96" spans="1:9" x14ac:dyDescent="0.3">
      <c r="A96" s="24" t="s">
        <v>186</v>
      </c>
      <c r="B96" s="62">
        <v>6845.5</v>
      </c>
      <c r="C96" s="24">
        <v>350.71</v>
      </c>
      <c r="D96" s="24" t="s">
        <v>186</v>
      </c>
      <c r="E96" s="26">
        <f t="shared" si="5"/>
        <v>114.78804748809443</v>
      </c>
      <c r="F96" s="26">
        <f t="shared" si="6"/>
        <v>95.327534656156573</v>
      </c>
      <c r="H96" s="67">
        <f t="shared" si="7"/>
        <v>-8.2291725581132846E-3</v>
      </c>
      <c r="I96" s="67">
        <f t="shared" si="9"/>
        <v>-7.3576325649918894E-3</v>
      </c>
    </row>
    <row r="97" spans="1:9" x14ac:dyDescent="0.3">
      <c r="A97" s="24" t="s">
        <v>187</v>
      </c>
      <c r="B97" s="62">
        <v>6896.24</v>
      </c>
      <c r="C97" s="24">
        <v>353.62</v>
      </c>
      <c r="D97" s="24" t="s">
        <v>187</v>
      </c>
      <c r="E97" s="26">
        <f t="shared" si="5"/>
        <v>115.63887584680394</v>
      </c>
      <c r="F97" s="26">
        <f t="shared" si="6"/>
        <v>96.118510464800224</v>
      </c>
      <c r="H97" s="67">
        <f t="shared" si="7"/>
        <v>-2.7917994416400971E-3</v>
      </c>
      <c r="I97" s="67">
        <f t="shared" si="9"/>
        <v>-1.3756671985912794E-3</v>
      </c>
    </row>
    <row r="98" spans="1:9" x14ac:dyDescent="0.3">
      <c r="A98" s="24" t="s">
        <v>188</v>
      </c>
      <c r="B98" s="62">
        <v>6905.74</v>
      </c>
      <c r="C98" s="24">
        <v>354.61</v>
      </c>
      <c r="D98" s="24" t="s">
        <v>188</v>
      </c>
      <c r="E98" s="26">
        <f t="shared" si="5"/>
        <v>115.79817559863169</v>
      </c>
      <c r="F98" s="26">
        <f t="shared" si="6"/>
        <v>96.387605327534658</v>
      </c>
      <c r="H98" s="67">
        <f t="shared" si="7"/>
        <v>-1.0985915492957021E-3</v>
      </c>
      <c r="I98" s="67">
        <f t="shared" si="9"/>
        <v>-3.4920937266411656E-3</v>
      </c>
    </row>
    <row r="99" spans="1:9" x14ac:dyDescent="0.3">
      <c r="A99" s="24" t="s">
        <v>189</v>
      </c>
      <c r="B99" s="62">
        <v>6929.94</v>
      </c>
      <c r="C99" s="24">
        <v>355</v>
      </c>
      <c r="D99" s="24" t="s">
        <v>189</v>
      </c>
      <c r="E99" s="26">
        <f t="shared" si="5"/>
        <v>116.20397075591923</v>
      </c>
      <c r="F99" s="26">
        <f t="shared" si="6"/>
        <v>96.493612394672468</v>
      </c>
      <c r="H99" s="67">
        <f t="shared" si="7"/>
        <v>-3.942107337950862E-4</v>
      </c>
      <c r="I99" s="67">
        <f t="shared" si="9"/>
        <v>-3.043832632483312E-4</v>
      </c>
    </row>
    <row r="100" spans="1:9" x14ac:dyDescent="0.3">
      <c r="A100" s="24" t="s">
        <v>190</v>
      </c>
      <c r="B100" s="62">
        <v>6932.05</v>
      </c>
      <c r="C100" s="24">
        <v>355.14</v>
      </c>
      <c r="D100" s="24" t="s">
        <v>190</v>
      </c>
      <c r="E100" s="26">
        <f t="shared" si="5"/>
        <v>116.23935206921993</v>
      </c>
      <c r="F100" s="26">
        <f t="shared" si="6"/>
        <v>96.531666213645025</v>
      </c>
      <c r="H100" s="67">
        <f t="shared" si="7"/>
        <v>4.9804742769823385E-3</v>
      </c>
      <c r="I100" s="67">
        <f t="shared" si="9"/>
        <v>3.2215161386959235E-3</v>
      </c>
    </row>
    <row r="101" spans="1:9" x14ac:dyDescent="0.3">
      <c r="A101" s="24" t="s">
        <v>191</v>
      </c>
      <c r="B101" s="62">
        <v>6909.79</v>
      </c>
      <c r="C101" s="24">
        <v>353.38</v>
      </c>
      <c r="D101" s="24" t="s">
        <v>191</v>
      </c>
      <c r="E101" s="26">
        <f t="shared" si="5"/>
        <v>115.86608759809511</v>
      </c>
      <c r="F101" s="26">
        <f t="shared" si="6"/>
        <v>96.053275346561577</v>
      </c>
      <c r="H101" s="67">
        <f t="shared" si="7"/>
        <v>3.6638359510352547E-3</v>
      </c>
      <c r="I101" s="67">
        <f t="shared" si="9"/>
        <v>4.5504173154282679E-3</v>
      </c>
    </row>
    <row r="102" spans="1:9" x14ac:dyDescent="0.3">
      <c r="A102" s="24" t="s">
        <v>192</v>
      </c>
      <c r="B102" s="62">
        <v>6878.49</v>
      </c>
      <c r="C102" s="24">
        <v>352.09</v>
      </c>
      <c r="D102" s="24" t="s">
        <v>192</v>
      </c>
      <c r="E102" s="26">
        <f t="shared" si="5"/>
        <v>115.34123683680997</v>
      </c>
      <c r="F102" s="26">
        <f t="shared" si="6"/>
        <v>95.702636586028817</v>
      </c>
      <c r="H102" s="67">
        <f t="shared" si="7"/>
        <v>8.1317108088760914E-3</v>
      </c>
      <c r="I102" s="67">
        <f t="shared" si="9"/>
        <v>6.4364620674519646E-3</v>
      </c>
    </row>
    <row r="103" spans="1:9" x14ac:dyDescent="0.3">
      <c r="A103" s="24" t="s">
        <v>193</v>
      </c>
      <c r="B103" s="62">
        <v>6834.5</v>
      </c>
      <c r="C103" s="24">
        <v>349.25</v>
      </c>
      <c r="D103" s="24" t="s">
        <v>193</v>
      </c>
      <c r="E103" s="26">
        <f t="shared" si="5"/>
        <v>114.60359514387282</v>
      </c>
      <c r="F103" s="26">
        <f t="shared" si="6"/>
        <v>94.930687686871437</v>
      </c>
      <c r="H103" s="67">
        <f t="shared" si="7"/>
        <v>9.363891217016862E-3</v>
      </c>
      <c r="I103" s="67">
        <f t="shared" si="9"/>
        <v>8.8180245499471788E-3</v>
      </c>
    </row>
    <row r="104" spans="1:9" x14ac:dyDescent="0.3">
      <c r="A104" s="24" t="s">
        <v>194</v>
      </c>
      <c r="B104" s="62">
        <v>6774.76</v>
      </c>
      <c r="C104" s="24">
        <v>346.01</v>
      </c>
      <c r="D104" s="24" t="s">
        <v>194</v>
      </c>
      <c r="E104" s="26">
        <f t="shared" si="5"/>
        <v>113.60185123080018</v>
      </c>
      <c r="F104" s="26">
        <f t="shared" si="6"/>
        <v>94.050013590649641</v>
      </c>
      <c r="H104" s="67">
        <f t="shared" si="7"/>
        <v>4.645625852907731E-3</v>
      </c>
      <c r="I104" s="67">
        <f t="shared" si="9"/>
        <v>7.9343234996123169E-3</v>
      </c>
    </row>
    <row r="105" spans="1:9" x14ac:dyDescent="0.3">
      <c r="A105" s="24" t="s">
        <v>195</v>
      </c>
      <c r="B105" s="62">
        <v>6721.43</v>
      </c>
      <c r="C105" s="24">
        <v>344.41</v>
      </c>
      <c r="D105" s="24" t="s">
        <v>195</v>
      </c>
      <c r="E105" s="26">
        <f t="shared" si="5"/>
        <v>112.70759272922395</v>
      </c>
      <c r="F105" s="26">
        <f t="shared" si="6"/>
        <v>93.615112802391963</v>
      </c>
      <c r="H105" s="67">
        <f t="shared" si="7"/>
        <v>-2.0283387905305483E-3</v>
      </c>
      <c r="I105" s="67">
        <f t="shared" si="9"/>
        <v>-1.1592203827500702E-2</v>
      </c>
    </row>
    <row r="106" spans="1:9" x14ac:dyDescent="0.3">
      <c r="A106" s="24" t="s">
        <v>196</v>
      </c>
      <c r="B106" s="62">
        <v>6800.26</v>
      </c>
      <c r="C106" s="24">
        <v>345.11</v>
      </c>
      <c r="D106" s="24" t="s">
        <v>196</v>
      </c>
      <c r="E106" s="26">
        <f t="shared" si="5"/>
        <v>114.02944530149573</v>
      </c>
      <c r="F106" s="26">
        <f t="shared" si="6"/>
        <v>93.805381897254691</v>
      </c>
      <c r="H106" s="67">
        <f t="shared" si="7"/>
        <v>-5.1313096370606548E-3</v>
      </c>
      <c r="I106" s="67">
        <f t="shared" si="9"/>
        <v>-2.3839178699950336E-3</v>
      </c>
    </row>
    <row r="107" spans="1:9" x14ac:dyDescent="0.3">
      <c r="A107" s="24" t="s">
        <v>197</v>
      </c>
      <c r="B107" s="62">
        <v>6816.51</v>
      </c>
      <c r="C107" s="24">
        <v>346.89</v>
      </c>
      <c r="D107" s="24" t="s">
        <v>197</v>
      </c>
      <c r="E107" s="26">
        <f t="shared" si="5"/>
        <v>114.30193171909585</v>
      </c>
      <c r="F107" s="26">
        <f t="shared" si="6"/>
        <v>94.289209024191365</v>
      </c>
      <c r="H107" s="67">
        <f t="shared" si="7"/>
        <v>-2.7024695972169832E-3</v>
      </c>
      <c r="I107" s="67">
        <f t="shared" si="9"/>
        <v>-1.5965058492165562E-3</v>
      </c>
    </row>
    <row r="108" spans="1:9" x14ac:dyDescent="0.3">
      <c r="A108" s="63">
        <v>46003</v>
      </c>
      <c r="B108" s="62">
        <v>6827.41</v>
      </c>
      <c r="C108" s="24">
        <v>347.83</v>
      </c>
      <c r="D108" s="63">
        <v>46003</v>
      </c>
      <c r="E108" s="26">
        <f t="shared" si="5"/>
        <v>114.48470722382453</v>
      </c>
      <c r="F108" s="26">
        <f t="shared" si="6"/>
        <v>94.544713237292754</v>
      </c>
      <c r="H108" s="67">
        <f t="shared" si="7"/>
        <v>6.3651882070421273E-3</v>
      </c>
      <c r="I108" s="67">
        <f t="shared" si="9"/>
        <v>-1.0663671931604113E-2</v>
      </c>
    </row>
    <row r="109" spans="1:9" x14ac:dyDescent="0.3">
      <c r="A109" s="63">
        <v>45973</v>
      </c>
      <c r="B109" s="62">
        <v>6901</v>
      </c>
      <c r="C109" s="24">
        <v>345.63</v>
      </c>
      <c r="D109" s="63">
        <v>45973</v>
      </c>
      <c r="E109" s="26">
        <f t="shared" si="5"/>
        <v>115.7186934066671</v>
      </c>
      <c r="F109" s="26">
        <f t="shared" si="6"/>
        <v>93.946724653438437</v>
      </c>
      <c r="H109" s="67">
        <f t="shared" si="7"/>
        <v>6.1093543732539057E-2</v>
      </c>
      <c r="I109" s="67">
        <f t="shared" si="9"/>
        <v>2.0793764194066977E-3</v>
      </c>
    </row>
    <row r="110" spans="1:9" x14ac:dyDescent="0.3">
      <c r="A110" s="63">
        <v>45942</v>
      </c>
      <c r="B110" s="62">
        <v>6886.68</v>
      </c>
      <c r="C110" s="24">
        <v>325.73</v>
      </c>
      <c r="D110" s="63">
        <v>45942</v>
      </c>
      <c r="E110" s="26">
        <f t="shared" si="5"/>
        <v>115.47856999128042</v>
      </c>
      <c r="F110" s="26">
        <f t="shared" si="6"/>
        <v>88.537646099483567</v>
      </c>
      <c r="H110" s="67">
        <f t="shared" si="7"/>
        <v>-2.3583460949463397E-3</v>
      </c>
      <c r="I110" s="67">
        <f t="shared" si="9"/>
        <v>6.7494967480494772E-3</v>
      </c>
    </row>
    <row r="111" spans="1:9" x14ac:dyDescent="0.3">
      <c r="A111" s="63">
        <v>45912</v>
      </c>
      <c r="B111" s="62">
        <v>6840.51</v>
      </c>
      <c r="C111" s="24">
        <v>326.5</v>
      </c>
      <c r="D111" s="63">
        <v>45912</v>
      </c>
      <c r="E111" s="26">
        <f t="shared" si="5"/>
        <v>114.70437319739754</v>
      </c>
      <c r="F111" s="26">
        <f t="shared" si="6"/>
        <v>88.746942103832566</v>
      </c>
      <c r="H111" s="67">
        <f t="shared" si="7"/>
        <v>-1.0402643495287522E-3</v>
      </c>
      <c r="I111" s="67">
        <f t="shared" si="9"/>
        <v>-8.7635890402559813E-4</v>
      </c>
    </row>
    <row r="112" spans="1:9" x14ac:dyDescent="0.3">
      <c r="A112" s="63">
        <v>45881</v>
      </c>
      <c r="B112" s="62">
        <v>6846.51</v>
      </c>
      <c r="C112" s="24">
        <v>326.83999999999997</v>
      </c>
      <c r="D112" s="63">
        <v>45881</v>
      </c>
      <c r="E112" s="26">
        <f t="shared" si="5"/>
        <v>114.80498356697296</v>
      </c>
      <c r="F112" s="26">
        <f t="shared" si="6"/>
        <v>88.839358521337317</v>
      </c>
      <c r="H112" s="67">
        <f t="shared" si="7"/>
        <v>-1.3283419876826574E-2</v>
      </c>
      <c r="I112" s="67">
        <f t="shared" si="9"/>
        <v>-3.4772356776897606E-3</v>
      </c>
    </row>
    <row r="113" spans="1:9" x14ac:dyDescent="0.3">
      <c r="A113" s="63">
        <v>45789</v>
      </c>
      <c r="B113" s="62">
        <v>6870.4</v>
      </c>
      <c r="C113" s="24">
        <v>331.24</v>
      </c>
      <c r="D113" s="63">
        <v>45789</v>
      </c>
      <c r="E113" s="26">
        <f t="shared" si="5"/>
        <v>115.20558052183245</v>
      </c>
      <c r="F113" s="26">
        <f t="shared" si="6"/>
        <v>90.035335689045937</v>
      </c>
      <c r="H113" s="67">
        <f t="shared" si="7"/>
        <v>1.2656679914399227E-2</v>
      </c>
      <c r="I113" s="67">
        <f t="shared" si="9"/>
        <v>1.9366731222436595E-3</v>
      </c>
    </row>
    <row r="114" spans="1:9" x14ac:dyDescent="0.3">
      <c r="A114" s="63">
        <v>45759</v>
      </c>
      <c r="B114" s="62">
        <v>6857.12</v>
      </c>
      <c r="C114" s="24">
        <v>327.10000000000002</v>
      </c>
      <c r="D114" s="63">
        <v>45759</v>
      </c>
      <c r="E114" s="26">
        <f t="shared" si="5"/>
        <v>114.98289623717217</v>
      </c>
      <c r="F114" s="26">
        <f t="shared" si="6"/>
        <v>88.910029899429205</v>
      </c>
      <c r="H114" s="67">
        <f t="shared" si="7"/>
        <v>-7.6150602226874309E-3</v>
      </c>
      <c r="I114" s="67">
        <f t="shared" si="9"/>
        <v>1.0803361305278258E-3</v>
      </c>
    </row>
    <row r="115" spans="1:9" x14ac:dyDescent="0.3">
      <c r="A115" s="63">
        <v>45728</v>
      </c>
      <c r="B115" s="62">
        <v>6849.72</v>
      </c>
      <c r="C115" s="24">
        <v>329.61</v>
      </c>
      <c r="D115" s="63">
        <v>45728</v>
      </c>
      <c r="E115" s="26">
        <f t="shared" si="5"/>
        <v>114.85881011469581</v>
      </c>
      <c r="F115" s="26">
        <f t="shared" si="6"/>
        <v>89.592280511008425</v>
      </c>
      <c r="H115" s="67">
        <f t="shared" si="7"/>
        <v>-3.0337964929239014E-5</v>
      </c>
      <c r="I115" s="67">
        <v>-3.0337964929239014E-5</v>
      </c>
    </row>
    <row r="116" spans="1:9" x14ac:dyDescent="0.3">
      <c r="A116" s="63">
        <v>45700</v>
      </c>
      <c r="B116" s="62">
        <v>6829.37</v>
      </c>
      <c r="C116" s="24">
        <v>329.62</v>
      </c>
      <c r="D116" s="63">
        <v>45700</v>
      </c>
      <c r="E116" s="26">
        <f t="shared" si="5"/>
        <v>114.51757327788583</v>
      </c>
      <c r="F116" s="26">
        <f t="shared" si="6"/>
        <v>89.594998640935046</v>
      </c>
      <c r="H116" s="67">
        <f t="shared" si="7"/>
        <v>-2.3305790126819659E-3</v>
      </c>
      <c r="I116" s="67">
        <v>-2.3305790126819659E-3</v>
      </c>
    </row>
    <row r="117" spans="1:9" x14ac:dyDescent="0.3">
      <c r="A117" s="63">
        <v>45669</v>
      </c>
      <c r="B117" s="62">
        <v>6812.63</v>
      </c>
      <c r="C117" s="24">
        <v>330.39</v>
      </c>
      <c r="D117" s="63">
        <v>45669</v>
      </c>
      <c r="E117" s="26">
        <f t="shared" si="5"/>
        <v>114.2368703467704</v>
      </c>
      <c r="F117" s="26">
        <f t="shared" si="6"/>
        <v>89.804294645284045</v>
      </c>
      <c r="H117" s="67">
        <f t="shared" si="7"/>
        <v>-1.21097954790097E-2</v>
      </c>
      <c r="I117" s="67">
        <v>-1.21097954790097E-2</v>
      </c>
    </row>
    <row r="118" spans="1:9" x14ac:dyDescent="0.3">
      <c r="A118" s="24" t="s">
        <v>198</v>
      </c>
      <c r="B118" s="62">
        <v>6849.09</v>
      </c>
      <c r="C118" s="24">
        <v>334.44</v>
      </c>
      <c r="D118" s="24" t="s">
        <v>198</v>
      </c>
      <c r="E118" s="26">
        <f t="shared" si="5"/>
        <v>114.84824602589039</v>
      </c>
      <c r="F118" s="26">
        <f t="shared" si="6"/>
        <v>90.905137265561294</v>
      </c>
      <c r="H118" s="67">
        <f t="shared" si="7"/>
        <v>1.9473321549476896E-3</v>
      </c>
      <c r="I118" s="67">
        <v>1.9473321549476896E-3</v>
      </c>
    </row>
    <row r="119" spans="1:9" x14ac:dyDescent="0.3">
      <c r="A119" s="24" t="s">
        <v>199</v>
      </c>
      <c r="B119" s="62">
        <v>6812.61</v>
      </c>
      <c r="C119" s="24">
        <v>333.79</v>
      </c>
      <c r="D119" s="24" t="s">
        <v>199</v>
      </c>
      <c r="E119" s="26">
        <f t="shared" si="5"/>
        <v>114.23653497887182</v>
      </c>
      <c r="F119" s="26">
        <f t="shared" si="6"/>
        <v>90.72845882033161</v>
      </c>
      <c r="H119" s="67">
        <f t="shared" si="7"/>
        <v>-2.2120587092336885E-3</v>
      </c>
      <c r="I119" s="67">
        <v>-2.2120587092336885E-3</v>
      </c>
    </row>
    <row r="120" spans="1:9" x14ac:dyDescent="0.3">
      <c r="A120" s="24" t="s">
        <v>200</v>
      </c>
      <c r="B120" s="62">
        <v>6765.88</v>
      </c>
      <c r="C120" s="24">
        <v>334.53</v>
      </c>
      <c r="D120" s="24" t="s">
        <v>200</v>
      </c>
      <c r="E120" s="26">
        <f t="shared" si="5"/>
        <v>113.45294788382856</v>
      </c>
      <c r="F120" s="26">
        <f t="shared" si="6"/>
        <v>90.929600434900792</v>
      </c>
      <c r="H120" s="67">
        <f t="shared" si="7"/>
        <v>1.5882174309140407E-2</v>
      </c>
      <c r="I120" s="67">
        <v>1.5882174309140407E-2</v>
      </c>
    </row>
    <row r="121" spans="1:9" x14ac:dyDescent="0.3">
      <c r="A121" s="24" t="s">
        <v>201</v>
      </c>
      <c r="B121" s="62">
        <v>6705.12</v>
      </c>
      <c r="C121" s="24">
        <v>329.3</v>
      </c>
      <c r="D121" s="24" t="s">
        <v>201</v>
      </c>
      <c r="E121" s="26">
        <f t="shared" si="5"/>
        <v>112.4341002079281</v>
      </c>
      <c r="F121" s="26">
        <f t="shared" si="6"/>
        <v>89.508018483283507</v>
      </c>
      <c r="H121" s="67">
        <f t="shared" si="7"/>
        <v>4.0246356485151846E-3</v>
      </c>
      <c r="I121" s="67">
        <v>4.0246356485151846E-3</v>
      </c>
    </row>
    <row r="122" spans="1:9" x14ac:dyDescent="0.3">
      <c r="A122" s="24" t="s">
        <v>202</v>
      </c>
      <c r="B122" s="62">
        <v>6602.99</v>
      </c>
      <c r="C122" s="24">
        <v>327.98</v>
      </c>
      <c r="D122" s="24" t="s">
        <v>202</v>
      </c>
      <c r="E122" s="26">
        <f t="shared" si="5"/>
        <v>110.72154403380507</v>
      </c>
      <c r="F122" s="26">
        <f t="shared" si="6"/>
        <v>89.149225332970929</v>
      </c>
      <c r="H122" s="67">
        <f t="shared" si="7"/>
        <v>1.3003057726163725E-2</v>
      </c>
      <c r="I122" s="67">
        <v>1.3003057726163725E-2</v>
      </c>
    </row>
    <row r="123" spans="1:9" x14ac:dyDescent="0.3">
      <c r="A123" s="24" t="s">
        <v>203</v>
      </c>
      <c r="B123" s="62">
        <v>6538.76</v>
      </c>
      <c r="C123" s="24">
        <v>323.77</v>
      </c>
      <c r="D123" s="24" t="s">
        <v>203</v>
      </c>
      <c r="E123" s="26">
        <f t="shared" si="5"/>
        <v>109.64451002750016</v>
      </c>
      <c r="F123" s="26">
        <f t="shared" si="6"/>
        <v>88.004892633867911</v>
      </c>
      <c r="H123" s="67">
        <f t="shared" si="7"/>
        <v>-1.0798469702579805E-3</v>
      </c>
      <c r="I123" s="67">
        <v>-1.0798469702579805E-3</v>
      </c>
    </row>
    <row r="124" spans="1:9" x14ac:dyDescent="0.3">
      <c r="A124" s="24" t="s">
        <v>204</v>
      </c>
      <c r="B124" s="62">
        <v>6642.16</v>
      </c>
      <c r="C124" s="24">
        <v>324.12</v>
      </c>
      <c r="D124" s="24" t="s">
        <v>204</v>
      </c>
      <c r="E124" s="26">
        <f t="shared" si="5"/>
        <v>111.3783620631833</v>
      </c>
      <c r="F124" s="26">
        <f t="shared" si="6"/>
        <v>88.100027181299268</v>
      </c>
      <c r="H124" s="67">
        <f t="shared" si="7"/>
        <v>9.1537455632355602E-3</v>
      </c>
      <c r="I124" s="67">
        <v>9.1537455632355602E-3</v>
      </c>
    </row>
    <row r="125" spans="1:9" x14ac:dyDescent="0.3">
      <c r="A125" s="24" t="s">
        <v>205</v>
      </c>
      <c r="B125" s="62">
        <v>6617.32</v>
      </c>
      <c r="C125" s="24">
        <v>321.18</v>
      </c>
      <c r="D125" s="24" t="s">
        <v>205</v>
      </c>
      <c r="E125" s="26">
        <f t="shared" si="5"/>
        <v>110.96183513314105</v>
      </c>
      <c r="F125" s="26">
        <f t="shared" si="6"/>
        <v>87.300896982875784</v>
      </c>
      <c r="H125" s="67">
        <f t="shared" si="7"/>
        <v>-1.4029163468917916E-2</v>
      </c>
      <c r="I125" s="67">
        <f t="shared" ref="I125:I152" si="10">B125/B126-1</f>
        <v>-8.2563871224939911E-3</v>
      </c>
    </row>
    <row r="126" spans="1:9" x14ac:dyDescent="0.3">
      <c r="A126" s="24" t="s">
        <v>206</v>
      </c>
      <c r="B126" s="62">
        <v>6672.41</v>
      </c>
      <c r="C126" s="24">
        <v>325.75</v>
      </c>
      <c r="D126" s="24" t="s">
        <v>206</v>
      </c>
      <c r="E126" s="26">
        <f t="shared" si="5"/>
        <v>111.88560600979274</v>
      </c>
      <c r="F126" s="26">
        <f t="shared" si="6"/>
        <v>88.543082359336779</v>
      </c>
      <c r="H126" s="67">
        <f t="shared" si="7"/>
        <v>-1.2938609781225296E-2</v>
      </c>
      <c r="I126" s="67">
        <f t="shared" si="10"/>
        <v>-9.1623094959838447E-3</v>
      </c>
    </row>
    <row r="127" spans="1:9" x14ac:dyDescent="0.3">
      <c r="A127" s="24" t="s">
        <v>207</v>
      </c>
      <c r="B127" s="62">
        <v>6734.11</v>
      </c>
      <c r="C127" s="24">
        <v>330.02</v>
      </c>
      <c r="D127" s="24" t="s">
        <v>207</v>
      </c>
      <c r="E127" s="26">
        <f t="shared" si="5"/>
        <v>112.92021597692668</v>
      </c>
      <c r="F127" s="26">
        <f t="shared" si="6"/>
        <v>89.703723837999462</v>
      </c>
      <c r="H127" s="67">
        <f t="shared" si="7"/>
        <v>-1.8031421090216604E-2</v>
      </c>
      <c r="I127" s="67">
        <f t="shared" si="10"/>
        <v>-5.016705034071034E-4</v>
      </c>
    </row>
    <row r="128" spans="1:9" x14ac:dyDescent="0.3">
      <c r="A128" s="24" t="s">
        <v>208</v>
      </c>
      <c r="B128" s="62">
        <v>6737.49</v>
      </c>
      <c r="C128" s="24">
        <v>336.08</v>
      </c>
      <c r="D128" s="24" t="s">
        <v>208</v>
      </c>
      <c r="E128" s="26">
        <f t="shared" si="5"/>
        <v>112.97689315178751</v>
      </c>
      <c r="F128" s="26">
        <f t="shared" si="6"/>
        <v>91.350910573525425</v>
      </c>
      <c r="H128" s="67">
        <f t="shared" si="7"/>
        <v>-8.2625118035882794E-3</v>
      </c>
      <c r="I128" s="67">
        <f t="shared" si="10"/>
        <v>-1.6556900387101336E-2</v>
      </c>
    </row>
    <row r="129" spans="1:9" x14ac:dyDescent="0.3">
      <c r="A129" s="63">
        <v>46002</v>
      </c>
      <c r="B129" s="62">
        <v>6850.92</v>
      </c>
      <c r="C129" s="24">
        <v>338.88</v>
      </c>
      <c r="D129" s="63">
        <v>46002</v>
      </c>
      <c r="E129" s="26">
        <f t="shared" si="5"/>
        <v>114.8789321886109</v>
      </c>
      <c r="F129" s="26">
        <f t="shared" si="6"/>
        <v>92.111986952976352</v>
      </c>
      <c r="H129" s="67">
        <f t="shared" si="7"/>
        <v>-1.1802195208310273E-4</v>
      </c>
      <c r="I129" s="67">
        <f t="shared" si="10"/>
        <v>6.2950861813360071E-4</v>
      </c>
    </row>
    <row r="130" spans="1:9" x14ac:dyDescent="0.3">
      <c r="A130" s="63">
        <v>45972</v>
      </c>
      <c r="B130" s="62">
        <v>6846.61</v>
      </c>
      <c r="C130" s="24">
        <v>338.92</v>
      </c>
      <c r="D130" s="63">
        <v>45972</v>
      </c>
      <c r="E130" s="26">
        <f t="shared" ref="E130:E193" si="11">$E$252*B130/$B$252</f>
        <v>114.80666040646588</v>
      </c>
      <c r="F130" s="26">
        <f t="shared" ref="F130:F193" si="12">$F$252*C130/$C$252</f>
        <v>92.122859472682805</v>
      </c>
      <c r="H130" s="67">
        <f t="shared" si="7"/>
        <v>1.2154696132596676E-2</v>
      </c>
      <c r="I130" s="67">
        <f t="shared" si="10"/>
        <v>2.0753963084874094E-3</v>
      </c>
    </row>
    <row r="131" spans="1:9" x14ac:dyDescent="0.3">
      <c r="A131" s="63">
        <v>45941</v>
      </c>
      <c r="B131" s="62">
        <v>6832.43</v>
      </c>
      <c r="C131" s="24">
        <v>334.85</v>
      </c>
      <c r="D131" s="63">
        <v>45941</v>
      </c>
      <c r="E131" s="26">
        <f t="shared" si="11"/>
        <v>114.56888456636931</v>
      </c>
      <c r="F131" s="26">
        <f t="shared" si="12"/>
        <v>91.01658059255233</v>
      </c>
      <c r="H131" s="67">
        <f t="shared" ref="H131:H194" si="13">C131/C132-1</f>
        <v>-3.4819355990713952E-3</v>
      </c>
      <c r="I131" s="67">
        <f t="shared" si="10"/>
        <v>1.5400963024610581E-2</v>
      </c>
    </row>
    <row r="132" spans="1:9" x14ac:dyDescent="0.3">
      <c r="A132" s="63">
        <v>45849</v>
      </c>
      <c r="B132" s="62">
        <v>6728.8</v>
      </c>
      <c r="C132" s="24">
        <v>336.02</v>
      </c>
      <c r="D132" s="63">
        <v>45849</v>
      </c>
      <c r="E132" s="26">
        <f t="shared" si="11"/>
        <v>112.83117579985243</v>
      </c>
      <c r="F132" s="26">
        <f t="shared" si="12"/>
        <v>91.33460179396576</v>
      </c>
      <c r="H132" s="67">
        <f t="shared" si="13"/>
        <v>-2.7896486229819217E-3</v>
      </c>
      <c r="I132" s="67">
        <f t="shared" si="10"/>
        <v>1.2618446740633171E-3</v>
      </c>
    </row>
    <row r="133" spans="1:9" x14ac:dyDescent="0.3">
      <c r="A133" s="63">
        <v>45819</v>
      </c>
      <c r="B133" s="62">
        <v>6720.32</v>
      </c>
      <c r="C133" s="24">
        <v>336.96</v>
      </c>
      <c r="D133" s="63">
        <v>45819</v>
      </c>
      <c r="E133" s="26">
        <f t="shared" si="11"/>
        <v>112.6889798108525</v>
      </c>
      <c r="F133" s="26">
        <f t="shared" si="12"/>
        <v>91.590106007067149</v>
      </c>
      <c r="H133" s="67">
        <f t="shared" si="13"/>
        <v>-9.0577579108341855E-3</v>
      </c>
      <c r="I133" s="67">
        <f t="shared" si="10"/>
        <v>-1.1178157494750818E-2</v>
      </c>
    </row>
    <row r="134" spans="1:9" x14ac:dyDescent="0.3">
      <c r="A134" s="63">
        <v>45788</v>
      </c>
      <c r="B134" s="62">
        <v>6796.29</v>
      </c>
      <c r="C134" s="24">
        <v>340.04</v>
      </c>
      <c r="D134" s="63">
        <v>45788</v>
      </c>
      <c r="E134" s="26">
        <f t="shared" si="11"/>
        <v>113.96287477362667</v>
      </c>
      <c r="F134" s="26">
        <f t="shared" si="12"/>
        <v>92.427290024463176</v>
      </c>
      <c r="H134" s="67">
        <f t="shared" si="13"/>
        <v>-7.6403173670291924E-4</v>
      </c>
      <c r="I134" s="67">
        <f t="shared" si="10"/>
        <v>3.6535209811638936E-3</v>
      </c>
    </row>
    <row r="135" spans="1:9" x14ac:dyDescent="0.3">
      <c r="A135" s="63">
        <v>45758</v>
      </c>
      <c r="B135" s="62">
        <v>6771.55</v>
      </c>
      <c r="C135" s="24">
        <v>340.3</v>
      </c>
      <c r="D135" s="63">
        <v>45758</v>
      </c>
      <c r="E135" s="26">
        <f t="shared" si="11"/>
        <v>113.54802468307733</v>
      </c>
      <c r="F135" s="26">
        <f t="shared" si="12"/>
        <v>92.497961402555049</v>
      </c>
      <c r="H135" s="67">
        <f t="shared" si="13"/>
        <v>1.0092015434847168E-2</v>
      </c>
      <c r="I135" s="67">
        <f t="shared" si="10"/>
        <v>-1.1736770592982726E-2</v>
      </c>
    </row>
    <row r="136" spans="1:9" x14ac:dyDescent="0.3">
      <c r="A136" s="63">
        <v>45727</v>
      </c>
      <c r="B136" s="62">
        <v>6851.97</v>
      </c>
      <c r="C136" s="24">
        <v>336.9</v>
      </c>
      <c r="D136" s="63">
        <v>45727</v>
      </c>
      <c r="E136" s="26">
        <f t="shared" si="11"/>
        <v>114.89653900328661</v>
      </c>
      <c r="F136" s="26">
        <f t="shared" si="12"/>
        <v>91.573797227507484</v>
      </c>
      <c r="H136" s="67">
        <f t="shared" si="13"/>
        <v>-1.1269589716499495E-2</v>
      </c>
      <c r="I136" s="67">
        <f t="shared" si="10"/>
        <v>1.7207099207625642E-3</v>
      </c>
    </row>
    <row r="137" spans="1:9" x14ac:dyDescent="0.3">
      <c r="A137" s="24" t="s">
        <v>209</v>
      </c>
      <c r="B137" s="62">
        <v>6840.2</v>
      </c>
      <c r="C137" s="24">
        <v>340.74</v>
      </c>
      <c r="D137" s="24" t="s">
        <v>209</v>
      </c>
      <c r="E137" s="26">
        <f t="shared" si="11"/>
        <v>114.69917499496947</v>
      </c>
      <c r="F137" s="26">
        <f t="shared" si="12"/>
        <v>92.617559119325904</v>
      </c>
      <c r="H137" s="67">
        <f t="shared" si="13"/>
        <v>-1.2433701417267962E-2</v>
      </c>
      <c r="I137" s="67">
        <f t="shared" si="10"/>
        <v>2.6178701149457417E-3</v>
      </c>
    </row>
    <row r="138" spans="1:9" x14ac:dyDescent="0.3">
      <c r="A138" s="24" t="s">
        <v>210</v>
      </c>
      <c r="B138" s="62">
        <v>6822.34</v>
      </c>
      <c r="C138" s="24">
        <v>345.03</v>
      </c>
      <c r="D138" s="24" t="s">
        <v>210</v>
      </c>
      <c r="E138" s="26">
        <f t="shared" si="11"/>
        <v>114.39969146153329</v>
      </c>
      <c r="F138" s="26">
        <f t="shared" si="12"/>
        <v>93.783636857841813</v>
      </c>
      <c r="H138" s="67">
        <f t="shared" si="13"/>
        <v>1.0988045007032321E-2</v>
      </c>
      <c r="I138" s="67">
        <f t="shared" si="10"/>
        <v>-9.9048122149192341E-3</v>
      </c>
    </row>
    <row r="139" spans="1:9" x14ac:dyDescent="0.3">
      <c r="A139" s="24" t="s">
        <v>211</v>
      </c>
      <c r="B139" s="62">
        <v>6890.59</v>
      </c>
      <c r="C139" s="24">
        <v>341.28</v>
      </c>
      <c r="D139" s="24" t="s">
        <v>211</v>
      </c>
      <c r="E139" s="26">
        <f t="shared" si="11"/>
        <v>115.54413441545374</v>
      </c>
      <c r="F139" s="26">
        <f t="shared" si="12"/>
        <v>92.764338135362877</v>
      </c>
      <c r="H139" s="67">
        <f t="shared" si="13"/>
        <v>-1.6200634188527019E-2</v>
      </c>
      <c r="I139" s="67">
        <f t="shared" si="10"/>
        <v>-4.3535740666289513E-5</v>
      </c>
    </row>
    <row r="140" spans="1:9" x14ac:dyDescent="0.3">
      <c r="A140" s="24" t="s">
        <v>212</v>
      </c>
      <c r="B140" s="62">
        <v>6890.89</v>
      </c>
      <c r="C140" s="24">
        <v>346.9</v>
      </c>
      <c r="D140" s="24" t="s">
        <v>212</v>
      </c>
      <c r="E140" s="26">
        <f t="shared" si="11"/>
        <v>115.54916493393252</v>
      </c>
      <c r="F140" s="26">
        <f t="shared" si="12"/>
        <v>94.291927154117971</v>
      </c>
      <c r="H140" s="67">
        <f t="shared" si="13"/>
        <v>-2.6450462883100823E-3</v>
      </c>
      <c r="I140" s="67">
        <f t="shared" si="10"/>
        <v>2.2879467532392894E-3</v>
      </c>
    </row>
    <row r="141" spans="1:9" x14ac:dyDescent="0.3">
      <c r="A141" s="24" t="s">
        <v>213</v>
      </c>
      <c r="B141" s="62">
        <v>6875.16</v>
      </c>
      <c r="C141" s="24">
        <v>347.82</v>
      </c>
      <c r="D141" s="24" t="s">
        <v>213</v>
      </c>
      <c r="E141" s="26">
        <f t="shared" si="11"/>
        <v>115.28539808169562</v>
      </c>
      <c r="F141" s="26">
        <f t="shared" si="12"/>
        <v>94.541995107366134</v>
      </c>
      <c r="H141" s="67">
        <f t="shared" si="13"/>
        <v>1.2666244458519049E-3</v>
      </c>
      <c r="I141" s="67">
        <f t="shared" si="10"/>
        <v>1.2290019126314666E-2</v>
      </c>
    </row>
    <row r="142" spans="1:9" x14ac:dyDescent="0.3">
      <c r="A142" s="24" t="s">
        <v>214</v>
      </c>
      <c r="B142" s="62">
        <v>6791.69</v>
      </c>
      <c r="C142" s="24">
        <v>347.38</v>
      </c>
      <c r="D142" s="24" t="s">
        <v>214</v>
      </c>
      <c r="E142" s="26">
        <f t="shared" si="11"/>
        <v>113.88574015695217</v>
      </c>
      <c r="F142" s="26">
        <f t="shared" si="12"/>
        <v>94.422397390595279</v>
      </c>
      <c r="H142" s="67">
        <f t="shared" si="13"/>
        <v>4.1045207538443762E-3</v>
      </c>
      <c r="I142" s="67">
        <f t="shared" si="10"/>
        <v>7.9024225191588471E-3</v>
      </c>
    </row>
    <row r="143" spans="1:9" x14ac:dyDescent="0.3">
      <c r="A143" s="24" t="s">
        <v>215</v>
      </c>
      <c r="B143" s="62">
        <v>6738.44</v>
      </c>
      <c r="C143" s="24">
        <v>345.96</v>
      </c>
      <c r="D143" s="24" t="s">
        <v>215</v>
      </c>
      <c r="E143" s="26">
        <f t="shared" si="11"/>
        <v>112.99282312697028</v>
      </c>
      <c r="F143" s="26">
        <f t="shared" si="12"/>
        <v>94.036422941016582</v>
      </c>
      <c r="H143" s="67">
        <f t="shared" si="13"/>
        <v>1.7373175816537412E-3</v>
      </c>
      <c r="I143" s="67">
        <f t="shared" si="10"/>
        <v>5.8273875272412123E-3</v>
      </c>
    </row>
    <row r="144" spans="1:9" x14ac:dyDescent="0.3">
      <c r="A144" s="24" t="s">
        <v>216</v>
      </c>
      <c r="B144" s="62">
        <v>6699.4</v>
      </c>
      <c r="C144" s="24">
        <v>345.36</v>
      </c>
      <c r="D144" s="24" t="s">
        <v>216</v>
      </c>
      <c r="E144" s="26">
        <f t="shared" si="11"/>
        <v>112.33818498893285</v>
      </c>
      <c r="F144" s="26">
        <f t="shared" si="12"/>
        <v>93.873335145419958</v>
      </c>
      <c r="H144" s="67">
        <f t="shared" si="13"/>
        <v>-5.3281875522017685E-3</v>
      </c>
      <c r="I144" s="67">
        <f t="shared" si="10"/>
        <v>-5.3375103001329638E-3</v>
      </c>
    </row>
    <row r="145" spans="1:9" x14ac:dyDescent="0.3">
      <c r="A145" s="24" t="s">
        <v>217</v>
      </c>
      <c r="B145" s="62">
        <v>6735.35</v>
      </c>
      <c r="C145" s="24">
        <v>347.21</v>
      </c>
      <c r="D145" s="24" t="s">
        <v>217</v>
      </c>
      <c r="E145" s="26">
        <f t="shared" si="11"/>
        <v>112.94100878663893</v>
      </c>
      <c r="F145" s="26">
        <f t="shared" si="12"/>
        <v>94.376189181842904</v>
      </c>
      <c r="H145" s="67">
        <f t="shared" si="13"/>
        <v>8.1298452425886403E-3</v>
      </c>
      <c r="I145" s="67">
        <f t="shared" si="10"/>
        <v>3.2664551389505192E-5</v>
      </c>
    </row>
    <row r="146" spans="1:9" x14ac:dyDescent="0.3">
      <c r="A146" s="24" t="s">
        <v>218</v>
      </c>
      <c r="B146" s="62">
        <v>6735.13</v>
      </c>
      <c r="C146" s="24">
        <v>344.41</v>
      </c>
      <c r="D146" s="24" t="s">
        <v>218</v>
      </c>
      <c r="E146" s="26">
        <f t="shared" si="11"/>
        <v>112.9373197397545</v>
      </c>
      <c r="F146" s="26">
        <f t="shared" si="12"/>
        <v>93.615112802391963</v>
      </c>
      <c r="H146" s="67">
        <f t="shared" si="13"/>
        <v>7.3707917751324459E-3</v>
      </c>
      <c r="I146" s="67">
        <f t="shared" si="10"/>
        <v>1.0672252892777845E-2</v>
      </c>
    </row>
    <row r="147" spans="1:9" x14ac:dyDescent="0.3">
      <c r="A147" s="24" t="s">
        <v>219</v>
      </c>
      <c r="B147" s="62">
        <v>6664.01</v>
      </c>
      <c r="C147" s="24">
        <v>341.89</v>
      </c>
      <c r="D147" s="24" t="s">
        <v>219</v>
      </c>
      <c r="E147" s="26">
        <f t="shared" si="11"/>
        <v>111.74475149238714</v>
      </c>
      <c r="F147" s="26">
        <f t="shared" si="12"/>
        <v>92.930144060886121</v>
      </c>
      <c r="H147" s="67">
        <f t="shared" si="13"/>
        <v>1.9350029815146108E-2</v>
      </c>
      <c r="I147" s="67">
        <f t="shared" si="10"/>
        <v>5.270724249404557E-3</v>
      </c>
    </row>
    <row r="148" spans="1:9" x14ac:dyDescent="0.3">
      <c r="A148" s="24" t="s">
        <v>220</v>
      </c>
      <c r="B148" s="62">
        <v>6629.07</v>
      </c>
      <c r="C148" s="24">
        <v>335.4</v>
      </c>
      <c r="D148" s="24" t="s">
        <v>220</v>
      </c>
      <c r="E148" s="26">
        <f t="shared" si="11"/>
        <v>111.15886377355959</v>
      </c>
      <c r="F148" s="26">
        <f t="shared" si="12"/>
        <v>91.166077738515909</v>
      </c>
      <c r="H148" s="67">
        <f t="shared" si="13"/>
        <v>-2.9766553848824095E-2</v>
      </c>
      <c r="I148" s="67">
        <f t="shared" si="10"/>
        <v>-6.2943520220175575E-3</v>
      </c>
    </row>
    <row r="149" spans="1:9" x14ac:dyDescent="0.3">
      <c r="A149" s="24" t="s">
        <v>221</v>
      </c>
      <c r="B149" s="62">
        <v>6671.06</v>
      </c>
      <c r="C149" s="24">
        <v>345.69</v>
      </c>
      <c r="D149" s="24" t="s">
        <v>221</v>
      </c>
      <c r="E149" s="26">
        <f t="shared" si="11"/>
        <v>111.86296867663826</v>
      </c>
      <c r="F149" s="26">
        <f t="shared" si="12"/>
        <v>93.963033432998103</v>
      </c>
      <c r="H149" s="67">
        <f t="shared" si="13"/>
        <v>-7.7214535851656274E-3</v>
      </c>
      <c r="I149" s="67">
        <f t="shared" si="10"/>
        <v>4.0260011950075114E-3</v>
      </c>
    </row>
    <row r="150" spans="1:9" x14ac:dyDescent="0.3">
      <c r="A150" s="24" t="s">
        <v>222</v>
      </c>
      <c r="B150" s="62">
        <v>6644.31</v>
      </c>
      <c r="C150" s="24">
        <v>348.38</v>
      </c>
      <c r="D150" s="24" t="s">
        <v>222</v>
      </c>
      <c r="E150" s="26">
        <f t="shared" si="11"/>
        <v>111.41441411228116</v>
      </c>
      <c r="F150" s="26">
        <f t="shared" si="12"/>
        <v>94.694210383256319</v>
      </c>
      <c r="H150" s="67">
        <f t="shared" si="13"/>
        <v>1.4797553160500909E-2</v>
      </c>
      <c r="I150" s="67">
        <f t="shared" si="10"/>
        <v>-1.5643032313906735E-3</v>
      </c>
    </row>
    <row r="151" spans="1:9" x14ac:dyDescent="0.3">
      <c r="A151" s="24" t="s">
        <v>223</v>
      </c>
      <c r="B151" s="62">
        <v>6654.72</v>
      </c>
      <c r="C151" s="24">
        <v>343.3</v>
      </c>
      <c r="D151" s="24" t="s">
        <v>223</v>
      </c>
      <c r="E151" s="26">
        <f t="shared" si="11"/>
        <v>111.58897310349452</v>
      </c>
      <c r="F151" s="26">
        <f t="shared" si="12"/>
        <v>93.313400380538198</v>
      </c>
      <c r="H151" s="67">
        <f t="shared" si="13"/>
        <v>-1.0184781027207102E-3</v>
      </c>
      <c r="I151" s="67">
        <f t="shared" si="10"/>
        <v>1.5598602672868944E-2</v>
      </c>
    </row>
    <row r="152" spans="1:9" x14ac:dyDescent="0.3">
      <c r="A152" s="63">
        <v>45940</v>
      </c>
      <c r="B152" s="62">
        <v>6552.51</v>
      </c>
      <c r="C152" s="24">
        <v>343.65</v>
      </c>
      <c r="D152" s="63">
        <v>45940</v>
      </c>
      <c r="E152" s="26">
        <f t="shared" si="11"/>
        <v>109.87507545777717</v>
      </c>
      <c r="F152" s="26">
        <f t="shared" si="12"/>
        <v>93.408534927969569</v>
      </c>
      <c r="H152" s="67">
        <f t="shared" si="13"/>
        <v>-9.7683264177040874E-3</v>
      </c>
      <c r="I152" s="67">
        <f t="shared" si="10"/>
        <v>-2.7111658161485086E-2</v>
      </c>
    </row>
    <row r="153" spans="1:9" x14ac:dyDescent="0.3">
      <c r="A153" s="63">
        <v>45910</v>
      </c>
      <c r="B153" s="62">
        <v>6735.11</v>
      </c>
      <c r="C153" s="24">
        <v>347.04</v>
      </c>
      <c r="D153" s="63">
        <v>45910</v>
      </c>
      <c r="E153" s="26">
        <f t="shared" si="11"/>
        <v>112.93698437185591</v>
      </c>
      <c r="F153" s="26">
        <f t="shared" si="12"/>
        <v>94.329980973090514</v>
      </c>
      <c r="H153" s="67">
        <f t="shared" si="13"/>
        <v>-1.2295081967213073E-2</v>
      </c>
      <c r="I153" s="67">
        <v>-1.2295081967213073E-2</v>
      </c>
    </row>
    <row r="154" spans="1:9" x14ac:dyDescent="0.3">
      <c r="A154" s="63">
        <v>45879</v>
      </c>
      <c r="B154" s="62">
        <v>6753.72</v>
      </c>
      <c r="C154" s="24">
        <v>351.36</v>
      </c>
      <c r="D154" s="63">
        <v>45879</v>
      </c>
      <c r="E154" s="26">
        <f t="shared" si="11"/>
        <v>113.24904420148903</v>
      </c>
      <c r="F154" s="26">
        <f t="shared" si="12"/>
        <v>95.504213101386256</v>
      </c>
      <c r="H154" s="67">
        <f t="shared" si="13"/>
        <v>-3.0077748141422722E-3</v>
      </c>
      <c r="I154" s="67">
        <v>-3.0077748141422722E-3</v>
      </c>
    </row>
    <row r="155" spans="1:9" x14ac:dyDescent="0.3">
      <c r="A155" s="63">
        <v>45848</v>
      </c>
      <c r="B155" s="62">
        <v>6714.59</v>
      </c>
      <c r="C155" s="24">
        <v>352.42</v>
      </c>
      <c r="D155" s="63">
        <v>45848</v>
      </c>
      <c r="E155" s="26">
        <f t="shared" si="11"/>
        <v>112.59289690790797</v>
      </c>
      <c r="F155" s="26">
        <f t="shared" si="12"/>
        <v>95.792334873606961</v>
      </c>
      <c r="H155" s="67">
        <f t="shared" si="13"/>
        <v>8.9899221255154149E-3</v>
      </c>
      <c r="I155" s="67">
        <v>8.9899221255154149E-3</v>
      </c>
    </row>
    <row r="156" spans="1:9" x14ac:dyDescent="0.3">
      <c r="A156" s="63">
        <v>45818</v>
      </c>
      <c r="B156" s="62">
        <v>6740.28</v>
      </c>
      <c r="C156" s="24">
        <v>349.28</v>
      </c>
      <c r="D156" s="63">
        <v>45818</v>
      </c>
      <c r="E156" s="26">
        <f t="shared" si="11"/>
        <v>113.02367697364008</v>
      </c>
      <c r="F156" s="26">
        <f t="shared" si="12"/>
        <v>94.93884207665127</v>
      </c>
      <c r="H156" s="67">
        <f t="shared" si="13"/>
        <v>-1.6007317630917228E-3</v>
      </c>
      <c r="I156" s="67">
        <v>-1.6007317630917228E-3</v>
      </c>
    </row>
    <row r="157" spans="1:9" x14ac:dyDescent="0.3">
      <c r="A157" s="63">
        <v>45726</v>
      </c>
      <c r="B157" s="62">
        <v>6715.79</v>
      </c>
      <c r="C157" s="24">
        <v>349.84</v>
      </c>
      <c r="D157" s="63">
        <v>45726</v>
      </c>
      <c r="E157" s="26">
        <f t="shared" si="11"/>
        <v>112.61301898182305</v>
      </c>
      <c r="F157" s="26">
        <f t="shared" si="12"/>
        <v>95.091057352541455</v>
      </c>
      <c r="H157" s="67">
        <f t="shared" si="13"/>
        <v>1.1244399479693579E-2</v>
      </c>
      <c r="I157" s="67">
        <v>1.1244399479693579E-2</v>
      </c>
    </row>
    <row r="158" spans="1:9" x14ac:dyDescent="0.3">
      <c r="A158" s="63">
        <v>45698</v>
      </c>
      <c r="B158" s="62">
        <v>6715.35</v>
      </c>
      <c r="C158" s="24">
        <v>345.95</v>
      </c>
      <c r="D158" s="63">
        <v>45698</v>
      </c>
      <c r="E158" s="26">
        <f t="shared" si="11"/>
        <v>112.60564088805418</v>
      </c>
      <c r="F158" s="26">
        <f t="shared" si="12"/>
        <v>94.033704811089976</v>
      </c>
      <c r="H158" s="67">
        <f t="shared" si="13"/>
        <v>-5.4049391944340774E-3</v>
      </c>
      <c r="I158" s="67">
        <v>-5.4049391944340774E-3</v>
      </c>
    </row>
    <row r="159" spans="1:9" x14ac:dyDescent="0.3">
      <c r="A159" s="63">
        <v>45667</v>
      </c>
      <c r="B159" s="62">
        <v>6711.2</v>
      </c>
      <c r="C159" s="24">
        <v>347.83</v>
      </c>
      <c r="D159" s="63">
        <v>45667</v>
      </c>
      <c r="E159" s="26">
        <f t="shared" si="11"/>
        <v>112.53605204909785</v>
      </c>
      <c r="F159" s="26">
        <f t="shared" si="12"/>
        <v>94.544713237292754</v>
      </c>
      <c r="H159" s="67">
        <f t="shared" si="13"/>
        <v>1.8893901224442011E-2</v>
      </c>
      <c r="I159" s="67">
        <v>1.8893901224442011E-2</v>
      </c>
    </row>
    <row r="160" spans="1:9" x14ac:dyDescent="0.3">
      <c r="A160" s="24" t="s">
        <v>224</v>
      </c>
      <c r="B160" s="62">
        <v>6688.46</v>
      </c>
      <c r="C160" s="24">
        <v>341.38</v>
      </c>
      <c r="D160" s="24" t="s">
        <v>224</v>
      </c>
      <c r="E160" s="26">
        <f t="shared" si="11"/>
        <v>112.154738748407</v>
      </c>
      <c r="F160" s="26">
        <f t="shared" si="12"/>
        <v>92.791519434628981</v>
      </c>
      <c r="H160" s="67">
        <f t="shared" si="13"/>
        <v>3.5865475070553376E-3</v>
      </c>
      <c r="I160" s="67">
        <v>3.5865475070553376E-3</v>
      </c>
    </row>
    <row r="161" spans="1:9" x14ac:dyDescent="0.3">
      <c r="A161" s="24" t="s">
        <v>225</v>
      </c>
      <c r="B161" s="62">
        <v>6661.21</v>
      </c>
      <c r="C161" s="24">
        <v>340.16</v>
      </c>
      <c r="D161" s="24" t="s">
        <v>225</v>
      </c>
      <c r="E161" s="26">
        <f t="shared" si="11"/>
        <v>111.69779998658528</v>
      </c>
      <c r="F161" s="26">
        <f t="shared" si="12"/>
        <v>92.459907583582506</v>
      </c>
      <c r="H161" s="67">
        <f t="shared" si="13"/>
        <v>8.2698520911759221E-3</v>
      </c>
      <c r="I161" s="67">
        <v>8.2698520911759221E-3</v>
      </c>
    </row>
    <row r="162" spans="1:9" x14ac:dyDescent="0.3">
      <c r="A162" s="24" t="s">
        <v>226</v>
      </c>
      <c r="B162" s="62">
        <v>6643.7</v>
      </c>
      <c r="C162" s="24">
        <v>337.37</v>
      </c>
      <c r="D162" s="24" t="s">
        <v>226</v>
      </c>
      <c r="E162" s="26">
        <f t="shared" si="11"/>
        <v>111.40418539137433</v>
      </c>
      <c r="F162" s="26">
        <f t="shared" si="12"/>
        <v>91.701549334058171</v>
      </c>
      <c r="H162" s="67">
        <f t="shared" si="13"/>
        <v>7.2851043501627188E-3</v>
      </c>
      <c r="I162" s="67">
        <v>7.2851043501627188E-3</v>
      </c>
    </row>
    <row r="163" spans="1:9" x14ac:dyDescent="0.3">
      <c r="A163" s="24" t="s">
        <v>227</v>
      </c>
      <c r="B163" s="62">
        <v>6604.72</v>
      </c>
      <c r="C163" s="24">
        <v>334.93</v>
      </c>
      <c r="D163" s="24" t="s">
        <v>227</v>
      </c>
      <c r="E163" s="26">
        <f t="shared" si="11"/>
        <v>110.75055335703266</v>
      </c>
      <c r="F163" s="26">
        <f t="shared" si="12"/>
        <v>91.038325631965208</v>
      </c>
      <c r="H163" s="67">
        <f t="shared" si="13"/>
        <v>-1.1072398724459642E-2</v>
      </c>
      <c r="I163" s="67">
        <f t="shared" ref="I163:I170" si="14">B163/B164-1</f>
        <v>-5.0090615052493792E-3</v>
      </c>
    </row>
    <row r="164" spans="1:9" x14ac:dyDescent="0.3">
      <c r="A164" s="24" t="s">
        <v>228</v>
      </c>
      <c r="B164" s="62">
        <v>6637.97</v>
      </c>
      <c r="C164" s="24">
        <v>338.68</v>
      </c>
      <c r="D164" s="24" t="s">
        <v>228</v>
      </c>
      <c r="E164" s="26">
        <f t="shared" si="11"/>
        <v>111.3081024884298</v>
      </c>
      <c r="F164" s="26">
        <f t="shared" si="12"/>
        <v>92.057624354444144</v>
      </c>
      <c r="H164" s="67">
        <f t="shared" si="13"/>
        <v>-5.9049306170622096E-5</v>
      </c>
      <c r="I164" s="67">
        <f t="shared" si="14"/>
        <v>-2.8466618195801541E-3</v>
      </c>
    </row>
    <row r="165" spans="1:9" x14ac:dyDescent="0.3">
      <c r="A165" s="24" t="s">
        <v>229</v>
      </c>
      <c r="B165" s="62">
        <v>6656.92</v>
      </c>
      <c r="C165" s="24">
        <v>338.7</v>
      </c>
      <c r="D165" s="24" t="s">
        <v>229</v>
      </c>
      <c r="E165" s="26">
        <f t="shared" si="11"/>
        <v>111.62586357233884</v>
      </c>
      <c r="F165" s="26">
        <f t="shared" si="12"/>
        <v>92.06306061429737</v>
      </c>
      <c r="H165" s="67">
        <f t="shared" si="13"/>
        <v>-1.6436287605993805E-2</v>
      </c>
      <c r="I165" s="67">
        <f t="shared" si="14"/>
        <v>-5.5021475256769037E-3</v>
      </c>
    </row>
    <row r="166" spans="1:9" x14ac:dyDescent="0.3">
      <c r="A166" s="24" t="s">
        <v>230</v>
      </c>
      <c r="B166" s="62">
        <v>6693.75</v>
      </c>
      <c r="C166" s="24">
        <v>344.36</v>
      </c>
      <c r="D166" s="24" t="s">
        <v>230</v>
      </c>
      <c r="E166" s="26">
        <f t="shared" si="11"/>
        <v>112.24344355758267</v>
      </c>
      <c r="F166" s="26">
        <f t="shared" si="12"/>
        <v>93.601522152758903</v>
      </c>
      <c r="H166" s="67">
        <f t="shared" si="13"/>
        <v>8.0501156289336517E-3</v>
      </c>
      <c r="I166" s="67">
        <f t="shared" si="14"/>
        <v>4.4100258689507843E-3</v>
      </c>
    </row>
    <row r="167" spans="1:9" x14ac:dyDescent="0.3">
      <c r="A167" s="24" t="s">
        <v>231</v>
      </c>
      <c r="B167" s="62">
        <v>6664.36</v>
      </c>
      <c r="C167" s="24">
        <v>341.61</v>
      </c>
      <c r="D167" s="24" t="s">
        <v>231</v>
      </c>
      <c r="E167" s="26">
        <f t="shared" si="11"/>
        <v>111.75062043061237</v>
      </c>
      <c r="F167" s="26">
        <f t="shared" si="12"/>
        <v>92.854036422941022</v>
      </c>
      <c r="H167" s="67">
        <f t="shared" si="13"/>
        <v>1.0142527647998056E-2</v>
      </c>
      <c r="I167" s="67">
        <f t="shared" si="14"/>
        <v>4.8854335671504323E-3</v>
      </c>
    </row>
    <row r="168" spans="1:9" x14ac:dyDescent="0.3">
      <c r="A168" s="24" t="s">
        <v>232</v>
      </c>
      <c r="B168" s="62">
        <v>6631.96</v>
      </c>
      <c r="C168" s="24">
        <v>338.18</v>
      </c>
      <c r="D168" s="24" t="s">
        <v>232</v>
      </c>
      <c r="E168" s="26">
        <f t="shared" si="11"/>
        <v>111.20732443490509</v>
      </c>
      <c r="F168" s="26">
        <f t="shared" si="12"/>
        <v>91.921717858113624</v>
      </c>
      <c r="H168" s="67">
        <f t="shared" si="13"/>
        <v>-2.3165800115540147E-2</v>
      </c>
      <c r="I168" s="67">
        <f t="shared" si="14"/>
        <v>4.7891399698500869E-3</v>
      </c>
    </row>
    <row r="169" spans="1:9" x14ac:dyDescent="0.3">
      <c r="A169" s="24" t="s">
        <v>233</v>
      </c>
      <c r="B169" s="62">
        <v>6600.35</v>
      </c>
      <c r="C169" s="24">
        <v>346.2</v>
      </c>
      <c r="D169" s="24" t="s">
        <v>233</v>
      </c>
      <c r="E169" s="26">
        <f t="shared" si="11"/>
        <v>110.67727547119189</v>
      </c>
      <c r="F169" s="26">
        <f t="shared" si="12"/>
        <v>94.101658059255243</v>
      </c>
      <c r="H169" s="67">
        <f t="shared" si="13"/>
        <v>1.8145457753727667E-2</v>
      </c>
      <c r="I169" s="67">
        <f t="shared" si="14"/>
        <v>-9.7021838238409153E-4</v>
      </c>
    </row>
    <row r="170" spans="1:9" x14ac:dyDescent="0.3">
      <c r="A170" s="24" t="s">
        <v>234</v>
      </c>
      <c r="B170" s="62">
        <v>6606.76</v>
      </c>
      <c r="C170" s="24">
        <v>340.03</v>
      </c>
      <c r="D170" s="24" t="s">
        <v>234</v>
      </c>
      <c r="E170" s="26">
        <f t="shared" si="11"/>
        <v>110.7847608826883</v>
      </c>
      <c r="F170" s="26">
        <f t="shared" si="12"/>
        <v>92.42457189453657</v>
      </c>
      <c r="H170" s="67">
        <f t="shared" si="13"/>
        <v>2.8904291402447324E-3</v>
      </c>
      <c r="I170" s="67">
        <f t="shared" si="14"/>
        <v>-1.2879273439672101E-3</v>
      </c>
    </row>
    <row r="171" spans="1:9" x14ac:dyDescent="0.3">
      <c r="A171" s="24" t="s">
        <v>235</v>
      </c>
      <c r="B171" s="62">
        <v>6615.28</v>
      </c>
      <c r="C171" s="24">
        <v>339.05</v>
      </c>
      <c r="D171" s="24" t="s">
        <v>235</v>
      </c>
      <c r="E171" s="26">
        <f t="shared" si="11"/>
        <v>110.92762760748541</v>
      </c>
      <c r="F171" s="26">
        <f t="shared" si="12"/>
        <v>92.158195161728742</v>
      </c>
      <c r="H171" s="67">
        <f t="shared" si="13"/>
        <v>-1.1195239077276264E-3</v>
      </c>
      <c r="I171" s="67">
        <v>-1.1195239077276264E-3</v>
      </c>
    </row>
    <row r="172" spans="1:9" x14ac:dyDescent="0.3">
      <c r="A172" s="63">
        <v>46000</v>
      </c>
      <c r="B172" s="62">
        <v>6584.29</v>
      </c>
      <c r="C172" s="24">
        <v>339.43</v>
      </c>
      <c r="D172" s="63">
        <v>46000</v>
      </c>
      <c r="E172" s="26">
        <f t="shared" si="11"/>
        <v>110.40797504862834</v>
      </c>
      <c r="F172" s="26">
        <f t="shared" si="12"/>
        <v>92.261484098939931</v>
      </c>
      <c r="H172" s="67">
        <f t="shared" si="13"/>
        <v>-1.1819849195027543E-2</v>
      </c>
      <c r="I172" s="67">
        <v>-1.1819849195027543E-2</v>
      </c>
    </row>
    <row r="173" spans="1:9" x14ac:dyDescent="0.3">
      <c r="A173" s="63">
        <v>45970</v>
      </c>
      <c r="B173" s="62">
        <v>6587.47</v>
      </c>
      <c r="C173" s="24">
        <v>343.49</v>
      </c>
      <c r="D173" s="63">
        <v>45970</v>
      </c>
      <c r="E173" s="26">
        <f t="shared" si="11"/>
        <v>110.46129854450331</v>
      </c>
      <c r="F173" s="26">
        <f t="shared" si="12"/>
        <v>93.3650448491438</v>
      </c>
      <c r="H173" s="67">
        <f t="shared" si="13"/>
        <v>1.5881935407547676E-2</v>
      </c>
      <c r="I173" s="67">
        <v>1.5881935407547676E-2</v>
      </c>
    </row>
    <row r="174" spans="1:9" x14ac:dyDescent="0.3">
      <c r="A174" s="63">
        <v>45939</v>
      </c>
      <c r="B174" s="62">
        <v>6532.04</v>
      </c>
      <c r="C174" s="24">
        <v>338.12</v>
      </c>
      <c r="D174" s="63">
        <v>45939</v>
      </c>
      <c r="E174" s="26">
        <f t="shared" si="11"/>
        <v>109.53182641357569</v>
      </c>
      <c r="F174" s="26">
        <f t="shared" si="12"/>
        <v>91.905409078553959</v>
      </c>
      <c r="H174" s="67">
        <f t="shared" si="13"/>
        <v>-1.7064449547951943E-2</v>
      </c>
      <c r="I174" s="67">
        <v>-1.7064449547951943E-2</v>
      </c>
    </row>
    <row r="175" spans="1:9" x14ac:dyDescent="0.3">
      <c r="A175" s="63">
        <v>45909</v>
      </c>
      <c r="B175" s="62">
        <v>6512.61</v>
      </c>
      <c r="C175" s="24">
        <v>343.99</v>
      </c>
      <c r="D175" s="63">
        <v>45909</v>
      </c>
      <c r="E175" s="26">
        <f t="shared" si="11"/>
        <v>109.2060165001006</v>
      </c>
      <c r="F175" s="26">
        <f t="shared" si="12"/>
        <v>93.50095134547432</v>
      </c>
      <c r="H175" s="67">
        <f t="shared" si="13"/>
        <v>4.9371895997663007E-3</v>
      </c>
      <c r="I175" s="67">
        <v>4.9371895997663007E-3</v>
      </c>
    </row>
    <row r="176" spans="1:9" x14ac:dyDescent="0.3">
      <c r="A176" s="63">
        <v>45878</v>
      </c>
      <c r="B176" s="62">
        <v>6495.15</v>
      </c>
      <c r="C176" s="24">
        <v>342.3</v>
      </c>
      <c r="D176" s="63">
        <v>45878</v>
      </c>
      <c r="E176" s="26">
        <f t="shared" si="11"/>
        <v>108.91324032463612</v>
      </c>
      <c r="F176" s="26">
        <f t="shared" si="12"/>
        <v>93.041587387877144</v>
      </c>
      <c r="H176" s="67">
        <f t="shared" si="13"/>
        <v>-2.6804964745644755E-3</v>
      </c>
      <c r="I176" s="67">
        <v>-2.6804964745644755E-3</v>
      </c>
    </row>
    <row r="177" spans="1:9" x14ac:dyDescent="0.3">
      <c r="A177" s="63">
        <v>45786</v>
      </c>
      <c r="B177" s="62">
        <v>6481.5</v>
      </c>
      <c r="C177" s="24">
        <v>343.22</v>
      </c>
      <c r="D177" s="63">
        <v>45786</v>
      </c>
      <c r="E177" s="26">
        <f t="shared" si="11"/>
        <v>108.68435173385203</v>
      </c>
      <c r="F177" s="26">
        <f t="shared" si="12"/>
        <v>93.291655341125306</v>
      </c>
      <c r="H177" s="67">
        <f t="shared" si="13"/>
        <v>-2.2137382831419639E-2</v>
      </c>
      <c r="I177" s="67">
        <v>-2.2137382831419639E-2</v>
      </c>
    </row>
    <row r="178" spans="1:9" x14ac:dyDescent="0.3">
      <c r="A178" s="63">
        <v>45756</v>
      </c>
      <c r="B178" s="62">
        <v>6502.08</v>
      </c>
      <c r="C178" s="24">
        <v>350.99</v>
      </c>
      <c r="D178" s="63">
        <v>45756</v>
      </c>
      <c r="E178" s="26">
        <f t="shared" si="11"/>
        <v>109.02944530149574</v>
      </c>
      <c r="F178" s="26">
        <f t="shared" si="12"/>
        <v>95.403642294101658</v>
      </c>
      <c r="H178" s="67">
        <f t="shared" si="13"/>
        <v>3.4200701114373011E-4</v>
      </c>
      <c r="I178" s="67">
        <v>3.4200701114373011E-4</v>
      </c>
    </row>
    <row r="179" spans="1:9" x14ac:dyDescent="0.3">
      <c r="A179" s="63">
        <v>45725</v>
      </c>
      <c r="B179" s="62">
        <v>6448.26</v>
      </c>
      <c r="C179" s="24">
        <v>350.87</v>
      </c>
      <c r="D179" s="63">
        <v>45725</v>
      </c>
      <c r="E179" s="26">
        <f t="shared" si="11"/>
        <v>108.12697028640417</v>
      </c>
      <c r="F179" s="26">
        <f t="shared" si="12"/>
        <v>95.371024734982342</v>
      </c>
      <c r="H179" s="67">
        <f t="shared" si="13"/>
        <v>2.2852572342675348E-3</v>
      </c>
      <c r="I179" s="67">
        <v>2.2852572342675348E-3</v>
      </c>
    </row>
    <row r="180" spans="1:9" x14ac:dyDescent="0.3">
      <c r="A180" s="63">
        <v>45697</v>
      </c>
      <c r="B180" s="62">
        <v>6415.54</v>
      </c>
      <c r="C180" s="24">
        <v>350.07</v>
      </c>
      <c r="D180" s="63">
        <v>45697</v>
      </c>
      <c r="E180" s="26">
        <f t="shared" si="11"/>
        <v>107.57830840431953</v>
      </c>
      <c r="F180" s="26">
        <f t="shared" si="12"/>
        <v>95.153574340853496</v>
      </c>
      <c r="H180" s="67">
        <f t="shared" si="13"/>
        <v>-4.8609926658707003E-3</v>
      </c>
      <c r="I180" s="67">
        <v>-4.8609926658707003E-3</v>
      </c>
    </row>
    <row r="181" spans="1:9" x14ac:dyDescent="0.3">
      <c r="A181" s="24" t="s">
        <v>236</v>
      </c>
      <c r="B181" s="62">
        <v>6460.26</v>
      </c>
      <c r="C181" s="24">
        <v>351.78</v>
      </c>
      <c r="D181" s="24" t="s">
        <v>236</v>
      </c>
      <c r="E181" s="26">
        <f t="shared" si="11"/>
        <v>108.32819102555503</v>
      </c>
      <c r="F181" s="26">
        <f t="shared" si="12"/>
        <v>95.618374558303898</v>
      </c>
      <c r="H181" s="67">
        <f t="shared" si="13"/>
        <v>5.4879094494939551E-3</v>
      </c>
      <c r="I181" s="67">
        <v>5.4879094494939551E-3</v>
      </c>
    </row>
    <row r="182" spans="1:9" x14ac:dyDescent="0.3">
      <c r="A182" s="24" t="s">
        <v>237</v>
      </c>
      <c r="B182" s="62">
        <v>6501.86</v>
      </c>
      <c r="C182" s="24">
        <v>349.86</v>
      </c>
      <c r="D182" s="24" t="s">
        <v>237</v>
      </c>
      <c r="E182" s="26">
        <f t="shared" si="11"/>
        <v>109.0257562546113</v>
      </c>
      <c r="F182" s="26">
        <f t="shared" si="12"/>
        <v>95.096493612394681</v>
      </c>
      <c r="H182" s="67">
        <f t="shared" si="13"/>
        <v>-1.3986013986013734E-3</v>
      </c>
      <c r="I182" s="67">
        <v>-1.3986013986013734E-3</v>
      </c>
    </row>
    <row r="183" spans="1:9" x14ac:dyDescent="0.3">
      <c r="A183" s="24" t="s">
        <v>238</v>
      </c>
      <c r="B183" s="62">
        <v>6481.4</v>
      </c>
      <c r="C183" s="24">
        <v>350.35</v>
      </c>
      <c r="D183" s="24" t="s">
        <v>238</v>
      </c>
      <c r="E183" s="26">
        <f t="shared" si="11"/>
        <v>108.68267489435911</v>
      </c>
      <c r="F183" s="26">
        <f t="shared" si="12"/>
        <v>95.229681978798595</v>
      </c>
      <c r="H183" s="67">
        <f t="shared" si="13"/>
        <v>-2.3634603337319149E-3</v>
      </c>
      <c r="I183" s="67">
        <v>-2.3634603337319149E-3</v>
      </c>
    </row>
    <row r="184" spans="1:9" x14ac:dyDescent="0.3">
      <c r="A184" s="24" t="s">
        <v>239</v>
      </c>
      <c r="B184" s="62">
        <v>6465.94</v>
      </c>
      <c r="C184" s="24">
        <v>351.18</v>
      </c>
      <c r="D184" s="24" t="s">
        <v>239</v>
      </c>
      <c r="E184" s="26">
        <f t="shared" si="11"/>
        <v>108.4234355087531</v>
      </c>
      <c r="F184" s="26">
        <f t="shared" si="12"/>
        <v>95.45528676270726</v>
      </c>
      <c r="H184" s="67">
        <f t="shared" si="13"/>
        <v>6.7656671062439333E-3</v>
      </c>
      <c r="I184" s="67">
        <v>6.7656671062439333E-3</v>
      </c>
    </row>
    <row r="185" spans="1:9" x14ac:dyDescent="0.3">
      <c r="A185" s="24" t="s">
        <v>240</v>
      </c>
      <c r="B185" s="62">
        <v>6439.32</v>
      </c>
      <c r="C185" s="24">
        <v>348.82</v>
      </c>
      <c r="D185" s="24" t="s">
        <v>240</v>
      </c>
      <c r="E185" s="26">
        <f t="shared" si="11"/>
        <v>107.97706083573679</v>
      </c>
      <c r="F185" s="26">
        <f t="shared" si="12"/>
        <v>94.813808100027188</v>
      </c>
      <c r="H185" s="67">
        <f t="shared" si="13"/>
        <v>-3.4853159638899012E-3</v>
      </c>
      <c r="I185" s="67">
        <f t="shared" ref="I185:I203" si="15">B185/B186-1</f>
        <v>-4.2663343080389105E-3</v>
      </c>
    </row>
    <row r="186" spans="1:9" x14ac:dyDescent="0.3">
      <c r="A186" s="24" t="s">
        <v>241</v>
      </c>
      <c r="B186" s="62">
        <v>6466.91</v>
      </c>
      <c r="C186" s="24">
        <v>350.04</v>
      </c>
      <c r="D186" s="24" t="s">
        <v>241</v>
      </c>
      <c r="E186" s="26">
        <f t="shared" si="11"/>
        <v>108.43970085183446</v>
      </c>
      <c r="F186" s="26">
        <f t="shared" si="12"/>
        <v>95.145419951073663</v>
      </c>
      <c r="H186" s="67">
        <f t="shared" si="13"/>
        <v>1.8475952166196352E-2</v>
      </c>
      <c r="I186" s="67">
        <f t="shared" si="15"/>
        <v>1.518640789806236E-2</v>
      </c>
    </row>
    <row r="187" spans="1:9" x14ac:dyDescent="0.3">
      <c r="A187" s="24" t="s">
        <v>242</v>
      </c>
      <c r="B187" s="62">
        <v>6370.17</v>
      </c>
      <c r="C187" s="24">
        <v>343.69</v>
      </c>
      <c r="D187" s="24" t="s">
        <v>242</v>
      </c>
      <c r="E187" s="26">
        <f t="shared" si="11"/>
        <v>106.81752632638003</v>
      </c>
      <c r="F187" s="26">
        <f t="shared" si="12"/>
        <v>93.419407447676008</v>
      </c>
      <c r="H187" s="67">
        <f t="shared" si="13"/>
        <v>-6.9781641613120282E-4</v>
      </c>
      <c r="I187" s="67">
        <f t="shared" si="15"/>
        <v>-4.0042027712021699E-3</v>
      </c>
    </row>
    <row r="188" spans="1:9" x14ac:dyDescent="0.3">
      <c r="A188" s="24" t="s">
        <v>243</v>
      </c>
      <c r="B188" s="62">
        <v>6395.78</v>
      </c>
      <c r="C188" s="24">
        <v>343.93</v>
      </c>
      <c r="D188" s="24" t="s">
        <v>243</v>
      </c>
      <c r="E188" s="26">
        <f t="shared" si="11"/>
        <v>107.2469649205178</v>
      </c>
      <c r="F188" s="26">
        <f t="shared" si="12"/>
        <v>93.484642565914655</v>
      </c>
      <c r="H188" s="67">
        <f t="shared" si="13"/>
        <v>4.3217988027450804E-3</v>
      </c>
      <c r="I188" s="67">
        <f t="shared" si="15"/>
        <v>-2.4316175793941408E-3</v>
      </c>
    </row>
    <row r="189" spans="1:9" x14ac:dyDescent="0.3">
      <c r="A189" s="24" t="s">
        <v>244</v>
      </c>
      <c r="B189" s="62">
        <v>6411.37</v>
      </c>
      <c r="C189" s="24">
        <v>342.45</v>
      </c>
      <c r="D189" s="24" t="s">
        <v>244</v>
      </c>
      <c r="E189" s="26">
        <f t="shared" si="11"/>
        <v>107.50838419746461</v>
      </c>
      <c r="F189" s="26">
        <f t="shared" si="12"/>
        <v>93.082359336776307</v>
      </c>
      <c r="H189" s="67">
        <f t="shared" si="13"/>
        <v>-8.4612242516202141E-4</v>
      </c>
      <c r="I189" s="67">
        <f t="shared" si="15"/>
        <v>-5.8581363435491474E-3</v>
      </c>
    </row>
    <row r="190" spans="1:9" x14ac:dyDescent="0.3">
      <c r="A190" s="24" t="s">
        <v>245</v>
      </c>
      <c r="B190" s="62">
        <v>6449.15</v>
      </c>
      <c r="C190" s="24">
        <v>342.74</v>
      </c>
      <c r="D190" s="24" t="s">
        <v>245</v>
      </c>
      <c r="E190" s="26">
        <f t="shared" si="11"/>
        <v>108.1418941578912</v>
      </c>
      <c r="F190" s="26">
        <f t="shared" si="12"/>
        <v>93.161185104648013</v>
      </c>
      <c r="H190" s="67">
        <f t="shared" si="13"/>
        <v>-5.0222080297268601E-3</v>
      </c>
      <c r="I190" s="67">
        <f t="shared" si="15"/>
        <v>-1.0077831870769494E-4</v>
      </c>
    </row>
    <row r="191" spans="1:9" x14ac:dyDescent="0.3">
      <c r="A191" s="24" t="s">
        <v>246</v>
      </c>
      <c r="B191" s="62">
        <v>6449.8</v>
      </c>
      <c r="C191" s="24">
        <v>344.47</v>
      </c>
      <c r="D191" s="24" t="s">
        <v>246</v>
      </c>
      <c r="E191" s="26">
        <f t="shared" si="11"/>
        <v>108.15279361459521</v>
      </c>
      <c r="F191" s="26">
        <f t="shared" si="12"/>
        <v>93.631421581951628</v>
      </c>
      <c r="H191" s="67">
        <f t="shared" si="13"/>
        <v>-2.952328576803942E-3</v>
      </c>
      <c r="I191" s="67">
        <f t="shared" si="15"/>
        <v>-2.8970988816641174E-3</v>
      </c>
    </row>
    <row r="192" spans="1:9" x14ac:dyDescent="0.3">
      <c r="A192" s="24" t="s">
        <v>247</v>
      </c>
      <c r="B192" s="62">
        <v>6468.54</v>
      </c>
      <c r="C192" s="24">
        <v>345.49</v>
      </c>
      <c r="D192" s="24" t="s">
        <v>247</v>
      </c>
      <c r="E192" s="26">
        <f t="shared" si="11"/>
        <v>108.46703333556911</v>
      </c>
      <c r="F192" s="26">
        <f t="shared" si="12"/>
        <v>93.908670834465894</v>
      </c>
      <c r="H192" s="67">
        <f t="shared" si="13"/>
        <v>8.5826886585900208E-3</v>
      </c>
      <c r="I192" s="67">
        <f t="shared" si="15"/>
        <v>3.0309684562790373E-4</v>
      </c>
    </row>
    <row r="193" spans="1:9" x14ac:dyDescent="0.3">
      <c r="A193" s="24" t="s">
        <v>248</v>
      </c>
      <c r="B193" s="62">
        <v>6466.58</v>
      </c>
      <c r="C193" s="24">
        <v>342.55</v>
      </c>
      <c r="D193" s="24" t="s">
        <v>248</v>
      </c>
      <c r="E193" s="26">
        <f t="shared" si="11"/>
        <v>108.43416728150781</v>
      </c>
      <c r="F193" s="26">
        <f t="shared" si="12"/>
        <v>93.109540636042411</v>
      </c>
      <c r="H193" s="67">
        <f t="shared" si="13"/>
        <v>1.725366751796642E-2</v>
      </c>
      <c r="I193" s="67">
        <f t="shared" si="15"/>
        <v>3.2300302834731287E-3</v>
      </c>
    </row>
    <row r="194" spans="1:9" x14ac:dyDescent="0.3">
      <c r="A194" s="63">
        <v>45999</v>
      </c>
      <c r="B194" s="62">
        <v>6445.76</v>
      </c>
      <c r="C194" s="24">
        <v>336.74</v>
      </c>
      <c r="D194" s="63">
        <v>45999</v>
      </c>
      <c r="E194" s="26">
        <f t="shared" ref="E194:E251" si="16">$E$252*B194/$B$252</f>
        <v>108.08504929908109</v>
      </c>
      <c r="F194" s="26">
        <f t="shared" ref="F194:F251" si="17">$F$252*C194/$C$252</f>
        <v>91.530307148681715</v>
      </c>
      <c r="H194" s="67">
        <f t="shared" si="13"/>
        <v>2.5007442691278303E-3</v>
      </c>
      <c r="I194" s="67">
        <f t="shared" si="15"/>
        <v>1.1345503612643082E-2</v>
      </c>
    </row>
    <row r="195" spans="1:9" x14ac:dyDescent="0.3">
      <c r="A195" s="63">
        <v>45969</v>
      </c>
      <c r="B195" s="62">
        <v>6373.45</v>
      </c>
      <c r="C195" s="24">
        <v>335.9</v>
      </c>
      <c r="D195" s="63">
        <v>45969</v>
      </c>
      <c r="E195" s="26">
        <f t="shared" si="16"/>
        <v>106.87252666174793</v>
      </c>
      <c r="F195" s="26">
        <f t="shared" si="17"/>
        <v>91.301984234846429</v>
      </c>
      <c r="H195" s="67">
        <f t="shared" ref="H195:H226" si="18">C195/C196-1</f>
        <v>-2.6129817685135448E-3</v>
      </c>
      <c r="I195" s="67">
        <f t="shared" si="15"/>
        <v>-2.5041278983324311E-3</v>
      </c>
    </row>
    <row r="196" spans="1:9" x14ac:dyDescent="0.3">
      <c r="A196" s="63">
        <v>45877</v>
      </c>
      <c r="B196" s="62">
        <v>6389.45</v>
      </c>
      <c r="C196" s="24">
        <v>336.78</v>
      </c>
      <c r="D196" s="63">
        <v>45877</v>
      </c>
      <c r="E196" s="26">
        <f t="shared" si="16"/>
        <v>107.14082098061573</v>
      </c>
      <c r="F196" s="26">
        <f t="shared" si="17"/>
        <v>91.541179668388153</v>
      </c>
      <c r="H196" s="67">
        <f t="shared" si="18"/>
        <v>1.4122677587401045E-2</v>
      </c>
      <c r="I196" s="67">
        <f t="shared" si="15"/>
        <v>7.7996845425867267E-3</v>
      </c>
    </row>
    <row r="197" spans="1:9" x14ac:dyDescent="0.3">
      <c r="A197" s="63">
        <v>45846</v>
      </c>
      <c r="B197" s="62">
        <v>6340</v>
      </c>
      <c r="C197" s="24">
        <v>332.09</v>
      </c>
      <c r="D197" s="63">
        <v>45846</v>
      </c>
      <c r="E197" s="26">
        <f t="shared" si="16"/>
        <v>106.31162385136494</v>
      </c>
      <c r="F197" s="26">
        <f t="shared" si="17"/>
        <v>90.266376732807828</v>
      </c>
      <c r="H197" s="67">
        <f t="shared" si="18"/>
        <v>-2.2517219049861814E-2</v>
      </c>
      <c r="I197" s="67">
        <f t="shared" si="15"/>
        <v>-7.9747078829839335E-4</v>
      </c>
    </row>
    <row r="198" spans="1:9" x14ac:dyDescent="0.3">
      <c r="A198" s="63">
        <v>45816</v>
      </c>
      <c r="B198" s="62">
        <v>6345.06</v>
      </c>
      <c r="C198" s="24">
        <v>339.74</v>
      </c>
      <c r="D198" s="63">
        <v>45816</v>
      </c>
      <c r="E198" s="26">
        <f t="shared" si="16"/>
        <v>106.39647192970688</v>
      </c>
      <c r="F198" s="26">
        <f t="shared" si="17"/>
        <v>92.345746126664864</v>
      </c>
      <c r="H198" s="67">
        <f t="shared" si="18"/>
        <v>6.8458643274160735E-3</v>
      </c>
      <c r="I198" s="67">
        <f t="shared" si="15"/>
        <v>7.2818886237755454E-3</v>
      </c>
    </row>
    <row r="199" spans="1:9" x14ac:dyDescent="0.3">
      <c r="A199" s="63">
        <v>45785</v>
      </c>
      <c r="B199" s="62">
        <v>6299.19</v>
      </c>
      <c r="C199" s="24">
        <v>337.43</v>
      </c>
      <c r="D199" s="63">
        <v>45785</v>
      </c>
      <c r="E199" s="26">
        <f t="shared" si="16"/>
        <v>105.62730565430276</v>
      </c>
      <c r="F199" s="26">
        <f t="shared" si="17"/>
        <v>91.717858113617837</v>
      </c>
      <c r="H199" s="67">
        <f t="shared" si="18"/>
        <v>-1.3795119099809905E-2</v>
      </c>
      <c r="I199" s="67">
        <f t="shared" si="15"/>
        <v>-4.8578659513360822E-3</v>
      </c>
    </row>
    <row r="200" spans="1:9" x14ac:dyDescent="0.3">
      <c r="A200" s="63">
        <v>45755</v>
      </c>
      <c r="B200" s="62">
        <v>6329.94</v>
      </c>
      <c r="C200" s="24">
        <v>342.15</v>
      </c>
      <c r="D200" s="63">
        <v>45755</v>
      </c>
      <c r="E200" s="26">
        <f t="shared" si="16"/>
        <v>106.14293379837682</v>
      </c>
      <c r="F200" s="26">
        <f t="shared" si="17"/>
        <v>93.000815438977995</v>
      </c>
      <c r="H200" s="67">
        <f t="shared" si="18"/>
        <v>8.2510682186531792E-3</v>
      </c>
      <c r="I200" s="67">
        <f t="shared" si="15"/>
        <v>1.473707159815385E-2</v>
      </c>
    </row>
    <row r="201" spans="1:9" x14ac:dyDescent="0.3">
      <c r="A201" s="63">
        <v>45665</v>
      </c>
      <c r="B201" s="62">
        <v>6238.01</v>
      </c>
      <c r="C201" s="24">
        <v>339.35</v>
      </c>
      <c r="D201" s="63">
        <v>45665</v>
      </c>
      <c r="E201" s="26">
        <f t="shared" si="16"/>
        <v>104.60141525253202</v>
      </c>
      <c r="F201" s="26">
        <f t="shared" si="17"/>
        <v>92.239739059527054</v>
      </c>
      <c r="H201" s="67">
        <f t="shared" si="18"/>
        <v>-1.7714996960662255E-2</v>
      </c>
      <c r="I201" s="67">
        <f t="shared" si="15"/>
        <v>-1.5992074947274171E-2</v>
      </c>
    </row>
    <row r="202" spans="1:9" x14ac:dyDescent="0.3">
      <c r="A202" s="24" t="s">
        <v>249</v>
      </c>
      <c r="B202" s="62">
        <v>6339.39</v>
      </c>
      <c r="C202" s="24">
        <v>345.47</v>
      </c>
      <c r="D202" s="24" t="s">
        <v>249</v>
      </c>
      <c r="E202" s="26">
        <f t="shared" si="16"/>
        <v>106.3013951304581</v>
      </c>
      <c r="F202" s="26">
        <f t="shared" si="17"/>
        <v>93.903234574612668</v>
      </c>
      <c r="H202" s="67">
        <f t="shared" si="18"/>
        <v>-1.5502550511527158E-2</v>
      </c>
      <c r="I202" s="67">
        <f t="shared" si="15"/>
        <v>-3.6948561190650597E-3</v>
      </c>
    </row>
    <row r="203" spans="1:9" x14ac:dyDescent="0.3">
      <c r="A203" s="24" t="s">
        <v>250</v>
      </c>
      <c r="B203" s="62">
        <v>6362.9</v>
      </c>
      <c r="C203" s="24">
        <v>350.91</v>
      </c>
      <c r="D203" s="24" t="s">
        <v>250</v>
      </c>
      <c r="E203" s="26">
        <f t="shared" si="16"/>
        <v>106.69562009524448</v>
      </c>
      <c r="F203" s="26">
        <f t="shared" si="17"/>
        <v>95.381897254688781</v>
      </c>
      <c r="H203" s="67">
        <f t="shared" si="18"/>
        <v>-1.0817273477753409E-3</v>
      </c>
      <c r="I203" s="67">
        <f t="shared" si="15"/>
        <v>-1.249438851269713E-3</v>
      </c>
    </row>
    <row r="204" spans="1:9" x14ac:dyDescent="0.3">
      <c r="A204" s="24" t="s">
        <v>251</v>
      </c>
      <c r="B204" s="62">
        <v>6370.86</v>
      </c>
      <c r="C204" s="24">
        <v>351.29</v>
      </c>
      <c r="D204" s="24" t="s">
        <v>251</v>
      </c>
      <c r="E204" s="26">
        <f t="shared" si="16"/>
        <v>106.8290965188812</v>
      </c>
      <c r="F204" s="26">
        <f t="shared" si="17"/>
        <v>95.485186191899984</v>
      </c>
      <c r="H204" s="67">
        <f t="shared" si="18"/>
        <v>-1.1759079528511518E-2</v>
      </c>
      <c r="I204" s="67">
        <v>-1.1759079528511518E-2</v>
      </c>
    </row>
    <row r="205" spans="1:9" x14ac:dyDescent="0.3">
      <c r="A205" s="24" t="s">
        <v>252</v>
      </c>
      <c r="B205" s="62">
        <v>6389.77</v>
      </c>
      <c r="C205" s="24">
        <v>355.47</v>
      </c>
      <c r="D205" s="24" t="s">
        <v>252</v>
      </c>
      <c r="E205" s="26">
        <f t="shared" si="16"/>
        <v>107.14618686699309</v>
      </c>
      <c r="F205" s="26">
        <f t="shared" si="17"/>
        <v>96.621364501223169</v>
      </c>
      <c r="H205" s="67">
        <f t="shared" si="18"/>
        <v>-4.3972664127268635E-3</v>
      </c>
      <c r="I205" s="67">
        <v>-4.3972664127268635E-3</v>
      </c>
    </row>
    <row r="206" spans="1:9" x14ac:dyDescent="0.3">
      <c r="A206" s="24" t="s">
        <v>253</v>
      </c>
      <c r="B206" s="62">
        <v>6388.64</v>
      </c>
      <c r="C206" s="24">
        <v>357.04</v>
      </c>
      <c r="D206" s="24" t="s">
        <v>253</v>
      </c>
      <c r="E206" s="26">
        <f t="shared" si="16"/>
        <v>107.12723858072304</v>
      </c>
      <c r="F206" s="26">
        <f t="shared" si="17"/>
        <v>97.048110899701015</v>
      </c>
      <c r="H206" s="67">
        <f t="shared" si="18"/>
        <v>8.6730513885358018E-3</v>
      </c>
      <c r="I206" s="67">
        <v>8.6730513885358018E-3</v>
      </c>
    </row>
    <row r="207" spans="1:9" x14ac:dyDescent="0.3">
      <c r="A207" s="24" t="s">
        <v>254</v>
      </c>
      <c r="B207" s="62">
        <v>6363.35</v>
      </c>
      <c r="C207" s="24">
        <v>353.97</v>
      </c>
      <c r="D207" s="24" t="s">
        <v>254</v>
      </c>
      <c r="E207" s="26">
        <f t="shared" si="16"/>
        <v>106.70316587296263</v>
      </c>
      <c r="F207" s="26">
        <f t="shared" si="17"/>
        <v>96.213645012231595</v>
      </c>
      <c r="H207" s="67">
        <f t="shared" si="18"/>
        <v>-3.7152748459005069E-3</v>
      </c>
      <c r="I207" s="67">
        <v>-3.7152748459005069E-3</v>
      </c>
    </row>
    <row r="208" spans="1:9" x14ac:dyDescent="0.3">
      <c r="A208" s="24" t="s">
        <v>255</v>
      </c>
      <c r="B208" s="62">
        <v>6358.91</v>
      </c>
      <c r="C208" s="24">
        <v>355.29</v>
      </c>
      <c r="D208" s="24" t="s">
        <v>255</v>
      </c>
      <c r="E208" s="26">
        <f t="shared" si="16"/>
        <v>106.62871419947682</v>
      </c>
      <c r="F208" s="26">
        <f t="shared" si="17"/>
        <v>96.572438162544174</v>
      </c>
      <c r="H208" s="67">
        <f t="shared" si="18"/>
        <v>9.7481953049507464E-3</v>
      </c>
      <c r="I208" s="67">
        <v>9.7481953049507464E-3</v>
      </c>
    </row>
    <row r="209" spans="1:9" x14ac:dyDescent="0.3">
      <c r="A209" s="24" t="s">
        <v>256</v>
      </c>
      <c r="B209" s="62">
        <v>6309.62</v>
      </c>
      <c r="C209" s="24">
        <v>351.86</v>
      </c>
      <c r="D209" s="24" t="s">
        <v>256</v>
      </c>
      <c r="E209" s="26">
        <f t="shared" si="16"/>
        <v>105.8022000134147</v>
      </c>
      <c r="F209" s="26">
        <f t="shared" si="17"/>
        <v>95.640119597716776</v>
      </c>
      <c r="H209" s="67">
        <f t="shared" si="18"/>
        <v>2.6215307459964698E-3</v>
      </c>
      <c r="I209" s="67">
        <v>2.6215307459964698E-3</v>
      </c>
    </row>
    <row r="210" spans="1:9" x14ac:dyDescent="0.3">
      <c r="A210" s="24" t="s">
        <v>257</v>
      </c>
      <c r="B210" s="62">
        <v>6305.6</v>
      </c>
      <c r="C210" s="24">
        <v>350.94</v>
      </c>
      <c r="D210" s="24" t="s">
        <v>257</v>
      </c>
      <c r="E210" s="26">
        <f t="shared" si="16"/>
        <v>105.73479106579917</v>
      </c>
      <c r="F210" s="26">
        <f t="shared" si="17"/>
        <v>95.390051644468613</v>
      </c>
      <c r="H210" s="67">
        <f t="shared" si="18"/>
        <v>5.4146970348087908E-3</v>
      </c>
      <c r="I210" s="67">
        <v>5.4146970348087908E-3</v>
      </c>
    </row>
    <row r="211" spans="1:9" x14ac:dyDescent="0.3">
      <c r="A211" s="24" t="s">
        <v>258</v>
      </c>
      <c r="B211" s="62">
        <v>6296.79</v>
      </c>
      <c r="C211" s="24">
        <v>349.05</v>
      </c>
      <c r="D211" s="24" t="s">
        <v>258</v>
      </c>
      <c r="E211" s="26">
        <f t="shared" si="16"/>
        <v>105.58706150647259</v>
      </c>
      <c r="F211" s="26">
        <f t="shared" si="17"/>
        <v>94.876325088339229</v>
      </c>
      <c r="H211" s="67">
        <f t="shared" si="18"/>
        <v>-2.1726079871929871E-3</v>
      </c>
      <c r="I211" s="67">
        <f t="shared" ref="I211:I251" si="19">B211/B212-1</f>
        <v>-9.0514120202667137E-5</v>
      </c>
    </row>
    <row r="212" spans="1:9" x14ac:dyDescent="0.3">
      <c r="A212" s="24" t="s">
        <v>259</v>
      </c>
      <c r="B212" s="62">
        <v>6297.36</v>
      </c>
      <c r="C212" s="24">
        <v>349.81</v>
      </c>
      <c r="D212" s="24" t="s">
        <v>259</v>
      </c>
      <c r="E212" s="26">
        <f t="shared" si="16"/>
        <v>105.59661949158226</v>
      </c>
      <c r="F212" s="26">
        <f t="shared" si="17"/>
        <v>95.082902962761622</v>
      </c>
      <c r="H212" s="67">
        <f t="shared" si="18"/>
        <v>-2.5721634752784439E-4</v>
      </c>
      <c r="I212" s="67">
        <f t="shared" si="19"/>
        <v>5.3738205852771337E-3</v>
      </c>
    </row>
    <row r="213" spans="1:9" x14ac:dyDescent="0.3">
      <c r="A213" s="24" t="s">
        <v>260</v>
      </c>
      <c r="B213" s="62">
        <v>6263.7</v>
      </c>
      <c r="C213" s="24">
        <v>349.9</v>
      </c>
      <c r="D213" s="24" t="s">
        <v>260</v>
      </c>
      <c r="E213" s="26">
        <f t="shared" si="16"/>
        <v>105.03219531826413</v>
      </c>
      <c r="F213" s="26">
        <f t="shared" si="17"/>
        <v>95.10736613210112</v>
      </c>
      <c r="H213" s="67">
        <f t="shared" si="18"/>
        <v>8.299233473574974E-3</v>
      </c>
      <c r="I213" s="67">
        <f t="shared" si="19"/>
        <v>3.193588478737075E-3</v>
      </c>
    </row>
    <row r="214" spans="1:9" x14ac:dyDescent="0.3">
      <c r="A214" s="24" t="s">
        <v>261</v>
      </c>
      <c r="B214" s="62">
        <v>6243.76</v>
      </c>
      <c r="C214" s="24">
        <v>347.02</v>
      </c>
      <c r="D214" s="24" t="s">
        <v>261</v>
      </c>
      <c r="E214" s="26">
        <f t="shared" si="16"/>
        <v>104.69783352337514</v>
      </c>
      <c r="F214" s="26">
        <f t="shared" si="17"/>
        <v>94.324544713237302</v>
      </c>
      <c r="H214" s="67">
        <f t="shared" si="18"/>
        <v>-9.9286733238231895E-3</v>
      </c>
      <c r="I214" s="67">
        <f t="shared" si="19"/>
        <v>-3.9562515154996092E-3</v>
      </c>
    </row>
    <row r="215" spans="1:9" x14ac:dyDescent="0.3">
      <c r="A215" s="24" t="s">
        <v>262</v>
      </c>
      <c r="B215" s="62">
        <v>6268.56</v>
      </c>
      <c r="C215" s="24">
        <v>350.5</v>
      </c>
      <c r="D215" s="24" t="s">
        <v>262</v>
      </c>
      <c r="E215" s="26">
        <f t="shared" si="16"/>
        <v>105.11368971762022</v>
      </c>
      <c r="F215" s="26">
        <f t="shared" si="17"/>
        <v>95.270453927697744</v>
      </c>
      <c r="H215" s="67">
        <f t="shared" si="18"/>
        <v>7.3865432701980538E-3</v>
      </c>
      <c r="I215" s="67">
        <f t="shared" si="19"/>
        <v>1.4074044490595128E-3</v>
      </c>
    </row>
    <row r="216" spans="1:9" x14ac:dyDescent="0.3">
      <c r="A216" s="63">
        <v>45968</v>
      </c>
      <c r="B216" s="62">
        <v>6259.75</v>
      </c>
      <c r="C216" s="24">
        <v>347.93</v>
      </c>
      <c r="D216" s="63">
        <v>45968</v>
      </c>
      <c r="E216" s="26">
        <f t="shared" si="16"/>
        <v>104.96596015829364</v>
      </c>
      <c r="F216" s="26">
        <f t="shared" si="17"/>
        <v>94.571894536558858</v>
      </c>
      <c r="H216" s="67">
        <f t="shared" si="18"/>
        <v>-2.2338990671012637E-2</v>
      </c>
      <c r="I216" s="67">
        <f t="shared" si="19"/>
        <v>-3.2975291618766445E-3</v>
      </c>
    </row>
    <row r="217" spans="1:9" x14ac:dyDescent="0.3">
      <c r="A217" s="63">
        <v>45937</v>
      </c>
      <c r="B217" s="62">
        <v>6280.46</v>
      </c>
      <c r="C217" s="24">
        <v>355.88</v>
      </c>
      <c r="D217" s="63">
        <v>45937</v>
      </c>
      <c r="E217" s="26">
        <f t="shared" si="16"/>
        <v>105.31323361727814</v>
      </c>
      <c r="F217" s="26">
        <f t="shared" si="17"/>
        <v>96.732807828214192</v>
      </c>
      <c r="H217" s="67">
        <f t="shared" si="18"/>
        <v>-5.2549194991055037E-3</v>
      </c>
      <c r="I217" s="67">
        <f t="shared" si="19"/>
        <v>2.7461737178402501E-3</v>
      </c>
    </row>
    <row r="218" spans="1:9" x14ac:dyDescent="0.3">
      <c r="A218" s="63">
        <v>45907</v>
      </c>
      <c r="B218" s="62">
        <v>6263.26</v>
      </c>
      <c r="C218" s="24">
        <v>357.76</v>
      </c>
      <c r="D218" s="63">
        <v>45907</v>
      </c>
      <c r="E218" s="26">
        <f t="shared" si="16"/>
        <v>105.02481722449527</v>
      </c>
      <c r="F218" s="26">
        <f t="shared" si="17"/>
        <v>97.24381625441697</v>
      </c>
      <c r="H218" s="67">
        <f t="shared" si="18"/>
        <v>9.0537300803834597E-3</v>
      </c>
      <c r="I218" s="67">
        <f t="shared" si="19"/>
        <v>6.0621442064276998E-3</v>
      </c>
    </row>
    <row r="219" spans="1:9" x14ac:dyDescent="0.3">
      <c r="A219" s="63">
        <v>45876</v>
      </c>
      <c r="B219" s="62">
        <v>6225.52</v>
      </c>
      <c r="C219" s="24">
        <v>354.55</v>
      </c>
      <c r="D219" s="63">
        <v>45876</v>
      </c>
      <c r="E219" s="26">
        <f t="shared" si="16"/>
        <v>104.39197799986584</v>
      </c>
      <c r="F219" s="26">
        <f t="shared" si="17"/>
        <v>96.371296547974993</v>
      </c>
      <c r="H219" s="67">
        <f t="shared" si="18"/>
        <v>-5.8602512337370127E-3</v>
      </c>
      <c r="I219" s="67">
        <f t="shared" si="19"/>
        <v>-7.1589314893449885E-4</v>
      </c>
    </row>
    <row r="220" spans="1:9" x14ac:dyDescent="0.3">
      <c r="A220" s="63">
        <v>45845</v>
      </c>
      <c r="B220" s="62">
        <v>6229.98</v>
      </c>
      <c r="C220" s="24">
        <v>356.64</v>
      </c>
      <c r="D220" s="63">
        <v>45845</v>
      </c>
      <c r="E220" s="26">
        <f t="shared" si="16"/>
        <v>104.46676504125024</v>
      </c>
      <c r="F220" s="26">
        <f t="shared" si="17"/>
        <v>96.939385702636585</v>
      </c>
      <c r="H220" s="67">
        <f t="shared" si="18"/>
        <v>-6.1862564788497387E-3</v>
      </c>
      <c r="I220" s="67">
        <f t="shared" si="19"/>
        <v>-7.8622787390415505E-3</v>
      </c>
    </row>
    <row r="221" spans="1:9" x14ac:dyDescent="0.3">
      <c r="A221" s="63">
        <v>45723</v>
      </c>
      <c r="B221" s="62">
        <v>6279.35</v>
      </c>
      <c r="C221" s="24">
        <v>358.86</v>
      </c>
      <c r="D221" s="63">
        <v>45723</v>
      </c>
      <c r="E221" s="26">
        <f t="shared" si="16"/>
        <v>105.2946206989067</v>
      </c>
      <c r="F221" s="26">
        <f t="shared" si="17"/>
        <v>97.542810546344114</v>
      </c>
      <c r="H221" s="67">
        <f t="shared" si="18"/>
        <v>1.3099203884591404E-2</v>
      </c>
      <c r="I221" s="67">
        <f t="shared" si="19"/>
        <v>8.33892687501403E-3</v>
      </c>
    </row>
    <row r="222" spans="1:9" x14ac:dyDescent="0.3">
      <c r="A222" s="63">
        <v>45695</v>
      </c>
      <c r="B222" s="62">
        <v>6227.42</v>
      </c>
      <c r="C222" s="24">
        <v>354.22</v>
      </c>
      <c r="D222" s="63">
        <v>45695</v>
      </c>
      <c r="E222" s="26">
        <f t="shared" si="16"/>
        <v>104.4238379502314</v>
      </c>
      <c r="F222" s="26">
        <f t="shared" si="17"/>
        <v>96.281598260396848</v>
      </c>
      <c r="H222" s="67">
        <f t="shared" si="18"/>
        <v>-3.5164711508707258E-3</v>
      </c>
      <c r="I222" s="67">
        <f t="shared" si="19"/>
        <v>4.7450714019499074E-3</v>
      </c>
    </row>
    <row r="223" spans="1:9" x14ac:dyDescent="0.3">
      <c r="A223" s="63">
        <v>45664</v>
      </c>
      <c r="B223" s="62">
        <v>6198.01</v>
      </c>
      <c r="C223" s="24">
        <v>355.47</v>
      </c>
      <c r="D223" s="63">
        <v>45664</v>
      </c>
      <c r="E223" s="26">
        <f t="shared" si="16"/>
        <v>103.93067945536252</v>
      </c>
      <c r="F223" s="26">
        <f t="shared" si="17"/>
        <v>96.621364501223169</v>
      </c>
      <c r="H223" s="67">
        <f t="shared" si="18"/>
        <v>1.1829319814111727E-3</v>
      </c>
      <c r="I223" s="67">
        <f t="shared" si="19"/>
        <v>-1.1184618731818752E-3</v>
      </c>
    </row>
    <row r="224" spans="1:9" x14ac:dyDescent="0.3">
      <c r="A224" s="24" t="s">
        <v>263</v>
      </c>
      <c r="B224" s="62">
        <v>6204.95</v>
      </c>
      <c r="C224" s="24">
        <v>355.05</v>
      </c>
      <c r="D224" s="24" t="s">
        <v>263</v>
      </c>
      <c r="E224" s="26">
        <f t="shared" si="16"/>
        <v>104.04705211617143</v>
      </c>
      <c r="F224" s="26">
        <f t="shared" si="17"/>
        <v>96.507203044305527</v>
      </c>
      <c r="H224" s="67">
        <f t="shared" si="18"/>
        <v>1.84733656521614E-2</v>
      </c>
      <c r="I224" s="67">
        <f t="shared" si="19"/>
        <v>5.1643671625301035E-3</v>
      </c>
    </row>
    <row r="225" spans="1:9" x14ac:dyDescent="0.3">
      <c r="A225" s="24" t="s">
        <v>264</v>
      </c>
      <c r="B225" s="62">
        <v>6173.07</v>
      </c>
      <c r="C225" s="24">
        <v>348.61</v>
      </c>
      <c r="D225" s="24" t="s">
        <v>264</v>
      </c>
      <c r="E225" s="26">
        <f t="shared" si="16"/>
        <v>103.51247568582734</v>
      </c>
      <c r="F225" s="26">
        <f t="shared" si="17"/>
        <v>94.75672737156836</v>
      </c>
      <c r="H225" s="67">
        <f t="shared" si="18"/>
        <v>7.4560009247754966E-3</v>
      </c>
      <c r="I225" s="67">
        <f t="shared" si="19"/>
        <v>5.2190027063907518E-3</v>
      </c>
    </row>
    <row r="226" spans="1:9" x14ac:dyDescent="0.3">
      <c r="A226" s="24" t="s">
        <v>265</v>
      </c>
      <c r="B226" s="62">
        <v>6141.02</v>
      </c>
      <c r="C226" s="24">
        <v>346.03</v>
      </c>
      <c r="D226" s="24" t="s">
        <v>265</v>
      </c>
      <c r="E226" s="26">
        <f t="shared" si="16"/>
        <v>102.97504862834529</v>
      </c>
      <c r="F226" s="26">
        <f t="shared" si="17"/>
        <v>94.055449850502853</v>
      </c>
      <c r="H226" s="67">
        <f t="shared" si="18"/>
        <v>2.2302033250303221E-3</v>
      </c>
      <c r="I226" s="67">
        <f t="shared" si="19"/>
        <v>8.0201439226810223E-3</v>
      </c>
    </row>
    <row r="227" spans="1:9" x14ac:dyDescent="0.3">
      <c r="A227" s="24" t="s">
        <v>266</v>
      </c>
      <c r="B227" s="62">
        <v>6092.16</v>
      </c>
      <c r="C227" s="24">
        <v>345.26</v>
      </c>
      <c r="D227" s="24" t="s">
        <v>266</v>
      </c>
      <c r="E227" s="26">
        <f t="shared" si="16"/>
        <v>102.15574485210276</v>
      </c>
      <c r="F227" s="26">
        <f t="shared" si="17"/>
        <v>93.846153846153854</v>
      </c>
      <c r="H227" s="67">
        <f t="shared" ref="H227:H251" si="20">C227/C228-1</f>
        <v>-1.8115632909592505E-2</v>
      </c>
      <c r="I227" s="67">
        <f t="shared" si="19"/>
        <v>-3.282897091061443E-6</v>
      </c>
    </row>
    <row r="228" spans="1:9" x14ac:dyDescent="0.3">
      <c r="A228" s="24" t="s">
        <v>267</v>
      </c>
      <c r="B228" s="62">
        <v>6092.18</v>
      </c>
      <c r="C228" s="24">
        <v>351.63</v>
      </c>
      <c r="D228" s="24" t="s">
        <v>267</v>
      </c>
      <c r="E228" s="26">
        <f t="shared" si="16"/>
        <v>102.15608022000133</v>
      </c>
      <c r="F228" s="26">
        <f t="shared" si="17"/>
        <v>95.577602609404735</v>
      </c>
      <c r="H228" s="67">
        <f t="shared" si="20"/>
        <v>2.2923636363636257E-2</v>
      </c>
      <c r="I228" s="67">
        <f t="shared" si="19"/>
        <v>1.1121677894565751E-2</v>
      </c>
    </row>
    <row r="229" spans="1:9" x14ac:dyDescent="0.3">
      <c r="A229" s="24" t="s">
        <v>268</v>
      </c>
      <c r="B229" s="62">
        <v>6025.17</v>
      </c>
      <c r="C229" s="24">
        <v>343.75</v>
      </c>
      <c r="D229" s="24" t="s">
        <v>268</v>
      </c>
      <c r="E229" s="26">
        <f t="shared" si="16"/>
        <v>101.03243007579314</v>
      </c>
      <c r="F229" s="26">
        <f t="shared" si="17"/>
        <v>93.435716227235673</v>
      </c>
      <c r="H229" s="67">
        <f t="shared" si="20"/>
        <v>1.5299642614525766E-2</v>
      </c>
      <c r="I229" s="67">
        <f t="shared" si="19"/>
        <v>9.6064907906379116E-3</v>
      </c>
    </row>
    <row r="230" spans="1:9" x14ac:dyDescent="0.3">
      <c r="A230" s="24" t="s">
        <v>269</v>
      </c>
      <c r="B230" s="62">
        <v>5967.84</v>
      </c>
      <c r="C230" s="24">
        <v>338.57</v>
      </c>
      <c r="D230" s="24" t="s">
        <v>269</v>
      </c>
      <c r="E230" s="26">
        <f t="shared" si="16"/>
        <v>100.07109799449997</v>
      </c>
      <c r="F230" s="26">
        <f t="shared" si="17"/>
        <v>92.027724925251434</v>
      </c>
      <c r="H230" s="67">
        <f t="shared" si="20"/>
        <v>-5.3175862271579444E-3</v>
      </c>
      <c r="I230" s="67">
        <f t="shared" si="19"/>
        <v>-2.1786128105107938E-3</v>
      </c>
    </row>
    <row r="231" spans="1:9" x14ac:dyDescent="0.3">
      <c r="A231" s="24" t="s">
        <v>270</v>
      </c>
      <c r="B231" s="62">
        <v>5980.87</v>
      </c>
      <c r="C231" s="24">
        <v>340.38</v>
      </c>
      <c r="D231" s="24" t="s">
        <v>270</v>
      </c>
      <c r="E231" s="26">
        <f t="shared" si="16"/>
        <v>100.28959018042792</v>
      </c>
      <c r="F231" s="26">
        <f t="shared" si="17"/>
        <v>92.519706441967926</v>
      </c>
      <c r="H231" s="67">
        <f t="shared" si="20"/>
        <v>-4.8792756539235316E-2</v>
      </c>
      <c r="I231" s="67">
        <f t="shared" si="19"/>
        <v>-3.0922389816012696E-4</v>
      </c>
    </row>
    <row r="232" spans="1:9" x14ac:dyDescent="0.3">
      <c r="A232" s="24" t="s">
        <v>271</v>
      </c>
      <c r="B232" s="62">
        <v>5982.72</v>
      </c>
      <c r="C232" s="24">
        <v>357.84</v>
      </c>
      <c r="D232" s="24" t="s">
        <v>271</v>
      </c>
      <c r="E232" s="26">
        <f t="shared" si="16"/>
        <v>100.32061171104701</v>
      </c>
      <c r="F232" s="26">
        <f t="shared" si="17"/>
        <v>97.265561293829848</v>
      </c>
      <c r="H232" s="67">
        <f t="shared" si="20"/>
        <v>6.6389107685382864E-3</v>
      </c>
      <c r="I232" s="67">
        <f t="shared" si="19"/>
        <v>-8.3522428730786746E-3</v>
      </c>
    </row>
    <row r="233" spans="1:9" x14ac:dyDescent="0.3">
      <c r="A233" s="24" t="s">
        <v>272</v>
      </c>
      <c r="B233" s="62">
        <v>6033.11</v>
      </c>
      <c r="C233" s="24">
        <v>355.48</v>
      </c>
      <c r="D233" s="24" t="s">
        <v>272</v>
      </c>
      <c r="E233" s="26">
        <f t="shared" si="16"/>
        <v>101.16557113153128</v>
      </c>
      <c r="F233" s="26">
        <f t="shared" si="17"/>
        <v>96.624082631149776</v>
      </c>
      <c r="H233" s="67">
        <f t="shared" si="20"/>
        <v>7.4535921779792513E-3</v>
      </c>
      <c r="I233" s="67">
        <f t="shared" si="19"/>
        <v>9.3927190532994143E-3</v>
      </c>
    </row>
    <row r="234" spans="1:9" x14ac:dyDescent="0.3">
      <c r="A234" s="24" t="s">
        <v>273</v>
      </c>
      <c r="B234" s="62">
        <v>5976.97</v>
      </c>
      <c r="C234" s="24">
        <v>352.85</v>
      </c>
      <c r="D234" s="24" t="s">
        <v>273</v>
      </c>
      <c r="E234" s="26">
        <f t="shared" si="16"/>
        <v>100.22419344020389</v>
      </c>
      <c r="F234" s="26">
        <f t="shared" si="17"/>
        <v>95.90921446045121</v>
      </c>
      <c r="H234" s="67">
        <f t="shared" si="20"/>
        <v>-4.9946149703823273E-2</v>
      </c>
      <c r="I234" s="67">
        <f t="shared" si="19"/>
        <v>-1.1296453750541779E-2</v>
      </c>
    </row>
    <row r="235" spans="1:9" x14ac:dyDescent="0.3">
      <c r="A235" s="63">
        <v>45997</v>
      </c>
      <c r="B235" s="62">
        <v>6045.26</v>
      </c>
      <c r="C235" s="24">
        <v>371.4</v>
      </c>
      <c r="D235" s="63">
        <v>45997</v>
      </c>
      <c r="E235" s="26">
        <f t="shared" si="16"/>
        <v>101.36930712992152</v>
      </c>
      <c r="F235" s="26">
        <f t="shared" si="17"/>
        <v>100.95134547431368</v>
      </c>
      <c r="H235" s="67">
        <f t="shared" si="20"/>
        <v>-5.116391203021653E-3</v>
      </c>
      <c r="I235" s="67">
        <f t="shared" si="19"/>
        <v>3.8224979409655635E-3</v>
      </c>
    </row>
    <row r="236" spans="1:9" x14ac:dyDescent="0.3">
      <c r="A236" s="63">
        <v>45967</v>
      </c>
      <c r="B236" s="62">
        <v>6022.24</v>
      </c>
      <c r="C236" s="24">
        <v>373.31</v>
      </c>
      <c r="D236" s="63">
        <v>45967</v>
      </c>
      <c r="E236" s="26">
        <f t="shared" si="16"/>
        <v>100.98329867865047</v>
      </c>
      <c r="F236" s="26">
        <f t="shared" si="17"/>
        <v>101.47050829029628</v>
      </c>
      <c r="H236" s="67">
        <f t="shared" si="20"/>
        <v>7.0407337469653442E-3</v>
      </c>
      <c r="I236" s="67">
        <f t="shared" si="19"/>
        <v>-2.7439180898224391E-3</v>
      </c>
    </row>
    <row r="237" spans="1:9" x14ac:dyDescent="0.3">
      <c r="A237" s="63">
        <v>45936</v>
      </c>
      <c r="B237" s="62">
        <v>6038.81</v>
      </c>
      <c r="C237" s="24">
        <v>370.7</v>
      </c>
      <c r="D237" s="63">
        <v>45936</v>
      </c>
      <c r="E237" s="26">
        <f t="shared" si="16"/>
        <v>101.26115098262794</v>
      </c>
      <c r="F237" s="26">
        <f t="shared" si="17"/>
        <v>100.76107637945094</v>
      </c>
      <c r="H237" s="67">
        <f t="shared" si="20"/>
        <v>1.1018382152402584E-2</v>
      </c>
      <c r="I237" s="67">
        <f t="shared" si="19"/>
        <v>5.4829600325014827E-3</v>
      </c>
    </row>
    <row r="238" spans="1:9" x14ac:dyDescent="0.3">
      <c r="A238" s="63">
        <v>45906</v>
      </c>
      <c r="B238" s="62">
        <v>6005.88</v>
      </c>
      <c r="C238" s="24">
        <v>366.66</v>
      </c>
      <c r="D238" s="63">
        <v>45906</v>
      </c>
      <c r="E238" s="26">
        <f t="shared" si="16"/>
        <v>100.70896773760815</v>
      </c>
      <c r="F238" s="26">
        <f t="shared" si="17"/>
        <v>99.662951889100299</v>
      </c>
      <c r="H238" s="67">
        <f t="shared" si="20"/>
        <v>-9.6159040570471532E-3</v>
      </c>
      <c r="I238" s="67">
        <f t="shared" si="19"/>
        <v>9.1994480331192285E-4</v>
      </c>
    </row>
    <row r="239" spans="1:9" x14ac:dyDescent="0.3">
      <c r="A239" s="63">
        <v>45814</v>
      </c>
      <c r="B239" s="62">
        <v>6000.36</v>
      </c>
      <c r="C239" s="24">
        <v>370.22</v>
      </c>
      <c r="D239" s="63">
        <v>45814</v>
      </c>
      <c r="E239" s="26">
        <f t="shared" si="16"/>
        <v>100.61640619759876</v>
      </c>
      <c r="F239" s="26">
        <f t="shared" si="17"/>
        <v>100.63060614297365</v>
      </c>
      <c r="H239" s="67">
        <f t="shared" si="20"/>
        <v>9.4064400032718432E-3</v>
      </c>
      <c r="I239" s="67">
        <f t="shared" si="19"/>
        <v>1.0280672806559643E-2</v>
      </c>
    </row>
    <row r="240" spans="1:9" x14ac:dyDescent="0.3">
      <c r="A240" s="63">
        <v>45783</v>
      </c>
      <c r="B240" s="62">
        <v>5939.3</v>
      </c>
      <c r="C240" s="24">
        <v>366.77</v>
      </c>
      <c r="D240" s="63">
        <v>45783</v>
      </c>
      <c r="E240" s="26">
        <f t="shared" si="16"/>
        <v>99.592528003219527</v>
      </c>
      <c r="F240" s="26">
        <f t="shared" si="17"/>
        <v>99.692851318293023</v>
      </c>
      <c r="H240" s="67">
        <f t="shared" si="20"/>
        <v>-3.3423913043478803E-3</v>
      </c>
      <c r="I240" s="67">
        <f t="shared" si="19"/>
        <v>-5.2773409302925289E-3</v>
      </c>
    </row>
    <row r="241" spans="1:9" x14ac:dyDescent="0.3">
      <c r="A241" s="63">
        <v>45753</v>
      </c>
      <c r="B241" s="62">
        <v>5970.81</v>
      </c>
      <c r="C241" s="24">
        <v>368</v>
      </c>
      <c r="D241" s="63">
        <v>45753</v>
      </c>
      <c r="E241" s="26">
        <f t="shared" si="16"/>
        <v>100.1209001274398</v>
      </c>
      <c r="F241" s="26">
        <f t="shared" si="17"/>
        <v>100.0271812992661</v>
      </c>
      <c r="H241" s="67">
        <f t="shared" si="20"/>
        <v>5.8492319466463272E-3</v>
      </c>
      <c r="I241" s="67">
        <f t="shared" si="19"/>
        <v>7.3697275043249633E-5</v>
      </c>
    </row>
    <row r="242" spans="1:9" x14ac:dyDescent="0.3">
      <c r="A242" s="63">
        <v>45722</v>
      </c>
      <c r="B242" s="62">
        <v>5970.37</v>
      </c>
      <c r="C242" s="24">
        <v>365.86</v>
      </c>
      <c r="D242" s="63">
        <v>45722</v>
      </c>
      <c r="E242" s="26">
        <f t="shared" si="16"/>
        <v>100.11352203367093</v>
      </c>
      <c r="F242" s="26">
        <f t="shared" si="17"/>
        <v>99.445501494971467</v>
      </c>
      <c r="H242" s="67">
        <f t="shared" si="20"/>
        <v>1.4781561370853513E-3</v>
      </c>
      <c r="I242" s="67">
        <f t="shared" si="19"/>
        <v>5.8002607843070653E-3</v>
      </c>
    </row>
    <row r="243" spans="1:9" x14ac:dyDescent="0.3">
      <c r="A243" s="63">
        <v>45694</v>
      </c>
      <c r="B243" s="62">
        <v>5935.94</v>
      </c>
      <c r="C243" s="24">
        <v>365.32</v>
      </c>
      <c r="D243" s="63">
        <v>45694</v>
      </c>
      <c r="E243" s="26">
        <f t="shared" si="16"/>
        <v>99.53618619625729</v>
      </c>
      <c r="F243" s="26">
        <f t="shared" si="17"/>
        <v>99.298722478934494</v>
      </c>
      <c r="H243" s="67">
        <f t="shared" si="20"/>
        <v>3.5597907938322848E-4</v>
      </c>
      <c r="I243" s="67">
        <f t="shared" si="19"/>
        <v>4.1020418864994301E-3</v>
      </c>
    </row>
    <row r="244" spans="1:9" x14ac:dyDescent="0.3">
      <c r="A244" s="24" t="s">
        <v>274</v>
      </c>
      <c r="B244" s="62">
        <v>5911.69</v>
      </c>
      <c r="C244" s="24">
        <v>365.19</v>
      </c>
      <c r="D244" s="24" t="s">
        <v>274</v>
      </c>
      <c r="E244" s="26">
        <f t="shared" si="16"/>
        <v>99.129552619223276</v>
      </c>
      <c r="F244" s="26">
        <f t="shared" si="17"/>
        <v>99.263386789888557</v>
      </c>
      <c r="H244" s="67">
        <f t="shared" si="20"/>
        <v>7.6986754966887894E-3</v>
      </c>
      <c r="I244" s="67">
        <f t="shared" si="19"/>
        <v>-8.118846379590039E-5</v>
      </c>
    </row>
    <row r="245" spans="1:9" x14ac:dyDescent="0.3">
      <c r="A245" s="24" t="s">
        <v>275</v>
      </c>
      <c r="B245" s="62">
        <v>5912.17</v>
      </c>
      <c r="C245" s="24">
        <v>362.4</v>
      </c>
      <c r="D245" s="24" t="s">
        <v>275</v>
      </c>
      <c r="E245" s="26">
        <f t="shared" si="16"/>
        <v>99.137601448789312</v>
      </c>
      <c r="F245" s="26">
        <f t="shared" si="17"/>
        <v>98.505028540364236</v>
      </c>
      <c r="H245" s="67">
        <f t="shared" si="20"/>
        <v>7.4222333416729125E-3</v>
      </c>
      <c r="I245" s="67">
        <f t="shared" si="19"/>
        <v>4.0111742279509421E-3</v>
      </c>
    </row>
    <row r="246" spans="1:9" x14ac:dyDescent="0.3">
      <c r="A246" s="24" t="s">
        <v>276</v>
      </c>
      <c r="B246" s="62">
        <v>5888.55</v>
      </c>
      <c r="C246" s="24">
        <v>359.73</v>
      </c>
      <c r="D246" s="24" t="s">
        <v>276</v>
      </c>
      <c r="E246" s="26">
        <f t="shared" si="16"/>
        <v>98.741531960560735</v>
      </c>
      <c r="F246" s="26">
        <f t="shared" si="17"/>
        <v>97.779287849959232</v>
      </c>
      <c r="H246" s="67">
        <f t="shared" si="20"/>
        <v>1.1967715001390822E-3</v>
      </c>
      <c r="I246" s="67">
        <f t="shared" si="19"/>
        <v>-5.571185873944895E-3</v>
      </c>
    </row>
    <row r="247" spans="1:9" x14ac:dyDescent="0.3">
      <c r="A247" s="24" t="s">
        <v>277</v>
      </c>
      <c r="B247" s="62">
        <v>5921.54</v>
      </c>
      <c r="C247" s="24">
        <v>359.3</v>
      </c>
      <c r="D247" s="24" t="s">
        <v>277</v>
      </c>
      <c r="E247" s="26">
        <f t="shared" si="16"/>
        <v>99.294721309276269</v>
      </c>
      <c r="F247" s="26">
        <f t="shared" si="17"/>
        <v>97.662408263114983</v>
      </c>
      <c r="H247" s="67">
        <f t="shared" si="20"/>
        <v>1.629235730044698E-2</v>
      </c>
      <c r="I247" s="67">
        <f t="shared" si="19"/>
        <v>2.0459018201495205E-2</v>
      </c>
    </row>
    <row r="248" spans="1:9" x14ac:dyDescent="0.3">
      <c r="A248" s="24" t="s">
        <v>278</v>
      </c>
      <c r="B248" s="62">
        <v>5802.82</v>
      </c>
      <c r="C248" s="24">
        <v>353.54</v>
      </c>
      <c r="D248" s="24" t="s">
        <v>278</v>
      </c>
      <c r="E248" s="26">
        <f t="shared" si="16"/>
        <v>97.303977463277207</v>
      </c>
      <c r="F248" s="26">
        <f t="shared" si="17"/>
        <v>96.096765425387346</v>
      </c>
      <c r="H248" s="67">
        <f t="shared" si="20"/>
        <v>-1.2375338715534867E-2</v>
      </c>
      <c r="I248" s="67">
        <f t="shared" si="19"/>
        <v>-6.708307585916562E-3</v>
      </c>
    </row>
    <row r="249" spans="1:9" x14ac:dyDescent="0.3">
      <c r="A249" s="24" t="s">
        <v>279</v>
      </c>
      <c r="B249" s="62">
        <v>5842.01</v>
      </c>
      <c r="C249" s="24">
        <v>357.97</v>
      </c>
      <c r="D249" s="24" t="s">
        <v>279</v>
      </c>
      <c r="E249" s="26">
        <f t="shared" si="16"/>
        <v>97.961130860554022</v>
      </c>
      <c r="F249" s="26">
        <f t="shared" si="17"/>
        <v>97.300896982875784</v>
      </c>
      <c r="H249" s="67">
        <f t="shared" si="20"/>
        <v>-9.2101590845650172E-4</v>
      </c>
      <c r="I249" s="67">
        <f t="shared" si="19"/>
        <v>-4.4485431876539749E-4</v>
      </c>
    </row>
    <row r="250" spans="1:9" x14ac:dyDescent="0.3">
      <c r="A250" s="24" t="s">
        <v>280</v>
      </c>
      <c r="B250" s="62">
        <v>5844.61</v>
      </c>
      <c r="C250" s="24">
        <v>358.3</v>
      </c>
      <c r="D250" s="24" t="s">
        <v>280</v>
      </c>
      <c r="E250" s="26">
        <f t="shared" si="16"/>
        <v>98.004728687370033</v>
      </c>
      <c r="F250" s="26">
        <f t="shared" si="17"/>
        <v>97.390595270453929</v>
      </c>
      <c r="H250" s="67">
        <f t="shared" si="20"/>
        <v>-2.3279904045360289E-2</v>
      </c>
      <c r="I250" s="67">
        <f t="shared" si="19"/>
        <v>-1.6135114115741978E-2</v>
      </c>
    </row>
    <row r="251" spans="1:9" x14ac:dyDescent="0.3">
      <c r="A251" s="24" t="s">
        <v>281</v>
      </c>
      <c r="B251" s="62">
        <v>5940.46</v>
      </c>
      <c r="C251" s="24">
        <v>366.84</v>
      </c>
      <c r="D251" s="24" t="s">
        <v>281</v>
      </c>
      <c r="E251" s="26">
        <f t="shared" si="16"/>
        <v>99.611979341337445</v>
      </c>
      <c r="F251" s="26">
        <f t="shared" si="17"/>
        <v>99.711878227779295</v>
      </c>
      <c r="H251" s="67">
        <f t="shared" si="20"/>
        <v>-2.8812177222071744E-3</v>
      </c>
      <c r="I251" s="67">
        <f t="shared" si="19"/>
        <v>-3.8802065866255786E-3</v>
      </c>
    </row>
    <row r="252" spans="1:9" x14ac:dyDescent="0.3">
      <c r="A252" s="24" t="s">
        <v>282</v>
      </c>
      <c r="B252" s="62">
        <v>5963.6</v>
      </c>
      <c r="C252" s="24">
        <v>367.9</v>
      </c>
      <c r="D252" s="24" t="s">
        <v>282</v>
      </c>
      <c r="E252" s="26">
        <v>100</v>
      </c>
      <c r="F252" s="24">
        <v>100</v>
      </c>
      <c r="H252" s="67"/>
    </row>
  </sheetData>
  <sheetProtection algorithmName="SHA-512" hashValue="D/TJl3Q0tkrax6To9V2wMTMlqmVxdHqzx4R0lEVjfZxUic3h90FRTTNQENO2I22ajyD0BCjWAiRlhiNWm3PhoQ==" saltValue="rdVCN0y/Gav9GlmKU/YnBg==" spinCount="100000" sheet="1" objects="1" scenarios="1" selectLockedCells="1" selectUnlockedCells="1"/>
  <hyperlinks>
    <hyperlink ref="G1" location="Snapshot!A1" display="Home" xr:uid="{1F6B7E67-6AE5-422A-9698-F039684AB7B2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0272-E6A1-4438-9981-444C0F51A7F5}">
  <dimension ref="A1:K27"/>
  <sheetViews>
    <sheetView workbookViewId="0"/>
  </sheetViews>
  <sheetFormatPr defaultRowHeight="14.4" x14ac:dyDescent="0.3"/>
  <cols>
    <col min="1" max="1" width="10.33203125" style="24" bestFit="1" customWidth="1"/>
    <col min="2" max="2" width="7.77734375" style="24" bestFit="1" customWidth="1"/>
    <col min="3" max="3" width="8.88671875" style="40"/>
    <col min="4" max="5" width="16.6640625" style="40" bestFit="1" customWidth="1"/>
    <col min="6" max="6" width="8.88671875" style="40"/>
    <col min="7" max="7" width="8.88671875" style="24"/>
    <col min="8" max="8" width="9.88671875" style="24" bestFit="1" customWidth="1"/>
    <col min="9" max="9" width="11.44140625" style="24" bestFit="1" customWidth="1"/>
    <col min="10" max="16384" width="8.88671875" style="24"/>
  </cols>
  <sheetData>
    <row r="1" spans="1:11" x14ac:dyDescent="0.3">
      <c r="A1" s="24" t="s">
        <v>381</v>
      </c>
      <c r="B1" s="24" t="s">
        <v>384</v>
      </c>
      <c r="C1" s="40" t="s">
        <v>411</v>
      </c>
      <c r="D1" s="40" t="s">
        <v>413</v>
      </c>
      <c r="E1" s="40" t="s">
        <v>412</v>
      </c>
      <c r="G1" s="40" t="s">
        <v>414</v>
      </c>
      <c r="H1" s="24" t="s">
        <v>382</v>
      </c>
      <c r="I1" s="24" t="s">
        <v>383</v>
      </c>
      <c r="K1" s="82" t="s">
        <v>438</v>
      </c>
    </row>
    <row r="2" spans="1:11" x14ac:dyDescent="0.3">
      <c r="A2" s="64" t="s">
        <v>385</v>
      </c>
      <c r="B2" s="24">
        <v>30.02</v>
      </c>
      <c r="C2" s="65">
        <f>AVERAGE(B2:B27)</f>
        <v>35.877307692307689</v>
      </c>
      <c r="D2" s="65">
        <f t="shared" ref="D2:D27" si="0">C2+$G$2</f>
        <v>41.984539570418939</v>
      </c>
      <c r="E2" s="65">
        <f t="shared" ref="E2:E27" si="1">C2-$G$2</f>
        <v>29.770075814196439</v>
      </c>
      <c r="G2" s="66">
        <f>_xlfn.STDEV.P(B2:B27)</f>
        <v>6.1072318781112482</v>
      </c>
      <c r="H2" s="24">
        <v>322.39</v>
      </c>
    </row>
    <row r="3" spans="1:11" x14ac:dyDescent="0.3">
      <c r="A3" s="64" t="s">
        <v>386</v>
      </c>
      <c r="B3" s="24">
        <v>28.08</v>
      </c>
      <c r="C3" s="65">
        <f t="shared" ref="C3:C27" si="2">C2</f>
        <v>35.877307692307689</v>
      </c>
      <c r="D3" s="65">
        <f t="shared" si="0"/>
        <v>41.984539570418939</v>
      </c>
      <c r="E3" s="65">
        <f t="shared" si="1"/>
        <v>29.770075814196439</v>
      </c>
      <c r="H3" s="24">
        <v>301.62</v>
      </c>
      <c r="I3" s="24">
        <v>10.74</v>
      </c>
    </row>
    <row r="4" spans="1:11" x14ac:dyDescent="0.3">
      <c r="A4" s="64" t="s">
        <v>387</v>
      </c>
      <c r="B4" s="24">
        <v>35.03</v>
      </c>
      <c r="C4" s="65">
        <f t="shared" si="2"/>
        <v>35.877307692307689</v>
      </c>
      <c r="D4" s="65">
        <f t="shared" si="0"/>
        <v>41.984539570418939</v>
      </c>
      <c r="E4" s="65">
        <f t="shared" si="1"/>
        <v>29.770075814196439</v>
      </c>
      <c r="H4" s="24">
        <v>349.26</v>
      </c>
      <c r="I4" s="24">
        <v>9.9700000000000006</v>
      </c>
    </row>
    <row r="5" spans="1:11" x14ac:dyDescent="0.3">
      <c r="A5" s="64" t="s">
        <v>388</v>
      </c>
      <c r="B5" s="24">
        <v>35.53</v>
      </c>
      <c r="C5" s="65">
        <f t="shared" si="2"/>
        <v>35.877307692307689</v>
      </c>
      <c r="D5" s="65">
        <f t="shared" si="0"/>
        <v>41.984539570418939</v>
      </c>
      <c r="E5" s="65">
        <f t="shared" si="1"/>
        <v>29.770075814196439</v>
      </c>
      <c r="H5" s="24">
        <v>339.29</v>
      </c>
      <c r="I5" s="24">
        <v>9.5500000000000007</v>
      </c>
    </row>
    <row r="6" spans="1:11" x14ac:dyDescent="0.3">
      <c r="A6" s="64" t="s">
        <v>389</v>
      </c>
      <c r="B6" s="24">
        <v>36.85</v>
      </c>
      <c r="C6" s="65">
        <f t="shared" si="2"/>
        <v>35.877307692307689</v>
      </c>
      <c r="D6" s="65">
        <f t="shared" si="0"/>
        <v>41.984539570418939</v>
      </c>
      <c r="E6" s="65">
        <f t="shared" si="1"/>
        <v>29.770075814196439</v>
      </c>
      <c r="H6" s="24">
        <v>352.26</v>
      </c>
      <c r="I6" s="24">
        <v>9.56</v>
      </c>
    </row>
    <row r="7" spans="1:11" x14ac:dyDescent="0.3">
      <c r="A7" s="64" t="s">
        <v>390</v>
      </c>
      <c r="B7" s="24">
        <v>37.61</v>
      </c>
      <c r="C7" s="65">
        <f t="shared" si="2"/>
        <v>35.877307692307689</v>
      </c>
      <c r="D7" s="65">
        <f t="shared" si="0"/>
        <v>41.984539570418939</v>
      </c>
      <c r="E7" s="65">
        <f t="shared" si="1"/>
        <v>29.770075814196439</v>
      </c>
      <c r="H7" s="24">
        <v>347.13</v>
      </c>
      <c r="I7" s="24">
        <v>9.23</v>
      </c>
    </row>
    <row r="8" spans="1:11" x14ac:dyDescent="0.3">
      <c r="A8" s="64" t="s">
        <v>391</v>
      </c>
      <c r="B8" s="24">
        <v>34.380000000000003</v>
      </c>
      <c r="C8" s="65">
        <f t="shared" si="2"/>
        <v>35.877307692307689</v>
      </c>
      <c r="D8" s="65">
        <f t="shared" si="0"/>
        <v>41.984539570418939</v>
      </c>
      <c r="E8" s="65">
        <f t="shared" si="1"/>
        <v>29.770075814196439</v>
      </c>
      <c r="H8" s="24">
        <v>312.51</v>
      </c>
      <c r="I8" s="24">
        <v>9.09</v>
      </c>
      <c r="K8" s="83" t="s">
        <v>444</v>
      </c>
    </row>
    <row r="9" spans="1:11" x14ac:dyDescent="0.3">
      <c r="A9" s="64" t="s">
        <v>392</v>
      </c>
      <c r="B9" s="24">
        <v>30.8</v>
      </c>
      <c r="C9" s="65">
        <f t="shared" si="2"/>
        <v>35.877307692307689</v>
      </c>
      <c r="D9" s="65">
        <f t="shared" si="0"/>
        <v>41.984539570418939</v>
      </c>
      <c r="E9" s="65">
        <f t="shared" si="1"/>
        <v>29.770075814196439</v>
      </c>
      <c r="H9" s="24">
        <v>271.36</v>
      </c>
      <c r="I9" s="24">
        <v>8.81</v>
      </c>
      <c r="K9" s="83" t="s">
        <v>445</v>
      </c>
    </row>
    <row r="10" spans="1:11" x14ac:dyDescent="0.3">
      <c r="A10" s="64" t="s">
        <v>393</v>
      </c>
      <c r="B10" s="24">
        <v>30.89</v>
      </c>
      <c r="C10" s="65">
        <f t="shared" si="2"/>
        <v>35.877307692307689</v>
      </c>
      <c r="D10" s="65">
        <f t="shared" si="0"/>
        <v>41.984539570418939</v>
      </c>
      <c r="E10" s="65">
        <f t="shared" si="1"/>
        <v>29.770075814196439</v>
      </c>
      <c r="H10" s="24">
        <v>258.52</v>
      </c>
      <c r="I10" s="24">
        <v>8.3699999999999992</v>
      </c>
    </row>
    <row r="11" spans="1:11" x14ac:dyDescent="0.3">
      <c r="A11" s="64" t="s">
        <v>394</v>
      </c>
      <c r="B11" s="24">
        <v>34.47</v>
      </c>
      <c r="C11" s="65">
        <f t="shared" si="2"/>
        <v>35.877307692307689</v>
      </c>
      <c r="D11" s="65">
        <f t="shared" si="0"/>
        <v>41.984539570418939</v>
      </c>
      <c r="E11" s="65">
        <f t="shared" si="1"/>
        <v>29.770075814196439</v>
      </c>
      <c r="H11" s="24">
        <v>274.38</v>
      </c>
      <c r="I11" s="24">
        <v>7.96</v>
      </c>
    </row>
    <row r="12" spans="1:11" x14ac:dyDescent="0.3">
      <c r="A12" s="64" t="s">
        <v>395</v>
      </c>
      <c r="B12" s="24">
        <v>33.01</v>
      </c>
      <c r="C12" s="65">
        <f t="shared" si="2"/>
        <v>35.877307692307689</v>
      </c>
      <c r="D12" s="65">
        <f t="shared" si="0"/>
        <v>41.984539570418939</v>
      </c>
      <c r="E12" s="65">
        <f t="shared" si="1"/>
        <v>29.770075814196439</v>
      </c>
      <c r="H12" s="24">
        <v>255.48</v>
      </c>
      <c r="I12" s="24">
        <v>7.74</v>
      </c>
    </row>
    <row r="13" spans="1:11" x14ac:dyDescent="0.3">
      <c r="A13" s="64" t="s">
        <v>396</v>
      </c>
      <c r="B13" s="24">
        <v>30.52</v>
      </c>
      <c r="C13" s="65">
        <f t="shared" si="2"/>
        <v>35.877307692307689</v>
      </c>
      <c r="D13" s="65">
        <f t="shared" si="0"/>
        <v>41.984539570418939</v>
      </c>
      <c r="E13" s="65">
        <f t="shared" si="1"/>
        <v>29.770075814196439</v>
      </c>
      <c r="H13" s="24">
        <v>225.23</v>
      </c>
      <c r="I13" s="24">
        <v>7.38</v>
      </c>
    </row>
    <row r="14" spans="1:11" x14ac:dyDescent="0.3">
      <c r="A14" s="64" t="s">
        <v>397</v>
      </c>
      <c r="B14" s="24">
        <v>33.020000000000003</v>
      </c>
      <c r="C14" s="65">
        <f t="shared" si="2"/>
        <v>35.877307692307689</v>
      </c>
      <c r="D14" s="65">
        <f t="shared" si="0"/>
        <v>41.984539570418939</v>
      </c>
      <c r="E14" s="65">
        <f t="shared" si="1"/>
        <v>29.770075814196439</v>
      </c>
      <c r="H14" s="24">
        <v>232.11</v>
      </c>
      <c r="I14" s="24">
        <v>7.03</v>
      </c>
    </row>
    <row r="15" spans="1:11" x14ac:dyDescent="0.3">
      <c r="A15" s="64" t="s">
        <v>398</v>
      </c>
      <c r="B15" s="24">
        <v>32.92</v>
      </c>
      <c r="C15" s="65">
        <f t="shared" si="2"/>
        <v>35.877307692307689</v>
      </c>
      <c r="D15" s="65">
        <f t="shared" si="0"/>
        <v>41.984539570418939</v>
      </c>
      <c r="E15" s="65">
        <f t="shared" si="1"/>
        <v>29.770075814196439</v>
      </c>
      <c r="H15" s="24">
        <v>219.93</v>
      </c>
      <c r="I15" s="24">
        <v>6.68</v>
      </c>
    </row>
    <row r="16" spans="1:11" x14ac:dyDescent="0.3">
      <c r="A16" s="64" t="s">
        <v>399</v>
      </c>
      <c r="B16" s="24">
        <v>31.65</v>
      </c>
      <c r="C16" s="65">
        <f t="shared" si="2"/>
        <v>35.877307692307689</v>
      </c>
      <c r="D16" s="65">
        <f t="shared" si="0"/>
        <v>41.984539570418939</v>
      </c>
      <c r="E16" s="65">
        <f t="shared" si="1"/>
        <v>29.770075814196439</v>
      </c>
      <c r="H16" s="24">
        <v>202.27</v>
      </c>
      <c r="I16" s="24">
        <v>6.39</v>
      </c>
    </row>
    <row r="17" spans="1:9" x14ac:dyDescent="0.3">
      <c r="A17" s="64" t="s">
        <v>400</v>
      </c>
      <c r="B17" s="24">
        <v>27.57</v>
      </c>
      <c r="C17" s="65">
        <f t="shared" si="2"/>
        <v>35.877307692307689</v>
      </c>
      <c r="D17" s="65">
        <f t="shared" si="0"/>
        <v>41.984539570418939</v>
      </c>
      <c r="E17" s="65">
        <f t="shared" si="1"/>
        <v>29.770075814196439</v>
      </c>
      <c r="H17" s="24">
        <v>172.57</v>
      </c>
      <c r="I17" s="24">
        <v>6.26</v>
      </c>
    </row>
    <row r="18" spans="1:9" x14ac:dyDescent="0.3">
      <c r="A18" s="64" t="s">
        <v>401</v>
      </c>
      <c r="B18" s="24">
        <v>31.51</v>
      </c>
      <c r="C18" s="65">
        <f t="shared" si="2"/>
        <v>35.877307692307689</v>
      </c>
      <c r="D18" s="65">
        <f t="shared" si="0"/>
        <v>41.984539570418939</v>
      </c>
      <c r="E18" s="65">
        <f t="shared" si="1"/>
        <v>29.770075814196439</v>
      </c>
      <c r="H18" s="24">
        <v>190.92</v>
      </c>
      <c r="I18" s="24">
        <v>6.06</v>
      </c>
    </row>
    <row r="19" spans="1:9" x14ac:dyDescent="0.3">
      <c r="A19" s="64" t="s">
        <v>402</v>
      </c>
      <c r="B19" s="24">
        <v>37.72</v>
      </c>
      <c r="C19" s="65">
        <f t="shared" si="2"/>
        <v>35.877307692307689</v>
      </c>
      <c r="D19" s="65">
        <f t="shared" si="0"/>
        <v>41.984539570418939</v>
      </c>
      <c r="E19" s="65">
        <f t="shared" si="1"/>
        <v>29.770075814196439</v>
      </c>
      <c r="H19" s="24">
        <v>214.64</v>
      </c>
      <c r="I19" s="24">
        <v>5.69</v>
      </c>
    </row>
    <row r="20" spans="1:9" x14ac:dyDescent="0.3">
      <c r="A20" s="64" t="s">
        <v>403</v>
      </c>
      <c r="B20" s="24">
        <v>38.71</v>
      </c>
      <c r="C20" s="65">
        <f t="shared" si="2"/>
        <v>35.877307692307689</v>
      </c>
      <c r="D20" s="65">
        <f t="shared" si="0"/>
        <v>41.984539570418939</v>
      </c>
      <c r="E20" s="65">
        <f t="shared" si="1"/>
        <v>29.770075814196439</v>
      </c>
      <c r="H20" s="24">
        <v>209.4</v>
      </c>
      <c r="I20" s="24">
        <v>5.41</v>
      </c>
    </row>
    <row r="21" spans="1:9" x14ac:dyDescent="0.3">
      <c r="A21" s="64" t="s">
        <v>404</v>
      </c>
      <c r="B21" s="24">
        <v>42.63</v>
      </c>
      <c r="C21" s="65">
        <f t="shared" si="2"/>
        <v>35.877307692307689</v>
      </c>
      <c r="D21" s="65">
        <f t="shared" si="0"/>
        <v>41.984539570418939</v>
      </c>
      <c r="E21" s="65">
        <f t="shared" si="1"/>
        <v>29.770075814196439</v>
      </c>
      <c r="H21" s="24">
        <v>214.86</v>
      </c>
      <c r="I21" s="24">
        <v>5.04</v>
      </c>
    </row>
    <row r="22" spans="1:9" x14ac:dyDescent="0.3">
      <c r="A22" s="64" t="s">
        <v>405</v>
      </c>
      <c r="B22" s="24">
        <v>50.73</v>
      </c>
      <c r="C22" s="65">
        <f t="shared" si="2"/>
        <v>35.877307692307689</v>
      </c>
      <c r="D22" s="65">
        <f t="shared" si="0"/>
        <v>41.984539570418939</v>
      </c>
      <c r="E22" s="65">
        <f t="shared" si="1"/>
        <v>29.770075814196439</v>
      </c>
      <c r="H22" s="24">
        <v>225.23</v>
      </c>
      <c r="I22" s="24">
        <v>4.4400000000000004</v>
      </c>
    </row>
    <row r="23" spans="1:9" x14ac:dyDescent="0.3">
      <c r="A23" s="64" t="s">
        <v>406</v>
      </c>
      <c r="B23" s="24">
        <v>46.93</v>
      </c>
      <c r="C23" s="65">
        <f t="shared" si="2"/>
        <v>35.877307692307689</v>
      </c>
      <c r="D23" s="65">
        <f t="shared" si="0"/>
        <v>41.984539570418939</v>
      </c>
      <c r="E23" s="65">
        <f t="shared" si="1"/>
        <v>29.770075814196439</v>
      </c>
      <c r="H23" s="24">
        <v>203.66</v>
      </c>
      <c r="I23" s="24">
        <v>4.34</v>
      </c>
    </row>
    <row r="24" spans="1:9" x14ac:dyDescent="0.3">
      <c r="A24" s="64" t="s">
        <v>407</v>
      </c>
      <c r="B24" s="24">
        <v>48.4</v>
      </c>
      <c r="C24" s="65">
        <f t="shared" si="2"/>
        <v>35.877307692307689</v>
      </c>
      <c r="D24" s="65">
        <f t="shared" si="0"/>
        <v>41.984539570418939</v>
      </c>
      <c r="E24" s="65">
        <f t="shared" si="1"/>
        <v>29.770075814196439</v>
      </c>
      <c r="H24" s="24">
        <v>210.06</v>
      </c>
      <c r="I24" s="24">
        <v>4.34</v>
      </c>
    </row>
    <row r="25" spans="1:9" x14ac:dyDescent="0.3">
      <c r="A25" s="64" t="s">
        <v>408</v>
      </c>
      <c r="B25" s="24">
        <v>43.78</v>
      </c>
      <c r="C25" s="65">
        <f t="shared" si="2"/>
        <v>35.877307692307689</v>
      </c>
      <c r="D25" s="65">
        <f t="shared" si="0"/>
        <v>41.984539570418939</v>
      </c>
      <c r="E25" s="65">
        <f t="shared" si="1"/>
        <v>29.770075814196439</v>
      </c>
      <c r="H25" s="24">
        <v>191.76</v>
      </c>
      <c r="I25" s="24">
        <v>4.38</v>
      </c>
    </row>
    <row r="26" spans="1:9" x14ac:dyDescent="0.3">
      <c r="A26" s="64" t="s">
        <v>409</v>
      </c>
      <c r="B26" s="24">
        <v>39.19</v>
      </c>
      <c r="C26" s="65">
        <f t="shared" si="2"/>
        <v>35.877307692307689</v>
      </c>
      <c r="D26" s="65">
        <f t="shared" si="0"/>
        <v>41.984539570418939</v>
      </c>
      <c r="E26" s="65">
        <f t="shared" si="1"/>
        <v>29.770075814196439</v>
      </c>
      <c r="H26" s="24">
        <v>184.96</v>
      </c>
      <c r="I26" s="24">
        <v>4.72</v>
      </c>
    </row>
    <row r="27" spans="1:9" x14ac:dyDescent="0.3">
      <c r="A27" s="64" t="s">
        <v>410</v>
      </c>
      <c r="B27" s="24">
        <v>30.86</v>
      </c>
      <c r="C27" s="65">
        <f t="shared" si="2"/>
        <v>35.877307692307689</v>
      </c>
      <c r="D27" s="65">
        <f t="shared" si="0"/>
        <v>41.984539570418939</v>
      </c>
      <c r="E27" s="65">
        <f t="shared" si="1"/>
        <v>29.770075814196439</v>
      </c>
      <c r="H27" s="24">
        <v>154.01</v>
      </c>
      <c r="I27" s="24">
        <v>4.99</v>
      </c>
    </row>
  </sheetData>
  <sheetProtection algorithmName="SHA-512" hashValue="PCWzpFJjcKNoXIlgq+OmH9+UPxEEciU+CJH/xg5G4Kpmq3YdB/elY4Nliz49Ilt2DQcSW0bAGBVQM6cFim0lTg==" saltValue="2SvnpFMRNR5mUlmrEwrVRw==" spinCount="100000" sheet="1" objects="1" scenarios="1" selectLockedCells="1" selectUnlockedCells="1"/>
  <hyperlinks>
    <hyperlink ref="K1" location="Snapshot!A1" display="Home" xr:uid="{CD6AC61B-519B-47C5-8F0B-27D8C3A060F3}"/>
  </hyperlinks>
  <pageMargins left="0.75" right="0.75" top="1" bottom="1" header="0.5" footer="0.5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78DC-2521-4F79-A880-EE63DB78D20B}">
  <dimension ref="A1:I106"/>
  <sheetViews>
    <sheetView workbookViewId="0">
      <selection activeCell="F1" sqref="F1"/>
    </sheetView>
  </sheetViews>
  <sheetFormatPr defaultRowHeight="14.4" x14ac:dyDescent="0.3"/>
  <cols>
    <col min="1" max="1" width="8.88671875" style="24"/>
    <col min="2" max="2" width="29.5546875" style="24" bestFit="1" customWidth="1"/>
    <col min="3" max="8" width="9.88671875" style="24" bestFit="1" customWidth="1"/>
    <col min="9" max="16384" width="8.88671875" style="24"/>
  </cols>
  <sheetData>
    <row r="1" spans="1:6" x14ac:dyDescent="0.3">
      <c r="A1" s="83" t="s">
        <v>441</v>
      </c>
      <c r="C1" s="25" t="s">
        <v>288</v>
      </c>
      <c r="D1" s="25" t="s">
        <v>288</v>
      </c>
      <c r="F1" s="82" t="s">
        <v>438</v>
      </c>
    </row>
    <row r="2" spans="1:6" x14ac:dyDescent="0.3">
      <c r="B2" s="84" t="s">
        <v>285</v>
      </c>
      <c r="C2" s="67">
        <f>D2/D6</f>
        <v>0.32187399030694669</v>
      </c>
      <c r="D2" s="24">
        <v>4981</v>
      </c>
    </row>
    <row r="3" spans="1:6" x14ac:dyDescent="0.3">
      <c r="B3" s="84" t="s">
        <v>284</v>
      </c>
      <c r="C3" s="67">
        <f>D3/D6</f>
        <v>0.35819063004846524</v>
      </c>
      <c r="D3" s="24">
        <v>5543</v>
      </c>
    </row>
    <row r="4" spans="1:6" x14ac:dyDescent="0.3">
      <c r="B4" s="84" t="s">
        <v>286</v>
      </c>
      <c r="C4" s="67">
        <f>D4/D6</f>
        <v>0.23463651050080775</v>
      </c>
      <c r="D4" s="24">
        <v>3631</v>
      </c>
    </row>
    <row r="5" spans="1:6" x14ac:dyDescent="0.3">
      <c r="B5" s="84" t="s">
        <v>287</v>
      </c>
      <c r="C5" s="67">
        <f>D5/D6</f>
        <v>8.5298869143780293E-2</v>
      </c>
      <c r="D5" s="24">
        <v>1320</v>
      </c>
    </row>
    <row r="6" spans="1:6" x14ac:dyDescent="0.3">
      <c r="B6" s="24" t="s">
        <v>290</v>
      </c>
      <c r="D6" s="24">
        <f>SUM(D2:D5)</f>
        <v>15475</v>
      </c>
    </row>
    <row r="7" spans="1:6" x14ac:dyDescent="0.3">
      <c r="B7" s="84" t="s">
        <v>289</v>
      </c>
      <c r="D7" s="24">
        <v>-4245</v>
      </c>
    </row>
    <row r="8" spans="1:6" x14ac:dyDescent="0.3">
      <c r="B8" s="24" t="s">
        <v>5</v>
      </c>
      <c r="D8" s="24">
        <f>D6+D7</f>
        <v>11230</v>
      </c>
    </row>
    <row r="17" spans="2:9" x14ac:dyDescent="0.3">
      <c r="C17" s="39" t="s">
        <v>304</v>
      </c>
      <c r="D17" s="39" t="s">
        <v>0</v>
      </c>
      <c r="E17" s="39" t="s">
        <v>1</v>
      </c>
      <c r="F17" s="39" t="s">
        <v>2</v>
      </c>
      <c r="G17" s="39" t="s">
        <v>3</v>
      </c>
      <c r="H17" s="39" t="s">
        <v>4</v>
      </c>
      <c r="I17" s="39" t="s">
        <v>294</v>
      </c>
    </row>
    <row r="18" spans="2:9" x14ac:dyDescent="0.3">
      <c r="B18" s="24" t="s">
        <v>291</v>
      </c>
      <c r="C18" s="44">
        <v>0.15</v>
      </c>
      <c r="D18" s="44">
        <v>0.09</v>
      </c>
      <c r="E18" s="44">
        <v>0.08</v>
      </c>
      <c r="F18" s="44">
        <v>0.08</v>
      </c>
      <c r="G18" s="44">
        <v>0.08</v>
      </c>
      <c r="H18" s="44">
        <v>0.09</v>
      </c>
      <c r="I18" s="44">
        <v>0.09</v>
      </c>
    </row>
    <row r="19" spans="2:9" x14ac:dyDescent="0.3">
      <c r="B19" s="24" t="s">
        <v>292</v>
      </c>
      <c r="C19" s="44">
        <v>0.38</v>
      </c>
      <c r="D19" s="44">
        <v>0.2</v>
      </c>
      <c r="E19" s="44">
        <v>0.15</v>
      </c>
      <c r="F19" s="44">
        <v>0.13</v>
      </c>
      <c r="G19" s="44">
        <v>0.14000000000000001</v>
      </c>
      <c r="H19" s="44">
        <v>0.15</v>
      </c>
      <c r="I19" s="44">
        <v>0.18</v>
      </c>
    </row>
    <row r="20" spans="2:9" x14ac:dyDescent="0.3">
      <c r="B20" s="24" t="s">
        <v>293</v>
      </c>
      <c r="C20" s="44">
        <v>0.1</v>
      </c>
      <c r="D20" s="44">
        <v>0.1</v>
      </c>
      <c r="E20" s="44">
        <v>0.1</v>
      </c>
      <c r="F20" s="44">
        <v>0.1</v>
      </c>
      <c r="G20" s="44">
        <v>0.1</v>
      </c>
      <c r="H20" s="44">
        <v>0.1</v>
      </c>
      <c r="I20" s="44">
        <v>0.1</v>
      </c>
    </row>
    <row r="31" spans="2:9" x14ac:dyDescent="0.3">
      <c r="C31" s="39" t="s">
        <v>0</v>
      </c>
      <c r="D31" s="39" t="s">
        <v>1</v>
      </c>
      <c r="E31" s="39" t="s">
        <v>2</v>
      </c>
      <c r="F31" s="39" t="s">
        <v>3</v>
      </c>
      <c r="G31" s="39" t="s">
        <v>4</v>
      </c>
      <c r="H31" s="39" t="s">
        <v>294</v>
      </c>
    </row>
    <row r="32" spans="2:9" x14ac:dyDescent="0.3">
      <c r="B32" s="18" t="s">
        <v>303</v>
      </c>
      <c r="C32" s="34">
        <f>'VISA Model'!B3</f>
        <v>32653</v>
      </c>
      <c r="D32" s="34">
        <f>'VISA Model'!C3</f>
        <v>35926</v>
      </c>
      <c r="E32" s="34">
        <f>'VISA Model'!D3</f>
        <v>40000</v>
      </c>
      <c r="F32" s="34">
        <f>'VISA Model'!E3</f>
        <v>44400.000000000007</v>
      </c>
      <c r="G32" s="34">
        <f>'VISA Model'!F3</f>
        <v>48840.000000000015</v>
      </c>
      <c r="H32" s="34">
        <f>'VISA Model'!G3</f>
        <v>54212.400000000023</v>
      </c>
    </row>
    <row r="33" spans="2:8" x14ac:dyDescent="0.3">
      <c r="B33" s="24" t="s">
        <v>302</v>
      </c>
      <c r="C33" s="36">
        <f>'VISA Model'!B4</f>
        <v>0.114</v>
      </c>
      <c r="D33" s="36">
        <f>'VISA Model'!C4</f>
        <v>0.10023581294214923</v>
      </c>
      <c r="E33" s="36">
        <f>'VISA Model'!D4</f>
        <v>0.11339976618604908</v>
      </c>
      <c r="F33" s="36">
        <f>'VISA Model'!E4</f>
        <v>0.1100000000000001</v>
      </c>
      <c r="G33" s="36">
        <f>'VISA Model'!F4</f>
        <v>0.10000000000000009</v>
      </c>
      <c r="H33" s="36">
        <f>'VISA Model'!G4</f>
        <v>0.1100000000000001</v>
      </c>
    </row>
    <row r="46" spans="2:8" x14ac:dyDescent="0.3">
      <c r="C46" s="39" t="s">
        <v>0</v>
      </c>
      <c r="D46" s="39" t="s">
        <v>1</v>
      </c>
      <c r="E46" s="39" t="s">
        <v>2</v>
      </c>
      <c r="F46" s="39" t="s">
        <v>3</v>
      </c>
      <c r="G46" s="39" t="s">
        <v>4</v>
      </c>
      <c r="H46" s="39" t="s">
        <v>294</v>
      </c>
    </row>
    <row r="47" spans="2:8" x14ac:dyDescent="0.3">
      <c r="B47" s="46" t="s">
        <v>285</v>
      </c>
      <c r="C47" s="53">
        <f>'VISA Model'!B43</f>
        <v>14826</v>
      </c>
      <c r="D47" s="53">
        <f>'VISA Model'!C43</f>
        <v>16114</v>
      </c>
      <c r="E47" s="53">
        <f>'VISA Model'!D43</f>
        <v>17539</v>
      </c>
      <c r="F47" s="53">
        <f>'VISA Model'!E43</f>
        <v>18942.120000000003</v>
      </c>
      <c r="G47" s="53">
        <f>'VISA Model'!F43</f>
        <v>20646.910800000005</v>
      </c>
      <c r="H47" s="53">
        <f>'VISA Model'!G43</f>
        <v>22505.132772000008</v>
      </c>
    </row>
    <row r="48" spans="2:8" x14ac:dyDescent="0.3">
      <c r="B48" s="46" t="s">
        <v>284</v>
      </c>
      <c r="C48" s="53">
        <f>'VISA Model'!B44</f>
        <v>16007</v>
      </c>
      <c r="D48" s="53">
        <f>'VISA Model'!C44</f>
        <v>17714</v>
      </c>
      <c r="E48" s="53">
        <f>'VISA Model'!D44</f>
        <v>19993</v>
      </c>
      <c r="F48" s="53">
        <f>'VISA Model'!E44</f>
        <v>21992.300000000003</v>
      </c>
      <c r="G48" s="53">
        <f>'VISA Model'!F44</f>
        <v>24191.530000000006</v>
      </c>
      <c r="H48" s="53">
        <f>'VISA Model'!G44</f>
        <v>26610.683000000008</v>
      </c>
    </row>
    <row r="49" spans="2:8" x14ac:dyDescent="0.3">
      <c r="B49" s="46" t="s">
        <v>295</v>
      </c>
      <c r="C49" s="53">
        <f>'VISA Model'!B45</f>
        <v>11638</v>
      </c>
      <c r="D49" s="53">
        <f>'VISA Model'!C45</f>
        <v>12665</v>
      </c>
      <c r="E49" s="53">
        <f>'VISA Model'!D45</f>
        <v>14166</v>
      </c>
      <c r="F49" s="53">
        <f>'VISA Model'!E45</f>
        <v>16149.240000000002</v>
      </c>
      <c r="G49" s="53">
        <f>'VISA Model'!F45</f>
        <v>18571.626</v>
      </c>
      <c r="H49" s="53">
        <f>'VISA Model'!G45</f>
        <v>21914.518679999997</v>
      </c>
    </row>
    <row r="50" spans="2:8" x14ac:dyDescent="0.3">
      <c r="B50" s="46" t="s">
        <v>287</v>
      </c>
      <c r="C50" s="53">
        <f>'VISA Model'!B46</f>
        <v>2479</v>
      </c>
      <c r="D50" s="53">
        <f>'VISA Model'!C46</f>
        <v>3197</v>
      </c>
      <c r="E50" s="53">
        <f>'VISA Model'!D46</f>
        <v>4053</v>
      </c>
      <c r="F50" s="53">
        <f>'VISA Model'!E46</f>
        <v>5068</v>
      </c>
      <c r="G50" s="53">
        <f>'VISA Model'!F46</f>
        <v>5828.2</v>
      </c>
      <c r="H50" s="53">
        <f>'VISA Model'!G46</f>
        <v>6702.4299999999994</v>
      </c>
    </row>
    <row r="61" spans="2:8" x14ac:dyDescent="0.3">
      <c r="C61" s="39" t="s">
        <v>0</v>
      </c>
      <c r="D61" s="39" t="s">
        <v>1</v>
      </c>
      <c r="E61" s="39" t="s">
        <v>2</v>
      </c>
      <c r="F61" s="39" t="s">
        <v>3</v>
      </c>
      <c r="G61" s="39" t="s">
        <v>4</v>
      </c>
      <c r="H61" s="39" t="s">
        <v>294</v>
      </c>
    </row>
    <row r="62" spans="2:8" x14ac:dyDescent="0.3">
      <c r="B62" s="18" t="s">
        <v>305</v>
      </c>
      <c r="C62" s="53">
        <f>'VISA Model'!B14</f>
        <v>21000</v>
      </c>
      <c r="D62" s="53">
        <f>'VISA Model'!C14</f>
        <v>23595</v>
      </c>
      <c r="E62" s="53">
        <f>'VISA Model'!D14</f>
        <v>23994</v>
      </c>
      <c r="F62" s="53">
        <f>'VISA Model'!E14</f>
        <v>26873.430000000008</v>
      </c>
      <c r="G62" s="53">
        <f>'VISA Model'!F14</f>
        <v>29736.038700000012</v>
      </c>
      <c r="H62" s="53">
        <f>'VISA Model'!G14</f>
        <v>33389.08218300002</v>
      </c>
    </row>
    <row r="63" spans="2:8" x14ac:dyDescent="0.3">
      <c r="B63" s="35" t="s">
        <v>102</v>
      </c>
      <c r="C63" s="67">
        <f>'VISA Model'!B15</f>
        <v>0.64312620586163594</v>
      </c>
      <c r="D63" s="67">
        <f>'VISA Model'!C15</f>
        <v>0.65676668707899566</v>
      </c>
      <c r="E63" s="67">
        <f>'VISA Model'!D15</f>
        <v>0.59984999999999999</v>
      </c>
      <c r="F63" s="67">
        <f>'VISA Model'!E15</f>
        <v>0.60525743243243246</v>
      </c>
      <c r="G63" s="67">
        <f>'VISA Model'!F15</f>
        <v>0.6088460012285013</v>
      </c>
      <c r="H63" s="67">
        <f>'VISA Model'!G15</f>
        <v>0.61589382102618595</v>
      </c>
    </row>
    <row r="78" spans="2:8" x14ac:dyDescent="0.3">
      <c r="C78" s="39" t="s">
        <v>0</v>
      </c>
      <c r="D78" s="39" t="s">
        <v>1</v>
      </c>
      <c r="E78" s="39" t="s">
        <v>2</v>
      </c>
      <c r="F78" s="39" t="s">
        <v>3</v>
      </c>
      <c r="G78" s="39" t="s">
        <v>4</v>
      </c>
      <c r="H78" s="39" t="s">
        <v>294</v>
      </c>
    </row>
    <row r="79" spans="2:8" x14ac:dyDescent="0.3">
      <c r="B79" s="18" t="s">
        <v>306</v>
      </c>
      <c r="C79" s="53">
        <f>'VISA Model'!B25</f>
        <v>17273</v>
      </c>
      <c r="D79" s="53">
        <f>'VISA Model'!C25</f>
        <v>19743</v>
      </c>
      <c r="E79" s="53">
        <f>'VISA Model'!D25</f>
        <v>20058</v>
      </c>
      <c r="F79" s="53">
        <f>'VISA Model'!E25</f>
        <v>22497.543420000009</v>
      </c>
      <c r="G79" s="53">
        <f>'VISA Model'!F25</f>
        <v>24925.51051895001</v>
      </c>
      <c r="H79" s="53">
        <f>'VISA Model'!G25</f>
        <v>27979.706380450018</v>
      </c>
    </row>
    <row r="80" spans="2:8" x14ac:dyDescent="0.3">
      <c r="B80" s="35" t="s">
        <v>101</v>
      </c>
      <c r="C80" s="67">
        <f>C79/14960-1</f>
        <v>0.15461229946524058</v>
      </c>
      <c r="D80" s="67">
        <f>'VISA Model'!C26</f>
        <v>0.14299774214091365</v>
      </c>
      <c r="E80" s="67">
        <f>'VISA Model'!D26</f>
        <v>1.595502203312571E-2</v>
      </c>
      <c r="F80" s="67">
        <f>'VISA Model'!E26</f>
        <v>0.12162446006580963</v>
      </c>
      <c r="G80" s="67">
        <f>'VISA Model'!F26</f>
        <v>0.10792143184804659</v>
      </c>
      <c r="H80" s="67">
        <f>'VISA Model'!G26</f>
        <v>0.12253293103778184</v>
      </c>
    </row>
    <row r="81" spans="2:8" x14ac:dyDescent="0.3">
      <c r="B81" s="18"/>
    </row>
    <row r="94" spans="2:8" x14ac:dyDescent="0.3">
      <c r="B94" s="18" t="s">
        <v>307</v>
      </c>
    </row>
    <row r="95" spans="2:8" x14ac:dyDescent="0.3">
      <c r="C95" s="39" t="s">
        <v>0</v>
      </c>
      <c r="D95" s="39" t="s">
        <v>1</v>
      </c>
      <c r="E95" s="39" t="s">
        <v>2</v>
      </c>
      <c r="F95" s="39" t="s">
        <v>3</v>
      </c>
      <c r="G95" s="39" t="s">
        <v>4</v>
      </c>
      <c r="H95" s="39" t="s">
        <v>294</v>
      </c>
    </row>
    <row r="96" spans="2:8" x14ac:dyDescent="0.3">
      <c r="B96" s="4" t="s">
        <v>308</v>
      </c>
      <c r="C96" s="32">
        <f>'VISA Model'!B194</f>
        <v>12362</v>
      </c>
      <c r="D96" s="32">
        <f>'VISA Model'!C194</f>
        <v>16658</v>
      </c>
      <c r="E96" s="32">
        <f>'VISA Model'!D194</f>
        <v>18185</v>
      </c>
      <c r="F96" s="32">
        <f>'VISA Model'!E194</f>
        <v>15000</v>
      </c>
      <c r="G96" s="32">
        <f>'VISA Model'!F194</f>
        <v>11000</v>
      </c>
      <c r="H96" s="32">
        <f>'VISA Model'!G194</f>
        <v>11000</v>
      </c>
    </row>
    <row r="97" spans="2:8" x14ac:dyDescent="0.3">
      <c r="B97" s="4" t="s">
        <v>309</v>
      </c>
      <c r="C97" s="32">
        <f>'VISA Model'!B195</f>
        <v>3751</v>
      </c>
      <c r="D97" s="32">
        <f>'VISA Model'!C195</f>
        <v>4217</v>
      </c>
      <c r="E97" s="32">
        <f>'VISA Model'!D195</f>
        <v>4634</v>
      </c>
      <c r="F97" s="32">
        <f>'VISA Model'!E195</f>
        <v>4810.3125</v>
      </c>
      <c r="G97" s="32">
        <f>'VISA Model'!F195</f>
        <v>4736.875</v>
      </c>
      <c r="H97" s="32">
        <f>'VISA Model'!G195</f>
        <v>4663.4375</v>
      </c>
    </row>
    <row r="100" spans="2:8" x14ac:dyDescent="0.3">
      <c r="C100" s="39" t="s">
        <v>0</v>
      </c>
      <c r="D100" s="39" t="s">
        <v>1</v>
      </c>
      <c r="E100" s="39" t="s">
        <v>2</v>
      </c>
      <c r="F100" s="39" t="s">
        <v>3</v>
      </c>
      <c r="G100" s="39" t="s">
        <v>4</v>
      </c>
      <c r="H100" s="39" t="s">
        <v>294</v>
      </c>
    </row>
    <row r="101" spans="2:8" x14ac:dyDescent="0.3">
      <c r="B101" s="24" t="s">
        <v>310</v>
      </c>
      <c r="C101" s="32">
        <f>'VISA Model'!B190</f>
        <v>19696</v>
      </c>
      <c r="D101" s="32">
        <f>'VISA Model'!C190</f>
        <v>18693</v>
      </c>
      <c r="E101" s="32">
        <f>'VISA Model'!D190</f>
        <v>21577</v>
      </c>
      <c r="F101" s="32">
        <f>'VISA Model'!E190</f>
        <v>21328.888551085136</v>
      </c>
      <c r="G101" s="32">
        <f>'VISA Model'!F190</f>
        <v>19729.088278037787</v>
      </c>
      <c r="H101" s="32">
        <f>'VISA Model'!G190</f>
        <v>20017.53572799527</v>
      </c>
    </row>
    <row r="102" spans="2:8" x14ac:dyDescent="0.3">
      <c r="B102" s="24" t="s">
        <v>119</v>
      </c>
      <c r="C102" s="67">
        <f>Consolidated!C31</f>
        <v>0.60319113098337063</v>
      </c>
      <c r="D102" s="67">
        <f>Consolidated!D31</f>
        <v>0.52031954573289541</v>
      </c>
      <c r="E102" s="67">
        <f>Consolidated!E31</f>
        <v>0.53942500000000004</v>
      </c>
      <c r="F102" s="67">
        <f>Consolidated!F31</f>
        <v>0.48038037277218765</v>
      </c>
      <c r="G102" s="67">
        <f>Consolidated!G31</f>
        <v>0.40395348644631002</v>
      </c>
      <c r="H102" s="67">
        <f>Consolidated!H31</f>
        <v>0.36924275125239359</v>
      </c>
    </row>
    <row r="104" spans="2:8" x14ac:dyDescent="0.3">
      <c r="C104" s="39" t="s">
        <v>0</v>
      </c>
      <c r="D104" s="39" t="s">
        <v>1</v>
      </c>
      <c r="E104" s="39" t="s">
        <v>2</v>
      </c>
      <c r="F104" s="39" t="s">
        <v>3</v>
      </c>
      <c r="G104" s="39" t="s">
        <v>4</v>
      </c>
      <c r="H104" s="39" t="s">
        <v>294</v>
      </c>
    </row>
    <row r="105" spans="2:8" x14ac:dyDescent="0.3">
      <c r="B105" s="24" t="s">
        <v>121</v>
      </c>
      <c r="C105" s="67">
        <f>Consolidated!C33</f>
        <v>0.44595048150156197</v>
      </c>
      <c r="D105" s="67">
        <f>Consolidated!D33</f>
        <v>0.50445869637427498</v>
      </c>
      <c r="E105" s="67">
        <f>Consolidated!E33</f>
        <v>0.52910918251602523</v>
      </c>
      <c r="F105" s="67">
        <f>Consolidated!F33</f>
        <v>0.53544653071141424</v>
      </c>
      <c r="G105" s="67">
        <f>Consolidated!G33</f>
        <v>0.54461171399678099</v>
      </c>
      <c r="H105" s="67">
        <f>Consolidated!H33</f>
        <v>0.57103650356853575</v>
      </c>
    </row>
    <row r="106" spans="2:8" x14ac:dyDescent="0.3">
      <c r="B106" s="24" t="s">
        <v>128</v>
      </c>
      <c r="C106" s="67">
        <f>Consolidated!C34</f>
        <v>6.2298298608421759E-2</v>
      </c>
      <c r="D106" s="67">
        <f>Consolidated!D34</f>
        <v>0.14748192247745101</v>
      </c>
      <c r="E106" s="67">
        <f>Consolidated!E34</f>
        <v>0.13234324302935979</v>
      </c>
      <c r="F106" s="67">
        <f>Consolidated!F34</f>
        <v>9.4198899157084279E-2</v>
      </c>
      <c r="G106" s="67">
        <f>Consolidated!G34</f>
        <v>4.4280144121475164E-2</v>
      </c>
      <c r="H106" s="67">
        <f>Consolidated!H34</f>
        <v>2.3314530375382333E-2</v>
      </c>
    </row>
  </sheetData>
  <phoneticPr fontId="12" type="noConversion"/>
  <hyperlinks>
    <hyperlink ref="F1" location="Snapshot!A1" display="Home" xr:uid="{4FA577B4-BF34-426F-8A0A-E97D44871D13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Snapshot</vt:lpstr>
      <vt:lpstr>VISA Model</vt:lpstr>
      <vt:lpstr>Valuation</vt:lpstr>
      <vt:lpstr>Consolidated</vt:lpstr>
      <vt:lpstr>Vs S&amp;P</vt:lpstr>
      <vt:lpstr>Visa Historical PE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abhisek sasmal</dc:creator>
  <cp:lastModifiedBy>Avishek Suman</cp:lastModifiedBy>
  <dcterms:created xsi:type="dcterms:W3CDTF">2015-06-05T18:17:20Z</dcterms:created>
  <dcterms:modified xsi:type="dcterms:W3CDTF">2026-06-20T08:42:43Z</dcterms:modified>
</cp:coreProperties>
</file>