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Documents\Breakaway West\BW Assessment Info\Garage and Pool Deck Renovation\Reserve Analysis 2024-09-30\"/>
    </mc:Choice>
  </mc:AlternateContent>
  <xr:revisionPtr revIDLastSave="0" documentId="13_ncr:1_{E5B3BC3D-F3D7-4F0F-9ACC-DB2197670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erve Analysis" sheetId="1" r:id="rId1"/>
    <sheet name="Special Assement by Unit" sheetId="2" r:id="rId2"/>
    <sheet name="Design phase" sheetId="5" r:id="rId3"/>
    <sheet name="Building Percentages" sheetId="4" r:id="rId4"/>
    <sheet name="Waterproof Spec Assmt" sheetId="3" state="hidden" r:id="rId5"/>
  </sheets>
  <calcPr calcId="181029"/>
</workbook>
</file>

<file path=xl/calcChain.xml><?xml version="1.0" encoding="utf-8"?>
<calcChain xmlns="http://schemas.openxmlformats.org/spreadsheetml/2006/main">
  <c r="H14" i="1" l="1"/>
  <c r="D7" i="1" l="1"/>
  <c r="G14" i="1"/>
  <c r="D10" i="1"/>
  <c r="K18" i="5"/>
  <c r="J18" i="5"/>
  <c r="G18" i="5"/>
  <c r="F18" i="5"/>
  <c r="B18" i="5"/>
  <c r="D16" i="5"/>
  <c r="D17" i="5" s="1"/>
  <c r="N17" i="5" s="1"/>
  <c r="N15" i="5"/>
  <c r="D15" i="5"/>
  <c r="D14" i="5"/>
  <c r="N14" i="5" s="1"/>
  <c r="N13" i="5"/>
  <c r="D13" i="5"/>
  <c r="D12" i="5"/>
  <c r="N12" i="5" s="1"/>
  <c r="N11" i="5"/>
  <c r="D11" i="5"/>
  <c r="D10" i="5"/>
  <c r="N10" i="5" s="1"/>
  <c r="N9" i="5"/>
  <c r="D9" i="5"/>
  <c r="D8" i="5"/>
  <c r="N8" i="5" s="1"/>
  <c r="N7" i="5"/>
  <c r="D7" i="5"/>
  <c r="D6" i="5"/>
  <c r="N6" i="5" s="1"/>
  <c r="N5" i="5"/>
  <c r="D5" i="5"/>
  <c r="M4" i="5"/>
  <c r="M18" i="5" s="1"/>
  <c r="L4" i="5"/>
  <c r="L18" i="5" s="1"/>
  <c r="K4" i="5"/>
  <c r="J4" i="5"/>
  <c r="I4" i="5"/>
  <c r="I18" i="5" s="1"/>
  <c r="H4" i="5"/>
  <c r="H18" i="5" s="1"/>
  <c r="G4" i="5"/>
  <c r="F4" i="5"/>
  <c r="E4" i="5"/>
  <c r="E18" i="5" s="1"/>
  <c r="D4" i="5"/>
  <c r="N4" i="5" l="1"/>
  <c r="N18" i="5" s="1"/>
  <c r="G7" i="1" s="1"/>
  <c r="D18" i="5"/>
  <c r="N16" i="5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G9" i="1" l="1"/>
  <c r="G11" i="1"/>
  <c r="G10" i="1"/>
  <c r="G8" i="1"/>
  <c r="K7" i="1"/>
  <c r="F13" i="1"/>
  <c r="G13" i="1" l="1"/>
  <c r="M14" i="1"/>
  <c r="K9" i="1"/>
  <c r="K8" i="1"/>
  <c r="K10" i="1"/>
  <c r="K11" i="1"/>
  <c r="B14" i="4"/>
  <c r="B99" i="2"/>
  <c r="B69" i="2"/>
  <c r="B51" i="2"/>
  <c r="B37" i="2"/>
  <c r="B18" i="2"/>
  <c r="K13" i="1" l="1"/>
  <c r="J13" i="1" l="1"/>
  <c r="H13" i="1"/>
  <c r="E11" i="1"/>
  <c r="E7" i="1"/>
  <c r="M7" i="1" s="1"/>
  <c r="U7" i="1" s="1"/>
  <c r="E10" i="1"/>
  <c r="M10" i="1" s="1"/>
  <c r="U10" i="1" s="1"/>
  <c r="E9" i="1"/>
  <c r="E8" i="1"/>
  <c r="M8" i="1" s="1"/>
  <c r="U8" i="1" s="1"/>
  <c r="M9" i="1" l="1"/>
  <c r="U9" i="1" s="1"/>
  <c r="M11" i="1"/>
  <c r="U11" i="1" s="1"/>
  <c r="D56" i="2"/>
  <c r="F56" i="2" s="1"/>
  <c r="D24" i="2"/>
  <c r="F24" i="2" s="1"/>
  <c r="D15" i="2"/>
  <c r="F15" i="2" s="1"/>
  <c r="D64" i="2"/>
  <c r="F64" i="2" s="1"/>
  <c r="D68" i="2"/>
  <c r="F68" i="2" s="1"/>
  <c r="D57" i="2"/>
  <c r="F57" i="2" s="1"/>
  <c r="D65" i="2"/>
  <c r="F65" i="2" s="1"/>
  <c r="D54" i="2"/>
  <c r="F54" i="2" s="1"/>
  <c r="D58" i="2"/>
  <c r="F58" i="2" s="1"/>
  <c r="D66" i="2"/>
  <c r="F66" i="2" s="1"/>
  <c r="D55" i="2"/>
  <c r="F55" i="2" s="1"/>
  <c r="D59" i="2"/>
  <c r="F59" i="2" s="1"/>
  <c r="D67" i="2"/>
  <c r="F67" i="2" s="1"/>
  <c r="D7" i="2"/>
  <c r="F7" i="2" s="1"/>
  <c r="D11" i="2"/>
  <c r="F11" i="2" s="1"/>
  <c r="D16" i="2"/>
  <c r="F16" i="2" s="1"/>
  <c r="D13" i="2"/>
  <c r="F13" i="2" s="1"/>
  <c r="D17" i="2"/>
  <c r="F17" i="2" s="1"/>
  <c r="D10" i="2"/>
  <c r="F10" i="2" s="1"/>
  <c r="D6" i="2"/>
  <c r="F6" i="2" s="1"/>
  <c r="I13" i="1"/>
  <c r="D12" i="2" l="1"/>
  <c r="F12" i="2" s="1"/>
  <c r="D9" i="2"/>
  <c r="F9" i="2" s="1"/>
  <c r="D14" i="2"/>
  <c r="F14" i="2" s="1"/>
  <c r="D8" i="2"/>
  <c r="F8" i="2" s="1"/>
  <c r="F99" i="2" s="1"/>
  <c r="F103" i="2" s="1"/>
  <c r="F104" i="2" s="1"/>
  <c r="D63" i="2"/>
  <c r="F63" i="2" s="1"/>
  <c r="D62" i="2"/>
  <c r="F62" i="2" s="1"/>
  <c r="D61" i="2"/>
  <c r="F61" i="2" s="1"/>
  <c r="D60" i="2"/>
  <c r="F60" i="2" s="1"/>
  <c r="D21" i="2"/>
  <c r="F21" i="2" s="1"/>
  <c r="D36" i="2"/>
  <c r="F36" i="2" s="1"/>
  <c r="D27" i="2"/>
  <c r="F27" i="2" s="1"/>
  <c r="D26" i="2"/>
  <c r="F26" i="2" s="1"/>
  <c r="D29" i="2"/>
  <c r="F29" i="2" s="1"/>
  <c r="D23" i="2"/>
  <c r="F23" i="2" s="1"/>
  <c r="D22" i="2"/>
  <c r="F22" i="2" s="1"/>
  <c r="D32" i="2"/>
  <c r="F32" i="2" s="1"/>
  <c r="D35" i="2"/>
  <c r="F35" i="2" s="1"/>
  <c r="D34" i="2"/>
  <c r="F34" i="2" s="1"/>
  <c r="D33" i="2"/>
  <c r="F33" i="2" s="1"/>
  <c r="D28" i="2"/>
  <c r="F28" i="2" s="1"/>
  <c r="D31" i="2"/>
  <c r="F31" i="2" s="1"/>
  <c r="D30" i="2"/>
  <c r="F30" i="2" s="1"/>
  <c r="D25" i="2"/>
  <c r="F25" i="2" s="1"/>
  <c r="D78" i="2"/>
  <c r="F78" i="2" s="1"/>
  <c r="D94" i="2"/>
  <c r="F94" i="2" s="1"/>
  <c r="D91" i="2"/>
  <c r="F91" i="2" s="1"/>
  <c r="D88" i="2"/>
  <c r="F88" i="2" s="1"/>
  <c r="D97" i="2"/>
  <c r="F97" i="2" s="1"/>
  <c r="D84" i="2"/>
  <c r="F84" i="2" s="1"/>
  <c r="D85" i="2"/>
  <c r="F85" i="2" s="1"/>
  <c r="D77" i="2"/>
  <c r="F77" i="2" s="1"/>
  <c r="D82" i="2"/>
  <c r="F82" i="2" s="1"/>
  <c r="D98" i="2"/>
  <c r="F98" i="2" s="1"/>
  <c r="D72" i="2"/>
  <c r="F72" i="2" s="1"/>
  <c r="D92" i="2"/>
  <c r="F92" i="2" s="1"/>
  <c r="D75" i="2"/>
  <c r="F75" i="2" s="1"/>
  <c r="D96" i="2"/>
  <c r="F96" i="2" s="1"/>
  <c r="D93" i="2"/>
  <c r="F93" i="2" s="1"/>
  <c r="D90" i="2"/>
  <c r="F90" i="2" s="1"/>
  <c r="D80" i="2"/>
  <c r="F80" i="2" s="1"/>
  <c r="D95" i="2"/>
  <c r="F95" i="2" s="1"/>
  <c r="D86" i="2"/>
  <c r="F86" i="2" s="1"/>
  <c r="D79" i="2"/>
  <c r="F79" i="2" s="1"/>
  <c r="D76" i="2"/>
  <c r="F76" i="2" s="1"/>
  <c r="D81" i="2"/>
  <c r="F81" i="2" s="1"/>
  <c r="D87" i="2"/>
  <c r="F87" i="2" s="1"/>
  <c r="D73" i="2"/>
  <c r="F73" i="2" s="1"/>
  <c r="D74" i="2"/>
  <c r="F74" i="2" s="1"/>
  <c r="D83" i="2"/>
  <c r="F83" i="2" s="1"/>
  <c r="D89" i="2"/>
  <c r="F89" i="2" s="1"/>
  <c r="D44" i="2"/>
  <c r="F44" i="2" s="1"/>
  <c r="D42" i="2"/>
  <c r="F42" i="2" s="1"/>
  <c r="U13" i="1"/>
  <c r="D48" i="2"/>
  <c r="F48" i="2" s="1"/>
  <c r="D43" i="2"/>
  <c r="F43" i="2" s="1"/>
  <c r="D41" i="2"/>
  <c r="F41" i="2" s="1"/>
  <c r="D46" i="2"/>
  <c r="F46" i="2" s="1"/>
  <c r="D40" i="2"/>
  <c r="F40" i="2" s="1"/>
  <c r="D49" i="2"/>
  <c r="F49" i="2" s="1"/>
  <c r="D47" i="2"/>
  <c r="F47" i="2" s="1"/>
  <c r="D45" i="2"/>
  <c r="F45" i="2" s="1"/>
  <c r="D50" i="2"/>
  <c r="F50" i="2" s="1"/>
  <c r="B37" i="3"/>
  <c r="B23" i="3"/>
  <c r="D69" i="2" l="1"/>
  <c r="D18" i="2"/>
  <c r="D37" i="2"/>
  <c r="D51" i="2"/>
  <c r="D99" i="2"/>
  <c r="R9" i="1"/>
  <c r="R8" i="1"/>
  <c r="B13" i="1"/>
  <c r="N13" i="1"/>
  <c r="O13" i="1"/>
  <c r="C13" i="1"/>
  <c r="D102" i="2" l="1"/>
  <c r="P7" i="1"/>
  <c r="P8" i="1"/>
  <c r="P9" i="1"/>
  <c r="P11" i="1"/>
  <c r="R13" i="1"/>
  <c r="P10" i="1"/>
  <c r="D13" i="1"/>
  <c r="E13" i="1"/>
  <c r="S8" i="1" l="1"/>
  <c r="M13" i="1"/>
  <c r="S9" i="1"/>
  <c r="P13" i="1"/>
  <c r="C9" i="3" l="1"/>
  <c r="C13" i="3"/>
  <c r="C17" i="3"/>
  <c r="C21" i="3"/>
  <c r="C12" i="3"/>
  <c r="C20" i="3"/>
  <c r="C10" i="3"/>
  <c r="C14" i="3"/>
  <c r="C18" i="3"/>
  <c r="C22" i="3"/>
  <c r="C8" i="3"/>
  <c r="C11" i="3"/>
  <c r="C15" i="3"/>
  <c r="C19" i="3"/>
  <c r="C7" i="3"/>
  <c r="C16" i="3"/>
  <c r="S13" i="1"/>
  <c r="C27" i="3"/>
  <c r="C31" i="3"/>
  <c r="C35" i="3"/>
  <c r="C34" i="3"/>
  <c r="C28" i="3"/>
  <c r="C32" i="3"/>
  <c r="C36" i="3"/>
  <c r="C29" i="3"/>
  <c r="C33" i="3"/>
  <c r="C26" i="3"/>
  <c r="C30" i="3"/>
  <c r="C37" i="3" l="1"/>
  <c r="C23" i="3"/>
  <c r="C4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</author>
  </authors>
  <commentList>
    <comment ref="H14" authorId="0" shapeId="0" xr:uid="{588B194C-3F3E-4AF1-8EDD-A76E97D94658}">
      <text>
        <r>
          <rPr>
            <b/>
            <sz val="9"/>
            <color indexed="81"/>
            <rFont val="Tahoma"/>
            <charset val="1"/>
          </rPr>
          <t>Scott:</t>
        </r>
        <r>
          <rPr>
            <sz val="9"/>
            <color indexed="81"/>
            <rFont val="Tahoma"/>
            <charset val="1"/>
          </rPr>
          <t xml:space="preserve">
$39,770 is for shoring of small garages.</t>
        </r>
      </text>
    </comment>
  </commentList>
</comments>
</file>

<file path=xl/sharedStrings.xml><?xml version="1.0" encoding="utf-8"?>
<sst xmlns="http://schemas.openxmlformats.org/spreadsheetml/2006/main" count="200" uniqueCount="134">
  <si>
    <t>Breakaway West</t>
  </si>
  <si>
    <t>Building</t>
  </si>
  <si>
    <t>100/200</t>
  </si>
  <si>
    <t>Total</t>
  </si>
  <si>
    <t>Special Assessment</t>
  </si>
  <si>
    <t>Waterproof Catwalk</t>
  </si>
  <si>
    <t>Special Assessment per Unit</t>
  </si>
  <si>
    <t>Unit</t>
  </si>
  <si>
    <t>%</t>
  </si>
  <si>
    <t>Special Assessment Amount</t>
  </si>
  <si>
    <t>312</t>
  </si>
  <si>
    <t>314</t>
  </si>
  <si>
    <t>315</t>
  </si>
  <si>
    <t>321</t>
  </si>
  <si>
    <t>322</t>
  </si>
  <si>
    <t>324</t>
  </si>
  <si>
    <t>325</t>
  </si>
  <si>
    <t>331</t>
  </si>
  <si>
    <t>332</t>
  </si>
  <si>
    <t>333</t>
  </si>
  <si>
    <t>335</t>
  </si>
  <si>
    <t>342</t>
  </si>
  <si>
    <t>343</t>
  </si>
  <si>
    <t>345</t>
  </si>
  <si>
    <t>352</t>
  </si>
  <si>
    <t>353</t>
  </si>
  <si>
    <t>412</t>
  </si>
  <si>
    <t>413</t>
  </si>
  <si>
    <t>421</t>
  </si>
  <si>
    <t>422</t>
  </si>
  <si>
    <t>423</t>
  </si>
  <si>
    <t>431</t>
  </si>
  <si>
    <t>432</t>
  </si>
  <si>
    <t>433</t>
  </si>
  <si>
    <t>441</t>
  </si>
  <si>
    <t>442</t>
  </si>
  <si>
    <t>452</t>
  </si>
  <si>
    <t>Grand Total</t>
  </si>
  <si>
    <t>Waterproof Catwalk System</t>
  </si>
  <si>
    <t>Building % Split</t>
  </si>
  <si>
    <t>111</t>
  </si>
  <si>
    <t>112</t>
  </si>
  <si>
    <t>121</t>
  </si>
  <si>
    <t>122</t>
  </si>
  <si>
    <t>131</t>
  </si>
  <si>
    <t>132</t>
  </si>
  <si>
    <t>211</t>
  </si>
  <si>
    <t>212</t>
  </si>
  <si>
    <t>221</t>
  </si>
  <si>
    <t>222</t>
  </si>
  <si>
    <t>231</t>
  </si>
  <si>
    <t>232</t>
  </si>
  <si>
    <t>501</t>
  </si>
  <si>
    <t>502</t>
  </si>
  <si>
    <t>503</t>
  </si>
  <si>
    <t>504 - Managers Unit</t>
  </si>
  <si>
    <t>513</t>
  </si>
  <si>
    <t>514</t>
  </si>
  <si>
    <t>515</t>
  </si>
  <si>
    <t>522</t>
  </si>
  <si>
    <t>523</t>
  </si>
  <si>
    <t>524</t>
  </si>
  <si>
    <t>525</t>
  </si>
  <si>
    <t>532</t>
  </si>
  <si>
    <t>533</t>
  </si>
  <si>
    <t>534</t>
  </si>
  <si>
    <t>535</t>
  </si>
  <si>
    <t>Garage</t>
  </si>
  <si>
    <t>10</t>
  </si>
  <si>
    <t>13</t>
  </si>
  <si>
    <t>22</t>
  </si>
  <si>
    <t>25</t>
  </si>
  <si>
    <t>Rents spot from 112 BAY</t>
  </si>
  <si>
    <t>16</t>
  </si>
  <si>
    <t>999 - Trevor Bradway</t>
  </si>
  <si>
    <t>A</t>
  </si>
  <si>
    <t>B</t>
  </si>
  <si>
    <t>Building Percentage</t>
  </si>
  <si>
    <t>Proposed Special Assessment (Reserves)</t>
  </si>
  <si>
    <t>500 Bldg Flat roofs replacement ($20k a year for 3 years - in second year)</t>
  </si>
  <si>
    <t>Board Approved Minimum Reserve Level</t>
  </si>
  <si>
    <t>Proposed Assessment to get Reserves to Mimimun Level</t>
  </si>
  <si>
    <t>Estimated Reserves 06/30/2025</t>
  </si>
  <si>
    <t>Scheduled Reserves 6/30/2025</t>
  </si>
  <si>
    <r>
      <rPr>
        <b/>
        <sz val="11"/>
        <rFont val="Verdana"/>
        <family val="2"/>
      </rPr>
      <t>Design Development Actual Expenses Vs Original Budget</t>
    </r>
  </si>
  <si>
    <r>
      <rPr>
        <sz val="11"/>
        <rFont val="Verdana"/>
        <family val="2"/>
      </rPr>
      <t>Reallocation of funds to EB Structural</t>
    </r>
  </si>
  <si>
    <r>
      <rPr>
        <sz val="11"/>
        <rFont val="Verdana"/>
        <family val="2"/>
      </rPr>
      <t>Vendor</t>
    </r>
  </si>
  <si>
    <r>
      <rPr>
        <sz val="11"/>
        <rFont val="Verdana"/>
        <family val="2"/>
      </rPr>
      <t>Total Value</t>
    </r>
  </si>
  <si>
    <r>
      <rPr>
        <sz val="11"/>
        <rFont val="Verdana"/>
        <family val="2"/>
      </rPr>
      <t>Updated
Balance to
Finish</t>
    </r>
  </si>
  <si>
    <t>Re-Forecast</t>
  </si>
  <si>
    <r>
      <rPr>
        <sz val="11"/>
        <rFont val="Verdana"/>
        <family val="2"/>
      </rPr>
      <t>Jan</t>
    </r>
  </si>
  <si>
    <r>
      <rPr>
        <sz val="11"/>
        <rFont val="Verdana"/>
        <family val="2"/>
      </rPr>
      <t>Feb</t>
    </r>
  </si>
  <si>
    <r>
      <rPr>
        <sz val="11"/>
        <rFont val="Verdana"/>
        <family val="2"/>
      </rPr>
      <t>March</t>
    </r>
  </si>
  <si>
    <r>
      <rPr>
        <sz val="11"/>
        <rFont val="Verdana"/>
        <family val="2"/>
      </rPr>
      <t>Apr</t>
    </r>
  </si>
  <si>
    <r>
      <rPr>
        <sz val="11"/>
        <rFont val="Verdana"/>
        <family val="2"/>
      </rPr>
      <t>May</t>
    </r>
  </si>
  <si>
    <r>
      <rPr>
        <sz val="11"/>
        <rFont val="Verdana"/>
        <family val="2"/>
      </rPr>
      <t>June</t>
    </r>
  </si>
  <si>
    <r>
      <rPr>
        <sz val="11"/>
        <rFont val="Verdana"/>
        <family val="2"/>
      </rPr>
      <t>July</t>
    </r>
  </si>
  <si>
    <r>
      <rPr>
        <sz val="11"/>
        <rFont val="Verdana"/>
        <family val="2"/>
      </rPr>
      <t>August</t>
    </r>
  </si>
  <si>
    <r>
      <rPr>
        <sz val="11"/>
        <rFont val="Verdana"/>
        <family val="2"/>
      </rPr>
      <t>September</t>
    </r>
  </si>
  <si>
    <r>
      <rPr>
        <sz val="11"/>
        <rFont val="Verdana"/>
        <family val="2"/>
      </rPr>
      <t>Remaining
Balance to
Finish</t>
    </r>
  </si>
  <si>
    <r>
      <rPr>
        <sz val="11"/>
        <rFont val="Verdana"/>
        <family val="2"/>
      </rPr>
      <t>OAC Notes</t>
    </r>
  </si>
  <si>
    <r>
      <rPr>
        <b/>
        <sz val="11"/>
        <rFont val="Verdana"/>
        <family val="2"/>
      </rPr>
      <t>Professional Services</t>
    </r>
  </si>
  <si>
    <r>
      <rPr>
        <sz val="11"/>
        <rFont val="Verdana"/>
        <family val="2"/>
      </rPr>
      <t>OAC</t>
    </r>
  </si>
  <si>
    <r>
      <rPr>
        <sz val="11"/>
        <rFont val="Verdana"/>
        <family val="2"/>
      </rPr>
      <t>Pierce Austin</t>
    </r>
  </si>
  <si>
    <r>
      <rPr>
        <sz val="11"/>
        <rFont val="Verdana"/>
        <family val="2"/>
      </rPr>
      <t>Kumar &amp; Associates</t>
    </r>
  </si>
  <si>
    <r>
      <rPr>
        <sz val="11"/>
        <rFont val="Verdana"/>
        <family val="2"/>
      </rPr>
      <t>Martin &amp; Martin - Civil</t>
    </r>
  </si>
  <si>
    <r>
      <rPr>
        <sz val="11"/>
        <rFont val="Verdana"/>
        <family val="2"/>
      </rPr>
      <t>Geotechnical Engineer</t>
    </r>
  </si>
  <si>
    <r>
      <rPr>
        <sz val="11"/>
        <rFont val="Verdana"/>
        <family val="2"/>
      </rPr>
      <t>Hexa</t>
    </r>
  </si>
  <si>
    <r>
      <rPr>
        <sz val="11"/>
        <rFont val="Verdana"/>
        <family val="2"/>
      </rPr>
      <t>Martin &amp; Martin - Structural</t>
    </r>
  </si>
  <si>
    <r>
      <rPr>
        <sz val="11"/>
        <rFont val="Verdana"/>
        <family val="2"/>
      </rPr>
      <t>Martin &amp; Martin - Waterproofing</t>
    </r>
  </si>
  <si>
    <r>
      <rPr>
        <sz val="11"/>
        <rFont val="Verdana"/>
        <family val="2"/>
      </rPr>
      <t>MEP Engineer</t>
    </r>
  </si>
  <si>
    <r>
      <rPr>
        <sz val="11"/>
        <rFont val="Verdana"/>
        <family val="2"/>
      </rPr>
      <t>Quenon Survey</t>
    </r>
  </si>
  <si>
    <r>
      <rPr>
        <sz val="11"/>
        <rFont val="Verdana"/>
        <family val="2"/>
      </rPr>
      <t>Consultant Reimbursement</t>
    </r>
  </si>
  <si>
    <r>
      <rPr>
        <sz val="11"/>
        <rFont val="Verdana"/>
        <family val="2"/>
      </rPr>
      <t>EB Structural</t>
    </r>
  </si>
  <si>
    <t>Contingency (not included in Professional Services above)</t>
  </si>
  <si>
    <r>
      <rPr>
        <b/>
        <sz val="11"/>
        <rFont val="Verdana"/>
        <family val="2"/>
      </rPr>
      <t>Reallocation of Contingency to EB</t>
    </r>
  </si>
  <si>
    <t>Total Professional Services and Contingency</t>
  </si>
  <si>
    <r>
      <rPr>
        <sz val="11"/>
        <rFont val="Verdana"/>
        <family val="2"/>
      </rPr>
      <t>OAC did not reallocate funds for the Peak Land Survey as there was not enough funds to fully cover the expense</t>
    </r>
  </si>
  <si>
    <t>Construction</t>
  </si>
  <si>
    <t>Professional Services</t>
  </si>
  <si>
    <t>Permits (fees) Insurance</t>
  </si>
  <si>
    <t>Contingency</t>
  </si>
  <si>
    <t>Excess (Shortage) Reserve Amount</t>
  </si>
  <si>
    <t>Design Phase Remaining Balance to Finish</t>
  </si>
  <si>
    <t>Reserve Analysis as of September 30, 2024</t>
  </si>
  <si>
    <t>Reserve Balances 09/30/2024</t>
  </si>
  <si>
    <t>Scheduled Reserve contributions Oct 2024 - June 2025</t>
  </si>
  <si>
    <t>Months</t>
  </si>
  <si>
    <t>Percentage collected by end of June, excluding design phase</t>
  </si>
  <si>
    <t>Amount collected by the end of June</t>
  </si>
  <si>
    <t>Garage Slab Construction Phase 1 (assumes AD Miller bid)</t>
  </si>
  <si>
    <t>&lt;&lt;&lt;Number of months</t>
  </si>
  <si>
    <t>Amount per month (Jan-Aug)</t>
  </si>
  <si>
    <t>Special Assessment per Unit - Unofficial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</si>
</sst>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rial"/>
      <family val="2"/>
    </font>
    <font>
      <i/>
      <sz val="11"/>
      <color rgb="FFFF0000"/>
      <name val="Calibri"/>
      <family val="2"/>
      <scheme val="minor"/>
    </font>
    <font>
      <sz val="8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1"/>
      <color rgb="FF000000"/>
      <name val="Calibri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3" applyNumberFormat="1" applyFont="1"/>
    <xf numFmtId="40" fontId="4" fillId="0" borderId="0" xfId="0" applyNumberFormat="1" applyFont="1"/>
    <xf numFmtId="0" fontId="2" fillId="0" borderId="0" xfId="0" applyFont="1" applyAlignment="1">
      <alignment horizontal="center" wrapText="1"/>
    </xf>
    <xf numFmtId="164" fontId="2" fillId="0" borderId="0" xfId="2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5" fillId="0" borderId="0" xfId="0" applyFo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6" xfId="2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0" fontId="0" fillId="0" borderId="6" xfId="0" applyBorder="1"/>
    <xf numFmtId="0" fontId="0" fillId="0" borderId="7" xfId="0" applyBorder="1"/>
    <xf numFmtId="164" fontId="0" fillId="0" borderId="8" xfId="2" applyNumberFormat="1" applyFont="1" applyBorder="1"/>
    <xf numFmtId="164" fontId="0" fillId="0" borderId="9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0" fontId="0" fillId="0" borderId="0" xfId="0" applyNumberFormat="1"/>
    <xf numFmtId="49" fontId="6" fillId="0" borderId="0" xfId="0" applyNumberFormat="1" applyFont="1"/>
    <xf numFmtId="49" fontId="7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10" xfId="0" applyNumberFormat="1" applyBorder="1" applyAlignment="1">
      <alignment horizontal="center" wrapText="1"/>
    </xf>
    <xf numFmtId="49" fontId="7" fillId="0" borderId="0" xfId="0" applyNumberFormat="1" applyFont="1"/>
    <xf numFmtId="43" fontId="0" fillId="0" borderId="11" xfId="1" applyFont="1" applyBorder="1"/>
    <xf numFmtId="40" fontId="6" fillId="0" borderId="0" xfId="0" applyNumberFormat="1" applyFont="1"/>
    <xf numFmtId="164" fontId="0" fillId="0" borderId="0" xfId="0" applyNumberFormat="1"/>
    <xf numFmtId="0" fontId="0" fillId="0" borderId="1" xfId="0" applyBorder="1" applyAlignment="1">
      <alignment horizontal="center" wrapText="1"/>
    </xf>
    <xf numFmtId="164" fontId="1" fillId="0" borderId="2" xfId="2" applyNumberFormat="1" applyFont="1" applyBorder="1"/>
    <xf numFmtId="0" fontId="0" fillId="0" borderId="2" xfId="0" applyBorder="1"/>
    <xf numFmtId="164" fontId="1" fillId="0" borderId="3" xfId="2" applyNumberFormat="1" applyFont="1" applyBorder="1"/>
    <xf numFmtId="44" fontId="2" fillId="0" borderId="2" xfId="0" applyNumberFormat="1" applyFont="1" applyBorder="1"/>
    <xf numFmtId="44" fontId="2" fillId="0" borderId="3" xfId="0" applyNumberFormat="1" applyFont="1" applyBorder="1"/>
    <xf numFmtId="40" fontId="0" fillId="0" borderId="11" xfId="0" applyNumberFormat="1" applyBorder="1"/>
    <xf numFmtId="40" fontId="0" fillId="0" borderId="0" xfId="0" applyNumberFormat="1" applyAlignment="1">
      <alignment horizontal="center" wrapText="1"/>
    </xf>
    <xf numFmtId="166" fontId="8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166" fontId="8" fillId="0" borderId="0" xfId="0" applyNumberFormat="1" applyFont="1"/>
    <xf numFmtId="0" fontId="0" fillId="0" borderId="0" xfId="0" applyAlignment="1">
      <alignment horizontal="right"/>
    </xf>
    <xf numFmtId="165" fontId="9" fillId="0" borderId="0" xfId="1" applyNumberFormat="1" applyFont="1"/>
    <xf numFmtId="0" fontId="9" fillId="0" borderId="0" xfId="0" applyFont="1"/>
    <xf numFmtId="165" fontId="9" fillId="0" borderId="0" xfId="0" applyNumberFormat="1" applyFont="1"/>
    <xf numFmtId="164" fontId="1" fillId="0" borderId="0" xfId="2" applyNumberFormat="1" applyFont="1"/>
    <xf numFmtId="165" fontId="1" fillId="0" borderId="0" xfId="1" applyNumberFormat="1" applyFont="1"/>
    <xf numFmtId="43" fontId="0" fillId="0" borderId="0" xfId="1" applyFont="1"/>
    <xf numFmtId="0" fontId="10" fillId="0" borderId="0" xfId="0" applyFont="1" applyAlignment="1">
      <alignment horizontal="left" vertical="top" readingOrder="1"/>
    </xf>
    <xf numFmtId="0" fontId="12" fillId="0" borderId="0" xfId="0" applyFont="1"/>
    <xf numFmtId="43" fontId="12" fillId="0" borderId="0" xfId="0" applyNumberFormat="1" applyFont="1"/>
    <xf numFmtId="0" fontId="13" fillId="0" borderId="0" xfId="0" applyFont="1" applyAlignment="1">
      <alignment horizontal="left" vertical="top" readingOrder="1"/>
    </xf>
    <xf numFmtId="0" fontId="13" fillId="0" borderId="13" xfId="0" applyFont="1" applyBorder="1" applyAlignment="1">
      <alignment horizontal="left" vertical="center" wrapText="1" indent="5" readingOrder="1"/>
    </xf>
    <xf numFmtId="0" fontId="13" fillId="0" borderId="13" xfId="0" applyFont="1" applyBorder="1" applyAlignment="1">
      <alignment horizontal="left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13" fillId="2" borderId="14" xfId="0" applyFont="1" applyFill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right" wrapText="1" indent="2" readingOrder="1"/>
    </xf>
    <xf numFmtId="0" fontId="13" fillId="0" borderId="15" xfId="0" applyFont="1" applyBorder="1" applyAlignment="1">
      <alignment horizontal="right" wrapText="1" indent="1" readingOrder="1"/>
    </xf>
    <xf numFmtId="0" fontId="13" fillId="0" borderId="13" xfId="0" applyFont="1" applyBorder="1" applyAlignment="1">
      <alignment horizontal="center" wrapText="1" readingOrder="1"/>
    </xf>
    <xf numFmtId="0" fontId="13" fillId="0" borderId="13" xfId="0" applyFont="1" applyBorder="1" applyAlignment="1">
      <alignment horizontal="right" wrapText="1" readingOrder="1"/>
    </xf>
    <xf numFmtId="0" fontId="13" fillId="0" borderId="13" xfId="0" applyFont="1" applyBorder="1" applyAlignment="1">
      <alignment horizontal="right" wrapText="1" indent="6" readingOrder="1"/>
    </xf>
    <xf numFmtId="0" fontId="10" fillId="0" borderId="13" xfId="0" applyFont="1" applyBorder="1" applyAlignment="1">
      <alignment horizontal="left" vertical="center" wrapText="1" readingOrder="1"/>
    </xf>
    <xf numFmtId="43" fontId="10" fillId="0" borderId="13" xfId="1" applyFont="1" applyBorder="1" applyAlignment="1">
      <alignment horizontal="left" vertical="center" wrapText="1" indent="1" readingOrder="1"/>
    </xf>
    <xf numFmtId="43" fontId="10" fillId="2" borderId="14" xfId="1" applyFont="1" applyFill="1" applyBorder="1" applyAlignment="1">
      <alignment horizontal="left" vertical="center" wrapText="1" indent="1" readingOrder="1"/>
    </xf>
    <xf numFmtId="43" fontId="10" fillId="0" borderId="14" xfId="1" applyFont="1" applyFill="1" applyBorder="1" applyAlignment="1">
      <alignment horizontal="left" vertical="center" wrapText="1" indent="1" readingOrder="1"/>
    </xf>
    <xf numFmtId="43" fontId="10" fillId="2" borderId="13" xfId="1" applyFont="1" applyFill="1" applyBorder="1" applyAlignment="1">
      <alignment horizontal="left" vertical="center" wrapText="1" indent="1" readingOrder="1"/>
    </xf>
    <xf numFmtId="43" fontId="15" fillId="0" borderId="13" xfId="0" applyNumberFormat="1" applyFont="1" applyBorder="1" applyAlignment="1">
      <alignment horizontal="left" vertical="top" wrapText="1" readingOrder="1"/>
    </xf>
    <xf numFmtId="43" fontId="13" fillId="0" borderId="13" xfId="1" applyFont="1" applyBorder="1" applyAlignment="1">
      <alignment horizontal="left" vertical="center" wrapText="1" indent="1" readingOrder="1"/>
    </xf>
    <xf numFmtId="43" fontId="13" fillId="0" borderId="14" xfId="1" applyFont="1" applyFill="1" applyBorder="1" applyAlignment="1">
      <alignment horizontal="left" vertical="center" wrapText="1" indent="1" readingOrder="1"/>
    </xf>
    <xf numFmtId="43" fontId="13" fillId="0" borderId="14" xfId="1" applyFont="1" applyBorder="1" applyAlignment="1">
      <alignment horizontal="left" vertical="center" wrapText="1" indent="1" readingOrder="1"/>
    </xf>
    <xf numFmtId="43" fontId="13" fillId="0" borderId="15" xfId="1" applyFont="1" applyBorder="1" applyAlignment="1">
      <alignment horizontal="left" vertical="center" wrapText="1" indent="1" readingOrder="1"/>
    </xf>
    <xf numFmtId="0" fontId="11" fillId="0" borderId="13" xfId="0" applyFont="1" applyBorder="1" applyAlignment="1">
      <alignment horizontal="left" vertical="center" wrapText="1" readingOrder="1"/>
    </xf>
    <xf numFmtId="43" fontId="10" fillId="0" borderId="14" xfId="1" applyFont="1" applyBorder="1" applyAlignment="1">
      <alignment horizontal="left" vertical="center" wrapText="1" indent="1" readingOrder="1"/>
    </xf>
    <xf numFmtId="43" fontId="10" fillId="0" borderId="15" xfId="1" applyFont="1" applyBorder="1" applyAlignment="1">
      <alignment horizontal="left" vertical="center" wrapText="1" indent="1" readingOrder="1"/>
    </xf>
    <xf numFmtId="0" fontId="10" fillId="0" borderId="13" xfId="0" applyFont="1" applyBorder="1" applyAlignment="1">
      <alignment horizontal="right" vertical="center" wrapText="1" indent="4" readingOrder="1"/>
    </xf>
    <xf numFmtId="0" fontId="10" fillId="2" borderId="16" xfId="0" applyFont="1" applyFill="1" applyBorder="1" applyAlignment="1">
      <alignment horizontal="left" vertical="center" wrapText="1" readingOrder="1"/>
    </xf>
    <xf numFmtId="0" fontId="15" fillId="0" borderId="0" xfId="0" applyFont="1"/>
    <xf numFmtId="43" fontId="0" fillId="0" borderId="0" xfId="0" applyNumberFormat="1"/>
    <xf numFmtId="9" fontId="0" fillId="0" borderId="0" xfId="3" applyFont="1"/>
    <xf numFmtId="43" fontId="0" fillId="0" borderId="11" xfId="0" applyNumberFormat="1" applyBorder="1"/>
    <xf numFmtId="0" fontId="0" fillId="0" borderId="12" xfId="0" applyBorder="1" applyAlignment="1">
      <alignment horizontal="center"/>
    </xf>
  </cellXfs>
  <cellStyles count="8">
    <cellStyle name="Comma" xfId="1" builtinId="3"/>
    <cellStyle name="Comma 2" xfId="6" xr:uid="{00000000-0005-0000-0000-000001000000}"/>
    <cellStyle name="Comma 3" xfId="4" xr:uid="{00000000-0005-0000-0000-000002000000}"/>
    <cellStyle name="Currency" xfId="2" builtinId="4"/>
    <cellStyle name="Normal" xfId="0" builtinId="0"/>
    <cellStyle name="Percent" xfId="3" builtinId="5"/>
    <cellStyle name="Percent 2" xfId="7" xr:uid="{00000000-0005-0000-0000-000006000000}"/>
    <cellStyle name="Percent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zoomScaleNormal="100" workbookViewId="0">
      <pane xSplit="2" ySplit="6" topLeftCell="E7" activePane="bottomRight" state="frozen"/>
      <selection pane="topRight" activeCell="D1" sqref="D1"/>
      <selection pane="bottomLeft" activeCell="A7" sqref="A7"/>
      <selection pane="bottomRight" activeCell="G17" sqref="G17"/>
    </sheetView>
  </sheetViews>
  <sheetFormatPr defaultRowHeight="15" x14ac:dyDescent="0.25"/>
  <cols>
    <col min="3" max="3" width="12.28515625" customWidth="1"/>
    <col min="4" max="4" width="16.140625" customWidth="1"/>
    <col min="5" max="5" width="13.42578125" customWidth="1"/>
    <col min="6" max="6" width="17.7109375" customWidth="1"/>
    <col min="7" max="7" width="14.28515625" customWidth="1"/>
    <col min="8" max="8" width="14" customWidth="1"/>
    <col min="9" max="9" width="12.85546875" customWidth="1"/>
    <col min="10" max="10" width="9.28515625" customWidth="1"/>
    <col min="11" max="11" width="16.5703125" customWidth="1"/>
    <col min="12" max="12" width="1.85546875" customWidth="1"/>
    <col min="13" max="13" width="13" bestFit="1" customWidth="1"/>
    <col min="14" max="14" width="2.140625" customWidth="1"/>
    <col min="15" max="15" width="14" customWidth="1"/>
    <col min="16" max="16" width="13.140625" customWidth="1"/>
    <col min="17" max="17" width="2.42578125" customWidth="1"/>
    <col min="18" max="18" width="11.28515625" hidden="1" customWidth="1"/>
    <col min="19" max="19" width="12" hidden="1" customWidth="1"/>
    <col min="20" max="20" width="1.7109375" hidden="1" customWidth="1"/>
    <col min="21" max="21" width="18" customWidth="1"/>
  </cols>
  <sheetData>
    <row r="1" spans="1:21" x14ac:dyDescent="0.25">
      <c r="A1" s="9" t="s">
        <v>0</v>
      </c>
    </row>
    <row r="2" spans="1:21" x14ac:dyDescent="0.25">
      <c r="A2" s="9" t="s">
        <v>124</v>
      </c>
    </row>
    <row r="5" spans="1:21" ht="15.75" thickBot="1" x14ac:dyDescent="0.3">
      <c r="H5" s="83" t="s">
        <v>130</v>
      </c>
      <c r="I5" s="83"/>
      <c r="J5" s="83"/>
      <c r="K5" s="83"/>
    </row>
    <row r="6" spans="1:21" s="3" customFormat="1" ht="59.25" customHeight="1" x14ac:dyDescent="0.25">
      <c r="A6" s="22" t="s">
        <v>1</v>
      </c>
      <c r="B6" s="4" t="s">
        <v>39</v>
      </c>
      <c r="C6" s="4" t="s">
        <v>125</v>
      </c>
      <c r="D6" s="4" t="s">
        <v>126</v>
      </c>
      <c r="E6" s="7" t="s">
        <v>83</v>
      </c>
      <c r="F6" s="4" t="s">
        <v>79</v>
      </c>
      <c r="G6" s="4" t="s">
        <v>123</v>
      </c>
      <c r="H6" s="4" t="s">
        <v>118</v>
      </c>
      <c r="I6" s="4" t="s">
        <v>119</v>
      </c>
      <c r="J6" s="4" t="s">
        <v>120</v>
      </c>
      <c r="K6" s="4" t="s">
        <v>121</v>
      </c>
      <c r="L6" s="4"/>
      <c r="M6" s="4" t="s">
        <v>82</v>
      </c>
      <c r="O6" s="4" t="s">
        <v>80</v>
      </c>
      <c r="P6" s="33" t="s">
        <v>122</v>
      </c>
      <c r="R6" s="13" t="s">
        <v>5</v>
      </c>
      <c r="S6" s="14" t="s">
        <v>4</v>
      </c>
      <c r="U6" s="10" t="s">
        <v>81</v>
      </c>
    </row>
    <row r="7" spans="1:21" x14ac:dyDescent="0.25">
      <c r="A7" s="23" t="s">
        <v>2</v>
      </c>
      <c r="B7" s="5">
        <v>0.21579999999999999</v>
      </c>
      <c r="C7" s="48">
        <v>63747.28</v>
      </c>
      <c r="D7" s="6">
        <f>800/12*9</f>
        <v>600</v>
      </c>
      <c r="E7" s="8">
        <f>SUM(C7:D7)</f>
        <v>64347.28</v>
      </c>
      <c r="F7" s="1"/>
      <c r="G7" s="1">
        <f>-G$14*$B7</f>
        <v>-50496.522387999998</v>
      </c>
      <c r="H7" s="1">
        <f>-H$14*$B7</f>
        <v>-812963.48639999994</v>
      </c>
      <c r="I7" s="1">
        <f>-I$14*$B7</f>
        <v>-57770.9548</v>
      </c>
      <c r="J7" s="1">
        <f>-J$14*$B7</f>
        <v>0</v>
      </c>
      <c r="K7" s="1">
        <f>-K$14*$B7</f>
        <v>-69265.973400000003</v>
      </c>
      <c r="L7" s="1"/>
      <c r="M7" s="1">
        <f>SUM(E7:L7)</f>
        <v>-926149.65698799992</v>
      </c>
      <c r="N7" s="1"/>
      <c r="O7" s="1">
        <v>60000</v>
      </c>
      <c r="P7" s="34">
        <f>M7-O7</f>
        <v>-986149.65698799992</v>
      </c>
      <c r="Q7" s="1"/>
      <c r="R7" s="15"/>
      <c r="S7" s="19"/>
      <c r="U7" s="37">
        <f>IF(O7-M7&lt;0,0,ROUND(O7-M7,-3))</f>
        <v>986000</v>
      </c>
    </row>
    <row r="8" spans="1:21" x14ac:dyDescent="0.25">
      <c r="A8" s="23">
        <v>300</v>
      </c>
      <c r="B8" s="5">
        <v>0.30980000000000002</v>
      </c>
      <c r="C8" s="49">
        <v>50709.51</v>
      </c>
      <c r="D8" s="6">
        <v>0</v>
      </c>
      <c r="E8" s="8">
        <f t="shared" ref="E8:E11" si="0">SUM(C8:D8)</f>
        <v>50709.51</v>
      </c>
      <c r="F8" s="1"/>
      <c r="G8" s="1">
        <f t="shared" ref="G8:K11" si="1">-G$14*$B8</f>
        <v>-72492.227228000003</v>
      </c>
      <c r="H8" s="1">
        <f t="shared" si="1"/>
        <v>-1167081.0384</v>
      </c>
      <c r="I8" s="1">
        <f t="shared" si="1"/>
        <v>-82935.318800000008</v>
      </c>
      <c r="J8" s="1">
        <f t="shared" si="1"/>
        <v>0</v>
      </c>
      <c r="K8" s="1">
        <f t="shared" si="1"/>
        <v>-99437.435400000002</v>
      </c>
      <c r="L8" s="1"/>
      <c r="M8" s="1">
        <f>SUM(E8:L8)</f>
        <v>-1371236.5098280001</v>
      </c>
      <c r="N8" s="2"/>
      <c r="O8" s="1">
        <v>60000</v>
      </c>
      <c r="P8" s="34">
        <f t="shared" ref="P8:P11" si="2">M8-O8</f>
        <v>-1431236.5098280001</v>
      </c>
      <c r="Q8" s="2"/>
      <c r="R8" s="16" t="e">
        <f>R$14*#REF!</f>
        <v>#REF!</v>
      </c>
      <c r="S8" s="17" t="e">
        <f>R8-$P8</f>
        <v>#REF!</v>
      </c>
      <c r="T8" s="2"/>
      <c r="U8" s="37">
        <f t="shared" ref="U8:U11" si="3">IF(O8-M8&lt;0,0,ROUND(O8-M8,-3))</f>
        <v>1431000</v>
      </c>
    </row>
    <row r="9" spans="1:21" x14ac:dyDescent="0.25">
      <c r="A9" s="23">
        <v>400</v>
      </c>
      <c r="B9" s="5">
        <v>0.1993</v>
      </c>
      <c r="C9" s="49">
        <v>55214.86</v>
      </c>
      <c r="D9" s="6">
        <v>0</v>
      </c>
      <c r="E9" s="8">
        <f t="shared" si="0"/>
        <v>55214.86</v>
      </c>
      <c r="F9" s="1"/>
      <c r="G9" s="1">
        <f t="shared" si="1"/>
        <v>-46635.574197999995</v>
      </c>
      <c r="H9" s="1">
        <f t="shared" si="1"/>
        <v>-750804.55440000002</v>
      </c>
      <c r="I9" s="1">
        <f t="shared" si="1"/>
        <v>-53353.805800000002</v>
      </c>
      <c r="J9" s="1">
        <f t="shared" si="1"/>
        <v>0</v>
      </c>
      <c r="K9" s="1">
        <f t="shared" si="1"/>
        <v>-63969.918900000004</v>
      </c>
      <c r="L9" s="1"/>
      <c r="M9" s="1">
        <f>SUM(E9:L9)</f>
        <v>-859548.99329800007</v>
      </c>
      <c r="N9" s="2"/>
      <c r="O9" s="1">
        <v>60000</v>
      </c>
      <c r="P9" s="34">
        <f t="shared" si="2"/>
        <v>-919548.99329800007</v>
      </c>
      <c r="Q9" s="2"/>
      <c r="R9" s="16" t="e">
        <f>R$14*#REF!</f>
        <v>#REF!</v>
      </c>
      <c r="S9" s="17" t="e">
        <f>R9-$P9</f>
        <v>#REF!</v>
      </c>
      <c r="T9" s="2"/>
      <c r="U9" s="37">
        <f t="shared" si="3"/>
        <v>920000</v>
      </c>
    </row>
    <row r="10" spans="1:21" x14ac:dyDescent="0.25">
      <c r="A10" s="23">
        <v>500</v>
      </c>
      <c r="B10" s="5">
        <v>0.24440000000000001</v>
      </c>
      <c r="C10" s="49">
        <v>110223.64</v>
      </c>
      <c r="D10" s="6">
        <f>25000/12*9</f>
        <v>18750</v>
      </c>
      <c r="E10" s="8">
        <f t="shared" si="0"/>
        <v>128973.64</v>
      </c>
      <c r="F10" s="1">
        <v>-60000</v>
      </c>
      <c r="G10" s="1">
        <f t="shared" si="1"/>
        <v>-57188.832583999996</v>
      </c>
      <c r="H10" s="1">
        <f t="shared" si="1"/>
        <v>-920705.63520000002</v>
      </c>
      <c r="I10" s="1">
        <f t="shared" si="1"/>
        <v>-65427.346400000002</v>
      </c>
      <c r="J10" s="1">
        <f t="shared" si="1"/>
        <v>0</v>
      </c>
      <c r="K10" s="1">
        <f t="shared" si="1"/>
        <v>-78445.801200000002</v>
      </c>
      <c r="L10" s="1"/>
      <c r="M10" s="1">
        <f>SUM(E10:L10)</f>
        <v>-1052793.975384</v>
      </c>
      <c r="N10" s="2"/>
      <c r="O10" s="1">
        <v>60000</v>
      </c>
      <c r="P10" s="34">
        <f t="shared" si="2"/>
        <v>-1112793.975384</v>
      </c>
      <c r="Q10" s="2"/>
      <c r="R10" s="16"/>
      <c r="S10" s="17"/>
      <c r="T10" s="2"/>
      <c r="U10" s="37">
        <f t="shared" si="3"/>
        <v>1113000</v>
      </c>
    </row>
    <row r="11" spans="1:21" x14ac:dyDescent="0.25">
      <c r="A11" s="23" t="s">
        <v>67</v>
      </c>
      <c r="B11" s="5">
        <v>3.0700000000000002E-2</v>
      </c>
      <c r="C11" s="49">
        <v>7429.06</v>
      </c>
      <c r="D11" s="2">
        <v>0</v>
      </c>
      <c r="E11" s="8">
        <f t="shared" si="0"/>
        <v>7429.06</v>
      </c>
      <c r="F11" s="1"/>
      <c r="G11" s="1">
        <f t="shared" si="1"/>
        <v>-7183.7036019999996</v>
      </c>
      <c r="H11" s="1">
        <f t="shared" si="1"/>
        <v>-115653.2856</v>
      </c>
      <c r="I11" s="1">
        <f t="shared" si="1"/>
        <v>-8218.5742000000009</v>
      </c>
      <c r="J11" s="1">
        <f t="shared" si="1"/>
        <v>0</v>
      </c>
      <c r="K11" s="1">
        <f t="shared" si="1"/>
        <v>-9853.8711000000003</v>
      </c>
      <c r="L11" s="1"/>
      <c r="M11" s="1">
        <f>SUM(E11:L11)</f>
        <v>-133480.37450199999</v>
      </c>
      <c r="N11" s="2"/>
      <c r="O11" s="1">
        <v>4195.25</v>
      </c>
      <c r="P11" s="34">
        <f t="shared" si="2"/>
        <v>-137675.62450199999</v>
      </c>
      <c r="Q11" s="2"/>
      <c r="R11" s="16"/>
      <c r="S11" s="17"/>
      <c r="T11" s="2"/>
      <c r="U11" s="37">
        <f t="shared" si="3"/>
        <v>138000</v>
      </c>
    </row>
    <row r="12" spans="1:21" x14ac:dyDescent="0.25">
      <c r="A12" s="9"/>
      <c r="B12" s="5"/>
      <c r="E12" s="9"/>
      <c r="P12" s="35"/>
      <c r="R12" s="18"/>
      <c r="S12" s="19"/>
      <c r="U12" s="11"/>
    </row>
    <row r="13" spans="1:21" ht="15.75" thickBot="1" x14ac:dyDescent="0.3">
      <c r="A13" s="9" t="s">
        <v>3</v>
      </c>
      <c r="B13" s="5">
        <f>SUM(B7:B12)</f>
        <v>1</v>
      </c>
      <c r="C13" s="48">
        <f>SUM(C7:C12)</f>
        <v>287324.35000000003</v>
      </c>
      <c r="D13" s="1">
        <f t="shared" ref="D13:P13" si="4">SUM(D7:D12)</f>
        <v>19350</v>
      </c>
      <c r="E13" s="8">
        <f t="shared" si="4"/>
        <v>306674.35000000003</v>
      </c>
      <c r="F13" s="1">
        <f t="shared" si="4"/>
        <v>-60000</v>
      </c>
      <c r="G13" s="1">
        <f t="shared" si="4"/>
        <v>-233996.86</v>
      </c>
      <c r="H13" s="1">
        <f t="shared" ref="H13:J13" si="5">SUM(H7:H12)</f>
        <v>-3767207.9999999995</v>
      </c>
      <c r="I13" s="1">
        <f t="shared" si="4"/>
        <v>-267706</v>
      </c>
      <c r="J13" s="1">
        <f t="shared" si="5"/>
        <v>0</v>
      </c>
      <c r="K13" s="1">
        <f t="shared" ref="K13" si="6">SUM(K7:K12)</f>
        <v>-320973</v>
      </c>
      <c r="L13" s="1"/>
      <c r="M13" s="1">
        <f t="shared" si="4"/>
        <v>-4343209.5100000007</v>
      </c>
      <c r="N13" s="1">
        <f t="shared" si="4"/>
        <v>0</v>
      </c>
      <c r="O13" s="1">
        <f t="shared" si="4"/>
        <v>244195.25</v>
      </c>
      <c r="P13" s="36">
        <f t="shared" si="4"/>
        <v>-4587404.7600000007</v>
      </c>
      <c r="Q13" s="1"/>
      <c r="R13" s="20" t="e">
        <f>SUM(R7:R12)</f>
        <v>#REF!</v>
      </c>
      <c r="S13" s="21" t="e">
        <f>SUM(S7:S12)</f>
        <v>#REF!</v>
      </c>
      <c r="T13" s="1"/>
      <c r="U13" s="38">
        <f>SUM(U7:U12)</f>
        <v>4588000</v>
      </c>
    </row>
    <row r="14" spans="1:21" x14ac:dyDescent="0.25">
      <c r="G14" s="45">
        <f>'Design phase'!N18</f>
        <v>233996.86</v>
      </c>
      <c r="H14" s="45">
        <f>3727438+39770</f>
        <v>3767208</v>
      </c>
      <c r="I14" s="45">
        <v>267706</v>
      </c>
      <c r="J14" s="46">
        <v>0</v>
      </c>
      <c r="K14" s="45">
        <v>320973</v>
      </c>
      <c r="L14" s="46"/>
      <c r="M14" s="47">
        <f>SUM(H14:L14)</f>
        <v>4355887</v>
      </c>
      <c r="R14" s="12">
        <v>218000</v>
      </c>
    </row>
    <row r="15" spans="1:21" x14ac:dyDescent="0.25">
      <c r="O15" s="32"/>
    </row>
    <row r="16" spans="1:21" x14ac:dyDescent="0.25">
      <c r="F16" s="32"/>
      <c r="G16" s="32"/>
    </row>
  </sheetData>
  <mergeCells count="1">
    <mergeCell ref="H5:K5"/>
  </mergeCells>
  <pageMargins left="0.45" right="0.45" top="0.75" bottom="0.75" header="0.3" footer="0.3"/>
  <pageSetup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36E9-BFAD-4F1E-A798-E7A303A549D9}">
  <sheetPr>
    <pageSetUpPr fitToPage="1"/>
  </sheetPr>
  <dimension ref="A1:G104"/>
  <sheetViews>
    <sheetView workbookViewId="0">
      <pane ySplit="5" topLeftCell="A6" activePane="bottomLeft" state="frozen"/>
      <selection pane="bottomLeft" activeCell="A3" sqref="A3"/>
    </sheetView>
  </sheetViews>
  <sheetFormatPr defaultRowHeight="15" x14ac:dyDescent="0.25"/>
  <cols>
    <col min="1" max="1" width="18.85546875" customWidth="1"/>
    <col min="2" max="2" width="10.42578125" bestFit="1" customWidth="1"/>
    <col min="3" max="3" width="9.140625" style="24"/>
    <col min="4" max="4" width="12.140625" style="24" customWidth="1"/>
    <col min="6" max="6" width="14.42578125" customWidth="1"/>
  </cols>
  <sheetData>
    <row r="1" spans="1:7" x14ac:dyDescent="0.25">
      <c r="A1" t="s">
        <v>0</v>
      </c>
    </row>
    <row r="2" spans="1:7" x14ac:dyDescent="0.25">
      <c r="A2" t="s">
        <v>133</v>
      </c>
    </row>
    <row r="4" spans="1:7" x14ac:dyDescent="0.25">
      <c r="A4" s="25"/>
      <c r="F4">
        <v>8</v>
      </c>
      <c r="G4" s="42" t="s">
        <v>131</v>
      </c>
    </row>
    <row r="5" spans="1:7" ht="60.75" thickBot="1" x14ac:dyDescent="0.3">
      <c r="A5" s="26" t="s">
        <v>7</v>
      </c>
      <c r="B5" s="27" t="s">
        <v>8</v>
      </c>
      <c r="D5" s="40" t="s">
        <v>78</v>
      </c>
      <c r="F5" s="4" t="s">
        <v>132</v>
      </c>
    </row>
    <row r="6" spans="1:7" x14ac:dyDescent="0.25">
      <c r="A6" s="29" t="s">
        <v>40</v>
      </c>
      <c r="B6">
        <v>7.1059999999999998E-2</v>
      </c>
      <c r="D6" s="24">
        <f>'Reserve Analysis'!$U$7*'Special Assement by Unit'!B6</f>
        <v>70065.16</v>
      </c>
      <c r="F6" s="50">
        <f t="shared" ref="F6" si="0">$D6/F$4</f>
        <v>8758.1450000000004</v>
      </c>
    </row>
    <row r="7" spans="1:7" x14ac:dyDescent="0.25">
      <c r="A7" s="29" t="s">
        <v>41</v>
      </c>
      <c r="B7">
        <v>8.1668000000000004E-2</v>
      </c>
      <c r="D7" s="24">
        <f>'Reserve Analysis'!$U$7*'Special Assement by Unit'!B7</f>
        <v>80524.648000000001</v>
      </c>
      <c r="F7" s="50">
        <f t="shared" ref="F7:F17" si="1">$D7/F$4</f>
        <v>10065.581</v>
      </c>
    </row>
    <row r="8" spans="1:7" x14ac:dyDescent="0.25">
      <c r="A8" s="29" t="s">
        <v>42</v>
      </c>
      <c r="B8">
        <v>7.1059999999999998E-2</v>
      </c>
      <c r="D8" s="24">
        <f>'Reserve Analysis'!$U$7*'Special Assement by Unit'!B8</f>
        <v>70065.16</v>
      </c>
      <c r="F8" s="50">
        <f t="shared" si="1"/>
        <v>8758.1450000000004</v>
      </c>
    </row>
    <row r="9" spans="1:7" x14ac:dyDescent="0.25">
      <c r="A9" s="29" t="s">
        <v>43</v>
      </c>
      <c r="B9">
        <v>7.1059999999999998E-2</v>
      </c>
      <c r="D9" s="24">
        <f>'Reserve Analysis'!$U$7*'Special Assement by Unit'!B9</f>
        <v>70065.16</v>
      </c>
      <c r="F9" s="50">
        <f t="shared" si="1"/>
        <v>8758.1450000000004</v>
      </c>
    </row>
    <row r="10" spans="1:7" x14ac:dyDescent="0.25">
      <c r="A10" s="29" t="s">
        <v>44</v>
      </c>
      <c r="B10">
        <v>0.102578</v>
      </c>
      <c r="D10" s="24">
        <f>'Reserve Analysis'!$U$7*'Special Assement by Unit'!B10</f>
        <v>101141.908</v>
      </c>
      <c r="F10" s="50">
        <f t="shared" si="1"/>
        <v>12642.738499999999</v>
      </c>
    </row>
    <row r="11" spans="1:7" x14ac:dyDescent="0.25">
      <c r="A11" s="29" t="s">
        <v>45</v>
      </c>
      <c r="B11">
        <v>0.102578</v>
      </c>
      <c r="D11" s="24">
        <f>'Reserve Analysis'!$U$7*'Special Assement by Unit'!B11</f>
        <v>101141.908</v>
      </c>
      <c r="F11" s="50">
        <f t="shared" si="1"/>
        <v>12642.738499999999</v>
      </c>
    </row>
    <row r="12" spans="1:7" x14ac:dyDescent="0.25">
      <c r="A12" s="29" t="s">
        <v>46</v>
      </c>
      <c r="B12">
        <v>7.6361999999999999E-2</v>
      </c>
      <c r="D12" s="24">
        <f>'Reserve Analysis'!$U$7*'Special Assement by Unit'!B12</f>
        <v>75292.932000000001</v>
      </c>
      <c r="F12" s="50">
        <f t="shared" si="1"/>
        <v>9411.6165000000001</v>
      </c>
    </row>
    <row r="13" spans="1:7" x14ac:dyDescent="0.25">
      <c r="A13" s="29" t="s">
        <v>47</v>
      </c>
      <c r="B13">
        <v>7.6361999999999999E-2</v>
      </c>
      <c r="D13" s="24">
        <f>'Reserve Analysis'!$U$7*'Special Assement by Unit'!B13</f>
        <v>75292.932000000001</v>
      </c>
      <c r="F13" s="50">
        <f t="shared" si="1"/>
        <v>9411.6165000000001</v>
      </c>
    </row>
    <row r="14" spans="1:7" x14ac:dyDescent="0.25">
      <c r="A14" s="29" t="s">
        <v>48</v>
      </c>
      <c r="B14">
        <v>7.1059999999999998E-2</v>
      </c>
      <c r="D14" s="24">
        <f>'Reserve Analysis'!$U$7*'Special Assement by Unit'!B14</f>
        <v>70065.16</v>
      </c>
      <c r="F14" s="50">
        <f t="shared" si="1"/>
        <v>8758.1450000000004</v>
      </c>
    </row>
    <row r="15" spans="1:7" x14ac:dyDescent="0.25">
      <c r="A15" s="29" t="s">
        <v>49</v>
      </c>
      <c r="B15">
        <v>7.6361999999999999E-2</v>
      </c>
      <c r="D15" s="24">
        <f>'Reserve Analysis'!$U$7*'Special Assement by Unit'!B15</f>
        <v>75292.932000000001</v>
      </c>
      <c r="F15" s="50">
        <f t="shared" si="1"/>
        <v>9411.6165000000001</v>
      </c>
    </row>
    <row r="16" spans="1:7" x14ac:dyDescent="0.25">
      <c r="A16" s="29" t="s">
        <v>50</v>
      </c>
      <c r="B16">
        <v>9.7268999999999994E-2</v>
      </c>
      <c r="D16" s="24">
        <f>'Reserve Analysis'!$U$7*'Special Assement by Unit'!B16</f>
        <v>95907.233999999997</v>
      </c>
      <c r="F16" s="50">
        <f t="shared" si="1"/>
        <v>11988.40425</v>
      </c>
    </row>
    <row r="17" spans="1:6" x14ac:dyDescent="0.25">
      <c r="A17" s="29" t="s">
        <v>51</v>
      </c>
      <c r="B17">
        <v>0.102578</v>
      </c>
      <c r="D17" s="24">
        <f>'Reserve Analysis'!$U$7*'Special Assement by Unit'!B17</f>
        <v>101141.908</v>
      </c>
      <c r="F17" s="50">
        <f t="shared" si="1"/>
        <v>12642.738499999999</v>
      </c>
    </row>
    <row r="18" spans="1:6" x14ac:dyDescent="0.25">
      <c r="A18" s="29" t="s">
        <v>3</v>
      </c>
      <c r="B18" s="30">
        <f>SUM(B6:B17)</f>
        <v>0.99999700000000025</v>
      </c>
      <c r="D18" s="39">
        <f>SUM(D6:D17)</f>
        <v>985997.04200000013</v>
      </c>
    </row>
    <row r="19" spans="1:6" x14ac:dyDescent="0.25">
      <c r="A19" s="29"/>
      <c r="B19" s="31"/>
    </row>
    <row r="20" spans="1:6" x14ac:dyDescent="0.25">
      <c r="A20" s="29"/>
    </row>
    <row r="21" spans="1:6" x14ac:dyDescent="0.25">
      <c r="A21" s="29" t="s">
        <v>10</v>
      </c>
      <c r="B21">
        <v>0.10089099999999999</v>
      </c>
      <c r="D21" s="24">
        <f>'Reserve Analysis'!$U$8*'Special Assement by Unit'!B21</f>
        <v>144375.02099999998</v>
      </c>
      <c r="F21" s="50">
        <f t="shared" ref="F21:F36" si="2">$D21/F$4</f>
        <v>18046.877624999997</v>
      </c>
    </row>
    <row r="22" spans="1:6" x14ac:dyDescent="0.25">
      <c r="A22" s="29" t="s">
        <v>11</v>
      </c>
      <c r="B22">
        <v>5.8278000000000003E-2</v>
      </c>
      <c r="D22" s="24">
        <f>'Reserve Analysis'!$U$8*'Special Assement by Unit'!B22</f>
        <v>83395.817999999999</v>
      </c>
      <c r="F22" s="50">
        <f t="shared" si="2"/>
        <v>10424.47725</v>
      </c>
    </row>
    <row r="23" spans="1:6" x14ac:dyDescent="0.25">
      <c r="A23" s="29" t="s">
        <v>12</v>
      </c>
      <c r="B23">
        <v>5.3025000000000003E-2</v>
      </c>
      <c r="D23" s="24">
        <f>'Reserve Analysis'!$U$8*'Special Assement by Unit'!B23</f>
        <v>75878.775000000009</v>
      </c>
      <c r="F23" s="50">
        <f t="shared" si="2"/>
        <v>9484.8468750000011</v>
      </c>
    </row>
    <row r="24" spans="1:6" x14ac:dyDescent="0.25">
      <c r="A24" s="29" t="s">
        <v>13</v>
      </c>
      <c r="B24">
        <v>4.9349999999999998E-2</v>
      </c>
      <c r="D24" s="24">
        <f>'Reserve Analysis'!$U$8*'Special Assement by Unit'!B24</f>
        <v>70619.849999999991</v>
      </c>
      <c r="F24" s="50">
        <f t="shared" si="2"/>
        <v>8827.4812499999989</v>
      </c>
    </row>
    <row r="25" spans="1:6" x14ac:dyDescent="0.25">
      <c r="A25" s="29" t="s">
        <v>14</v>
      </c>
      <c r="B25">
        <v>5.2817999999999997E-2</v>
      </c>
      <c r="D25" s="24">
        <f>'Reserve Analysis'!$U$8*'Special Assement by Unit'!B25</f>
        <v>75582.55799999999</v>
      </c>
      <c r="F25" s="50">
        <f t="shared" si="2"/>
        <v>9447.8197499999987</v>
      </c>
    </row>
    <row r="26" spans="1:6" x14ac:dyDescent="0.25">
      <c r="A26" s="29" t="s">
        <v>15</v>
      </c>
      <c r="B26">
        <v>7.5889999999999999E-2</v>
      </c>
      <c r="D26" s="24">
        <f>'Reserve Analysis'!$U$8*'Special Assement by Unit'!B26</f>
        <v>108598.59</v>
      </c>
      <c r="F26" s="50">
        <f t="shared" si="2"/>
        <v>13574.82375</v>
      </c>
    </row>
    <row r="27" spans="1:6" x14ac:dyDescent="0.25">
      <c r="A27" s="29" t="s">
        <v>16</v>
      </c>
      <c r="B27">
        <v>5.3025000000000003E-2</v>
      </c>
      <c r="D27" s="24">
        <f>'Reserve Analysis'!$U$8*'Special Assement by Unit'!B27</f>
        <v>75878.775000000009</v>
      </c>
      <c r="F27" s="50">
        <f t="shared" si="2"/>
        <v>9484.8468750000011</v>
      </c>
    </row>
    <row r="28" spans="1:6" x14ac:dyDescent="0.25">
      <c r="A28" s="29" t="s">
        <v>17</v>
      </c>
      <c r="B28">
        <v>7.8849000000000002E-2</v>
      </c>
      <c r="D28" s="24">
        <f>'Reserve Analysis'!$U$8*'Special Assement by Unit'!B28</f>
        <v>112832.91900000001</v>
      </c>
      <c r="F28" s="50">
        <f t="shared" si="2"/>
        <v>14104.114875000001</v>
      </c>
    </row>
    <row r="29" spans="1:6" x14ac:dyDescent="0.25">
      <c r="A29" s="29" t="s">
        <v>18</v>
      </c>
      <c r="B29">
        <v>5.2817999999999997E-2</v>
      </c>
      <c r="D29" s="24">
        <f>'Reserve Analysis'!$U$8*'Special Assement by Unit'!B29</f>
        <v>75582.55799999999</v>
      </c>
      <c r="F29" s="50">
        <f t="shared" si="2"/>
        <v>9447.8197499999987</v>
      </c>
    </row>
    <row r="30" spans="1:6" x14ac:dyDescent="0.25">
      <c r="A30" s="29" t="s">
        <v>19</v>
      </c>
      <c r="B30">
        <v>5.3941000000000003E-2</v>
      </c>
      <c r="D30" s="24">
        <f>'Reserve Analysis'!$U$8*'Special Assement by Unit'!B30</f>
        <v>77189.571000000011</v>
      </c>
      <c r="F30" s="50">
        <f t="shared" si="2"/>
        <v>9648.6963750000014</v>
      </c>
    </row>
    <row r="31" spans="1:6" x14ac:dyDescent="0.25">
      <c r="A31" s="29" t="s">
        <v>20</v>
      </c>
      <c r="B31">
        <v>5.3025000000000003E-2</v>
      </c>
      <c r="D31" s="24">
        <f>'Reserve Analysis'!$U$8*'Special Assement by Unit'!B31</f>
        <v>75878.775000000009</v>
      </c>
      <c r="F31" s="50">
        <f t="shared" si="2"/>
        <v>9484.8468750000011</v>
      </c>
    </row>
    <row r="32" spans="1:6" x14ac:dyDescent="0.25">
      <c r="A32" s="29" t="s">
        <v>21</v>
      </c>
      <c r="B32">
        <v>5.2817999999999997E-2</v>
      </c>
      <c r="D32" s="24">
        <f>'Reserve Analysis'!$U$8*'Special Assement by Unit'!B32</f>
        <v>75582.55799999999</v>
      </c>
      <c r="F32" s="50">
        <f t="shared" si="2"/>
        <v>9447.8197499999987</v>
      </c>
    </row>
    <row r="33" spans="1:6" x14ac:dyDescent="0.25">
      <c r="A33" s="29" t="s">
        <v>22</v>
      </c>
      <c r="B33">
        <v>5.3941000000000003E-2</v>
      </c>
      <c r="D33" s="24">
        <f>'Reserve Analysis'!$U$8*'Special Assement by Unit'!B33</f>
        <v>77189.571000000011</v>
      </c>
      <c r="F33" s="50">
        <f t="shared" si="2"/>
        <v>9648.6963750000014</v>
      </c>
    </row>
    <row r="34" spans="1:6" x14ac:dyDescent="0.25">
      <c r="A34" s="29" t="s">
        <v>23</v>
      </c>
      <c r="B34">
        <v>7.0069000000000006E-2</v>
      </c>
      <c r="D34" s="24">
        <f>'Reserve Analysis'!$U$8*'Special Assement by Unit'!B34</f>
        <v>100268.73900000002</v>
      </c>
      <c r="F34" s="50">
        <f t="shared" si="2"/>
        <v>12533.592375000002</v>
      </c>
    </row>
    <row r="35" spans="1:6" x14ac:dyDescent="0.25">
      <c r="A35" s="29" t="s">
        <v>24</v>
      </c>
      <c r="B35">
        <v>6.8539000000000003E-2</v>
      </c>
      <c r="D35" s="24">
        <f>'Reserve Analysis'!$U$8*'Special Assement by Unit'!B35</f>
        <v>98079.309000000008</v>
      </c>
      <c r="F35" s="50">
        <f t="shared" si="2"/>
        <v>12259.913625000001</v>
      </c>
    </row>
    <row r="36" spans="1:6" x14ac:dyDescent="0.25">
      <c r="A36" s="29" t="s">
        <v>25</v>
      </c>
      <c r="B36">
        <v>7.2723999999999997E-2</v>
      </c>
      <c r="D36" s="24">
        <f>'Reserve Analysis'!$U$8*'Special Assement by Unit'!B36</f>
        <v>104068.04399999999</v>
      </c>
      <c r="F36" s="50">
        <f t="shared" si="2"/>
        <v>13008.505499999999</v>
      </c>
    </row>
    <row r="37" spans="1:6" x14ac:dyDescent="0.25">
      <c r="A37" s="29" t="s">
        <v>3</v>
      </c>
      <c r="B37" s="30">
        <f>SUM(B21:B36)</f>
        <v>1.0000010000000001</v>
      </c>
      <c r="D37" s="39">
        <f>SUM(D21:D36)</f>
        <v>1431001.4310000001</v>
      </c>
    </row>
    <row r="38" spans="1:6" x14ac:dyDescent="0.25">
      <c r="A38" s="29"/>
      <c r="B38" s="31"/>
    </row>
    <row r="39" spans="1:6" x14ac:dyDescent="0.25">
      <c r="A39" s="29"/>
    </row>
    <row r="40" spans="1:6" x14ac:dyDescent="0.25">
      <c r="A40" s="29" t="s">
        <v>26</v>
      </c>
      <c r="B40">
        <v>7.8752000000000003E-2</v>
      </c>
      <c r="D40" s="24">
        <f>'Reserve Analysis'!$U$9*'Special Assement by Unit'!B40</f>
        <v>72451.839999999997</v>
      </c>
      <c r="F40" s="50">
        <f t="shared" ref="F40:F50" si="3">$D40/F$4</f>
        <v>9056.48</v>
      </c>
    </row>
    <row r="41" spans="1:6" x14ac:dyDescent="0.25">
      <c r="A41" s="29" t="s">
        <v>27</v>
      </c>
      <c r="B41">
        <v>0.12601899999999999</v>
      </c>
      <c r="D41" s="24">
        <f>'Reserve Analysis'!$U$9*'Special Assement by Unit'!B41</f>
        <v>115937.48</v>
      </c>
      <c r="F41" s="50">
        <f t="shared" si="3"/>
        <v>14492.184999999999</v>
      </c>
    </row>
    <row r="42" spans="1:6" x14ac:dyDescent="0.25">
      <c r="A42" s="29" t="s">
        <v>28</v>
      </c>
      <c r="B42">
        <v>8.1691E-2</v>
      </c>
      <c r="D42" s="24">
        <f>'Reserve Analysis'!$U$9*'Special Assement by Unit'!B42</f>
        <v>75155.72</v>
      </c>
      <c r="F42" s="50">
        <f t="shared" si="3"/>
        <v>9394.4650000000001</v>
      </c>
    </row>
    <row r="43" spans="1:6" x14ac:dyDescent="0.25">
      <c r="A43" s="29" t="s">
        <v>29</v>
      </c>
      <c r="B43">
        <v>7.8752000000000003E-2</v>
      </c>
      <c r="D43" s="24">
        <f>'Reserve Analysis'!$U$9*'Special Assement by Unit'!B43</f>
        <v>72451.839999999997</v>
      </c>
      <c r="F43" s="50">
        <f t="shared" si="3"/>
        <v>9056.48</v>
      </c>
    </row>
    <row r="44" spans="1:6" x14ac:dyDescent="0.25">
      <c r="A44" s="29" t="s">
        <v>30</v>
      </c>
      <c r="B44">
        <v>7.8752000000000003E-2</v>
      </c>
      <c r="D44" s="24">
        <f>'Reserve Analysis'!$U$9*'Special Assement by Unit'!B44</f>
        <v>72451.839999999997</v>
      </c>
      <c r="F44" s="50">
        <f t="shared" si="3"/>
        <v>9056.48</v>
      </c>
    </row>
    <row r="45" spans="1:6" x14ac:dyDescent="0.25">
      <c r="A45" s="29" t="s">
        <v>31</v>
      </c>
      <c r="B45">
        <v>8.1691E-2</v>
      </c>
      <c r="D45" s="24">
        <f>'Reserve Analysis'!$U$9*'Special Assement by Unit'!B45</f>
        <v>75155.72</v>
      </c>
      <c r="F45" s="50">
        <f t="shared" si="3"/>
        <v>9394.4650000000001</v>
      </c>
    </row>
    <row r="46" spans="1:6" x14ac:dyDescent="0.25">
      <c r="A46" s="29" t="s">
        <v>32</v>
      </c>
      <c r="B46">
        <v>7.8752000000000003E-2</v>
      </c>
      <c r="D46" s="24">
        <f>'Reserve Analysis'!$U$9*'Special Assement by Unit'!B46</f>
        <v>72451.839999999997</v>
      </c>
      <c r="F46" s="50">
        <f t="shared" si="3"/>
        <v>9056.48</v>
      </c>
    </row>
    <row r="47" spans="1:6" x14ac:dyDescent="0.25">
      <c r="A47" s="29" t="s">
        <v>33</v>
      </c>
      <c r="B47">
        <v>0.104767</v>
      </c>
      <c r="D47" s="24">
        <f>'Reserve Analysis'!$U$9*'Special Assement by Unit'!B47</f>
        <v>96385.64</v>
      </c>
      <c r="F47" s="50">
        <f t="shared" si="3"/>
        <v>12048.205</v>
      </c>
    </row>
    <row r="48" spans="1:6" x14ac:dyDescent="0.25">
      <c r="A48" s="29" t="s">
        <v>34</v>
      </c>
      <c r="B48">
        <v>0.107304</v>
      </c>
      <c r="D48" s="24">
        <f>'Reserve Analysis'!$U$9*'Special Assement by Unit'!B48</f>
        <v>98719.679999999993</v>
      </c>
      <c r="F48" s="50">
        <f t="shared" si="3"/>
        <v>12339.96</v>
      </c>
    </row>
    <row r="49" spans="1:6" x14ac:dyDescent="0.25">
      <c r="A49" s="29" t="s">
        <v>35</v>
      </c>
      <c r="B49">
        <v>7.8752000000000003E-2</v>
      </c>
      <c r="D49" s="24">
        <f>'Reserve Analysis'!$U$9*'Special Assement by Unit'!B49</f>
        <v>72451.839999999997</v>
      </c>
      <c r="F49" s="50">
        <f t="shared" si="3"/>
        <v>9056.48</v>
      </c>
    </row>
    <row r="50" spans="1:6" x14ac:dyDescent="0.25">
      <c r="A50" s="29" t="s">
        <v>36</v>
      </c>
      <c r="B50">
        <v>0.104767</v>
      </c>
      <c r="D50" s="24">
        <f>'Reserve Analysis'!$U$9*'Special Assement by Unit'!B50</f>
        <v>96385.64</v>
      </c>
      <c r="F50" s="50">
        <f t="shared" si="3"/>
        <v>12048.205</v>
      </c>
    </row>
    <row r="51" spans="1:6" x14ac:dyDescent="0.25">
      <c r="A51" s="29" t="s">
        <v>3</v>
      </c>
      <c r="B51" s="30">
        <f>SUM(B40:B50)</f>
        <v>0.99999900000000008</v>
      </c>
      <c r="D51" s="39">
        <f>SUM(D40:D50)</f>
        <v>919999.07999999984</v>
      </c>
    </row>
    <row r="52" spans="1:6" x14ac:dyDescent="0.25">
      <c r="A52" s="29"/>
      <c r="B52" s="31"/>
    </row>
    <row r="53" spans="1:6" x14ac:dyDescent="0.25">
      <c r="A53" s="29"/>
    </row>
    <row r="54" spans="1:6" x14ac:dyDescent="0.25">
      <c r="A54" s="29" t="s">
        <v>52</v>
      </c>
      <c r="B54">
        <v>6.7068000000000003E-2</v>
      </c>
      <c r="D54" s="24">
        <f>'Reserve Analysis'!$U$10*'Special Assement by Unit'!B54</f>
        <v>74646.684000000008</v>
      </c>
      <c r="F54" s="50">
        <f t="shared" ref="F54:F68" si="4">$D54/F$4</f>
        <v>9330.835500000001</v>
      </c>
    </row>
    <row r="55" spans="1:6" x14ac:dyDescent="0.25">
      <c r="A55" s="29" t="s">
        <v>53</v>
      </c>
      <c r="B55">
        <v>6.7068000000000003E-2</v>
      </c>
      <c r="D55" s="24">
        <f>'Reserve Analysis'!$U$10*'Special Assement by Unit'!B55</f>
        <v>74646.684000000008</v>
      </c>
      <c r="F55" s="50">
        <f t="shared" si="4"/>
        <v>9330.835500000001</v>
      </c>
    </row>
    <row r="56" spans="1:6" x14ac:dyDescent="0.25">
      <c r="A56" s="29" t="s">
        <v>54</v>
      </c>
      <c r="B56">
        <v>8.8409000000000001E-2</v>
      </c>
      <c r="D56" s="24">
        <f>'Reserve Analysis'!$U$10*'Special Assement by Unit'!B56</f>
        <v>98399.217000000004</v>
      </c>
      <c r="F56" s="50">
        <f t="shared" si="4"/>
        <v>12299.902125000001</v>
      </c>
    </row>
    <row r="57" spans="1:6" x14ac:dyDescent="0.25">
      <c r="A57" s="29" t="s">
        <v>55</v>
      </c>
      <c r="B57">
        <v>4.4172000000000003E-2</v>
      </c>
      <c r="D57" s="24">
        <f>'Reserve Analysis'!$U$10*'Special Assement by Unit'!B57</f>
        <v>49163.436000000002</v>
      </c>
      <c r="F57" s="50">
        <f t="shared" si="4"/>
        <v>6145.4295000000002</v>
      </c>
    </row>
    <row r="58" spans="1:6" x14ac:dyDescent="0.25">
      <c r="A58" s="29" t="s">
        <v>56</v>
      </c>
      <c r="B58">
        <v>5.5683000000000003E-2</v>
      </c>
      <c r="D58" s="24">
        <f>'Reserve Analysis'!$U$10*'Special Assement by Unit'!B58</f>
        <v>61975.179000000004</v>
      </c>
      <c r="F58" s="50">
        <f t="shared" si="4"/>
        <v>7746.8973750000005</v>
      </c>
    </row>
    <row r="59" spans="1:6" x14ac:dyDescent="0.25">
      <c r="A59" s="29" t="s">
        <v>57</v>
      </c>
      <c r="B59">
        <v>6.5582000000000001E-2</v>
      </c>
      <c r="D59" s="24">
        <f>'Reserve Analysis'!$U$10*'Special Assement by Unit'!B59</f>
        <v>72992.766000000003</v>
      </c>
      <c r="F59" s="50">
        <f t="shared" si="4"/>
        <v>9124.0957500000004</v>
      </c>
    </row>
    <row r="60" spans="1:6" x14ac:dyDescent="0.25">
      <c r="A60" s="29" t="s">
        <v>58</v>
      </c>
      <c r="B60">
        <v>7.2236999999999996E-2</v>
      </c>
      <c r="D60" s="24">
        <f>'Reserve Analysis'!$U$10*'Special Assement by Unit'!B60</f>
        <v>80399.780999999988</v>
      </c>
      <c r="F60" s="50">
        <f t="shared" si="4"/>
        <v>10049.972624999999</v>
      </c>
    </row>
    <row r="61" spans="1:6" x14ac:dyDescent="0.25">
      <c r="A61" s="29" t="s">
        <v>59</v>
      </c>
      <c r="B61">
        <v>2.3802E-2</v>
      </c>
      <c r="D61" s="24">
        <f>'Reserve Analysis'!$U$10*'Special Assement by Unit'!B61</f>
        <v>26491.626</v>
      </c>
      <c r="F61" s="50">
        <f t="shared" si="4"/>
        <v>3311.45325</v>
      </c>
    </row>
    <row r="62" spans="1:6" x14ac:dyDescent="0.25">
      <c r="A62" s="29" t="s">
        <v>60</v>
      </c>
      <c r="B62">
        <v>5.5683000000000003E-2</v>
      </c>
      <c r="D62" s="24">
        <f>'Reserve Analysis'!$U$10*'Special Assement by Unit'!B62</f>
        <v>61975.179000000004</v>
      </c>
      <c r="F62" s="50">
        <f t="shared" si="4"/>
        <v>7746.8973750000005</v>
      </c>
    </row>
    <row r="63" spans="1:6" x14ac:dyDescent="0.25">
      <c r="A63" s="29" t="s">
        <v>61</v>
      </c>
      <c r="B63">
        <v>6.5582000000000001E-2</v>
      </c>
      <c r="D63" s="24">
        <f>'Reserve Analysis'!$U$10*'Special Assement by Unit'!B63</f>
        <v>72992.766000000003</v>
      </c>
      <c r="F63" s="50">
        <f t="shared" si="4"/>
        <v>9124.0957500000004</v>
      </c>
    </row>
    <row r="64" spans="1:6" x14ac:dyDescent="0.25">
      <c r="A64" s="29" t="s">
        <v>62</v>
      </c>
      <c r="B64">
        <v>9.4168000000000002E-2</v>
      </c>
      <c r="D64" s="24">
        <f>'Reserve Analysis'!$U$10*'Special Assement by Unit'!B64</f>
        <v>104808.984</v>
      </c>
      <c r="F64" s="50">
        <f t="shared" si="4"/>
        <v>13101.123</v>
      </c>
    </row>
    <row r="65" spans="1:6" x14ac:dyDescent="0.25">
      <c r="A65" s="29" t="s">
        <v>63</v>
      </c>
      <c r="B65">
        <v>2.3802E-2</v>
      </c>
      <c r="D65" s="24">
        <f>'Reserve Analysis'!$U$10*'Special Assement by Unit'!B65</f>
        <v>26491.626</v>
      </c>
      <c r="F65" s="50">
        <f t="shared" si="4"/>
        <v>3311.45325</v>
      </c>
    </row>
    <row r="66" spans="1:6" x14ac:dyDescent="0.25">
      <c r="A66" s="29" t="s">
        <v>64</v>
      </c>
      <c r="B66">
        <v>7.6575000000000004E-2</v>
      </c>
      <c r="D66" s="24">
        <f>'Reserve Analysis'!$U$10*'Special Assement by Unit'!B66</f>
        <v>85227.975000000006</v>
      </c>
      <c r="F66" s="50">
        <f t="shared" si="4"/>
        <v>10653.496875000001</v>
      </c>
    </row>
    <row r="67" spans="1:6" x14ac:dyDescent="0.25">
      <c r="A67" s="29" t="s">
        <v>65</v>
      </c>
      <c r="B67">
        <v>8.7958999999999996E-2</v>
      </c>
      <c r="D67" s="24">
        <f>'Reserve Analysis'!$U$10*'Special Assement by Unit'!B67</f>
        <v>97898.366999999998</v>
      </c>
      <c r="F67" s="50">
        <f t="shared" si="4"/>
        <v>12237.295875</v>
      </c>
    </row>
    <row r="68" spans="1:6" x14ac:dyDescent="0.25">
      <c r="A68" s="29" t="s">
        <v>66</v>
      </c>
      <c r="B68">
        <v>0.11221100000000001</v>
      </c>
      <c r="D68" s="24">
        <f>'Reserve Analysis'!$U$10*'Special Assement by Unit'!B68</f>
        <v>124890.84300000001</v>
      </c>
      <c r="F68" s="50">
        <f t="shared" si="4"/>
        <v>15611.355375000001</v>
      </c>
    </row>
    <row r="69" spans="1:6" x14ac:dyDescent="0.25">
      <c r="A69" s="29" t="s">
        <v>3</v>
      </c>
      <c r="B69" s="30">
        <f>SUM(B53:B68)</f>
        <v>1.0000009999999999</v>
      </c>
      <c r="D69" s="39">
        <f>SUM(D54:D68)</f>
        <v>1113001.1129999999</v>
      </c>
    </row>
    <row r="70" spans="1:6" x14ac:dyDescent="0.25">
      <c r="A70" s="29"/>
      <c r="B70" s="31"/>
    </row>
    <row r="71" spans="1:6" x14ac:dyDescent="0.25">
      <c r="A71" s="29" t="s">
        <v>67</v>
      </c>
    </row>
    <row r="72" spans="1:6" x14ac:dyDescent="0.25">
      <c r="A72" s="29" t="s">
        <v>68</v>
      </c>
      <c r="B72">
        <v>3.4483E-2</v>
      </c>
      <c r="D72" s="24">
        <f>'Reserve Analysis'!$U$11*'Special Assement by Unit'!B72</f>
        <v>4758.6539999999995</v>
      </c>
      <c r="F72" s="50">
        <f t="shared" ref="F72:F98" si="5">$D72/F$4</f>
        <v>594.83174999999994</v>
      </c>
    </row>
    <row r="73" spans="1:6" x14ac:dyDescent="0.25">
      <c r="A73" s="29" t="s">
        <v>40</v>
      </c>
      <c r="B73">
        <v>3.4483E-2</v>
      </c>
      <c r="D73" s="24">
        <f>'Reserve Analysis'!$U$11*'Special Assement by Unit'!B73</f>
        <v>4758.6539999999995</v>
      </c>
      <c r="F73" s="50">
        <f t="shared" si="5"/>
        <v>594.83174999999994</v>
      </c>
    </row>
    <row r="74" spans="1:6" x14ac:dyDescent="0.25">
      <c r="A74" s="29" t="s">
        <v>41</v>
      </c>
      <c r="B74">
        <v>-3.4483E-2</v>
      </c>
      <c r="D74" s="24">
        <f>'Reserve Analysis'!$U$11*'Special Assement by Unit'!B74</f>
        <v>-4758.6539999999995</v>
      </c>
      <c r="F74" s="50">
        <f t="shared" si="5"/>
        <v>-594.83174999999994</v>
      </c>
    </row>
    <row r="75" spans="1:6" x14ac:dyDescent="0.25">
      <c r="A75" s="29" t="s">
        <v>42</v>
      </c>
      <c r="B75">
        <v>3.4483E-2</v>
      </c>
      <c r="D75" s="24">
        <f>'Reserve Analysis'!$U$11*'Special Assement by Unit'!B75</f>
        <v>4758.6539999999995</v>
      </c>
      <c r="F75" s="50">
        <f t="shared" si="5"/>
        <v>594.83174999999994</v>
      </c>
    </row>
    <row r="76" spans="1:6" x14ac:dyDescent="0.25">
      <c r="A76" s="29" t="s">
        <v>69</v>
      </c>
      <c r="B76">
        <v>3.4483E-2</v>
      </c>
      <c r="D76" s="24">
        <f>'Reserve Analysis'!$U$11*'Special Assement by Unit'!B76</f>
        <v>4758.6539999999995</v>
      </c>
      <c r="F76" s="50">
        <f t="shared" si="5"/>
        <v>594.83174999999994</v>
      </c>
    </row>
    <row r="77" spans="1:6" x14ac:dyDescent="0.25">
      <c r="A77" s="29" t="s">
        <v>70</v>
      </c>
      <c r="B77">
        <v>3.4483E-2</v>
      </c>
      <c r="D77" s="24">
        <f>'Reserve Analysis'!$U$11*'Special Assement by Unit'!B77</f>
        <v>4758.6539999999995</v>
      </c>
      <c r="F77" s="50">
        <f t="shared" si="5"/>
        <v>594.83174999999994</v>
      </c>
    </row>
    <row r="78" spans="1:6" x14ac:dyDescent="0.25">
      <c r="A78" s="29" t="s">
        <v>71</v>
      </c>
      <c r="B78">
        <v>3.4483E-2</v>
      </c>
      <c r="D78" s="24">
        <f>'Reserve Analysis'!$U$11*'Special Assement by Unit'!B78</f>
        <v>4758.6539999999995</v>
      </c>
      <c r="F78" s="50">
        <f t="shared" si="5"/>
        <v>594.83174999999994</v>
      </c>
    </row>
    <row r="79" spans="1:6" x14ac:dyDescent="0.25">
      <c r="A79" s="29" t="s">
        <v>10</v>
      </c>
      <c r="B79">
        <v>3.4483E-2</v>
      </c>
      <c r="D79" s="24">
        <f>'Reserve Analysis'!$U$11*'Special Assement by Unit'!B79</f>
        <v>4758.6539999999995</v>
      </c>
      <c r="F79" s="50">
        <f t="shared" si="5"/>
        <v>594.83174999999994</v>
      </c>
    </row>
    <row r="80" spans="1:6" x14ac:dyDescent="0.25">
      <c r="A80" s="29" t="s">
        <v>11</v>
      </c>
      <c r="B80">
        <v>3.4483E-2</v>
      </c>
      <c r="D80" s="24">
        <f>'Reserve Analysis'!$U$11*'Special Assement by Unit'!B80</f>
        <v>4758.6539999999995</v>
      </c>
      <c r="F80" s="50">
        <f t="shared" si="5"/>
        <v>594.83174999999994</v>
      </c>
    </row>
    <row r="81" spans="1:6" x14ac:dyDescent="0.25">
      <c r="A81" s="29" t="s">
        <v>12</v>
      </c>
      <c r="B81">
        <v>3.4483E-2</v>
      </c>
      <c r="D81" s="24">
        <f>'Reserve Analysis'!$U$11*'Special Assement by Unit'!B81</f>
        <v>4758.6539999999995</v>
      </c>
      <c r="F81" s="50">
        <f t="shared" si="5"/>
        <v>594.83174999999994</v>
      </c>
    </row>
    <row r="82" spans="1:6" x14ac:dyDescent="0.25">
      <c r="A82" s="29" t="s">
        <v>15</v>
      </c>
      <c r="B82">
        <v>3.4483E-2</v>
      </c>
      <c r="D82" s="24">
        <f>'Reserve Analysis'!$U$11*'Special Assement by Unit'!B82</f>
        <v>4758.6539999999995</v>
      </c>
      <c r="F82" s="50">
        <f t="shared" si="5"/>
        <v>594.83174999999994</v>
      </c>
    </row>
    <row r="83" spans="1:6" x14ac:dyDescent="0.25">
      <c r="A83" s="29" t="s">
        <v>16</v>
      </c>
      <c r="B83">
        <v>3.4483E-2</v>
      </c>
      <c r="D83" s="24">
        <f>'Reserve Analysis'!$U$11*'Special Assement by Unit'!B83</f>
        <v>4758.6539999999995</v>
      </c>
      <c r="F83" s="50">
        <f t="shared" si="5"/>
        <v>594.83174999999994</v>
      </c>
    </row>
    <row r="84" spans="1:6" x14ac:dyDescent="0.25">
      <c r="A84" s="29" t="s">
        <v>17</v>
      </c>
      <c r="B84">
        <v>3.4483E-2</v>
      </c>
      <c r="D84" s="24">
        <f>'Reserve Analysis'!$U$11*'Special Assement by Unit'!B84</f>
        <v>4758.6539999999995</v>
      </c>
      <c r="F84" s="50">
        <f t="shared" si="5"/>
        <v>594.83174999999994</v>
      </c>
    </row>
    <row r="85" spans="1:6" x14ac:dyDescent="0.25">
      <c r="A85" s="29" t="s">
        <v>20</v>
      </c>
      <c r="B85">
        <v>3.4483E-2</v>
      </c>
      <c r="D85" s="24">
        <f>'Reserve Analysis'!$U$11*'Special Assement by Unit'!B85</f>
        <v>4758.6539999999995</v>
      </c>
      <c r="F85" s="50">
        <f t="shared" si="5"/>
        <v>594.83174999999994</v>
      </c>
    </row>
    <row r="86" spans="1:6" x14ac:dyDescent="0.25">
      <c r="A86" s="29" t="s">
        <v>23</v>
      </c>
      <c r="B86">
        <v>3.4483E-2</v>
      </c>
      <c r="D86" s="24">
        <f>'Reserve Analysis'!$U$11*'Special Assement by Unit'!B86</f>
        <v>4758.6539999999995</v>
      </c>
      <c r="F86" s="50">
        <f t="shared" si="5"/>
        <v>594.83174999999994</v>
      </c>
    </row>
    <row r="87" spans="1:6" x14ac:dyDescent="0.25">
      <c r="A87" s="29" t="s">
        <v>24</v>
      </c>
      <c r="B87">
        <v>3.4483E-2</v>
      </c>
      <c r="D87" s="24">
        <f>'Reserve Analysis'!$U$11*'Special Assement by Unit'!B87</f>
        <v>4758.6539999999995</v>
      </c>
      <c r="F87" s="50">
        <f t="shared" si="5"/>
        <v>594.83174999999994</v>
      </c>
    </row>
    <row r="88" spans="1:6" x14ac:dyDescent="0.25">
      <c r="A88" s="29" t="s">
        <v>25</v>
      </c>
      <c r="B88">
        <v>3.4483E-2</v>
      </c>
      <c r="D88" s="24">
        <f>'Reserve Analysis'!$U$11*'Special Assement by Unit'!B88</f>
        <v>4758.6539999999995</v>
      </c>
      <c r="F88" s="50">
        <f t="shared" si="5"/>
        <v>594.83174999999994</v>
      </c>
    </row>
    <row r="89" spans="1:6" x14ac:dyDescent="0.25">
      <c r="A89" s="29" t="s">
        <v>33</v>
      </c>
      <c r="B89">
        <v>3.4483E-2</v>
      </c>
      <c r="D89" s="24">
        <f>'Reserve Analysis'!$U$11*'Special Assement by Unit'!B89</f>
        <v>4758.6539999999995</v>
      </c>
      <c r="F89" s="50">
        <f t="shared" si="5"/>
        <v>594.83174999999994</v>
      </c>
    </row>
    <row r="90" spans="1:6" x14ac:dyDescent="0.25">
      <c r="A90" s="29" t="s">
        <v>35</v>
      </c>
      <c r="B90">
        <v>3.4483E-2</v>
      </c>
      <c r="D90" s="24">
        <f>'Reserve Analysis'!$U$11*'Special Assement by Unit'!B90</f>
        <v>4758.6539999999995</v>
      </c>
      <c r="F90" s="50">
        <f t="shared" si="5"/>
        <v>594.83174999999994</v>
      </c>
    </row>
    <row r="91" spans="1:6" x14ac:dyDescent="0.25">
      <c r="A91" s="29" t="s">
        <v>36</v>
      </c>
      <c r="B91">
        <v>3.4483E-2</v>
      </c>
      <c r="D91" s="24">
        <f>'Reserve Analysis'!$U$11*'Special Assement by Unit'!B91</f>
        <v>4758.6539999999995</v>
      </c>
      <c r="F91" s="50">
        <f t="shared" si="5"/>
        <v>594.83174999999994</v>
      </c>
    </row>
    <row r="92" spans="1:6" x14ac:dyDescent="0.25">
      <c r="A92" s="29" t="s">
        <v>59</v>
      </c>
      <c r="B92">
        <v>3.4483E-2</v>
      </c>
      <c r="D92" s="24">
        <f>'Reserve Analysis'!$U$11*'Special Assement by Unit'!B92</f>
        <v>4758.6539999999995</v>
      </c>
      <c r="F92" s="50">
        <f t="shared" si="5"/>
        <v>594.83174999999994</v>
      </c>
    </row>
    <row r="93" spans="1:6" x14ac:dyDescent="0.25">
      <c r="A93" s="29" t="s">
        <v>60</v>
      </c>
      <c r="B93">
        <v>3.4483E-2</v>
      </c>
      <c r="D93" s="24">
        <f>'Reserve Analysis'!$U$11*'Special Assement by Unit'!B93</f>
        <v>4758.6539999999995</v>
      </c>
      <c r="F93" s="50">
        <f t="shared" si="5"/>
        <v>594.83174999999994</v>
      </c>
    </row>
    <row r="94" spans="1:6" x14ac:dyDescent="0.25">
      <c r="A94" s="29" t="s">
        <v>61</v>
      </c>
      <c r="B94">
        <v>3.4483E-2</v>
      </c>
      <c r="D94" s="24">
        <f>'Reserve Analysis'!$U$11*'Special Assement by Unit'!B94</f>
        <v>4758.6539999999995</v>
      </c>
      <c r="F94" s="50">
        <f t="shared" si="5"/>
        <v>594.83174999999994</v>
      </c>
    </row>
    <row r="95" spans="1:6" x14ac:dyDescent="0.25">
      <c r="A95" s="29" t="s">
        <v>63</v>
      </c>
      <c r="B95">
        <v>3.4483E-2</v>
      </c>
      <c r="C95" s="24" t="s">
        <v>72</v>
      </c>
      <c r="D95" s="24">
        <f>'Reserve Analysis'!$U$11*'Special Assement by Unit'!B95</f>
        <v>4758.6539999999995</v>
      </c>
      <c r="F95" s="50">
        <f t="shared" si="5"/>
        <v>594.83174999999994</v>
      </c>
    </row>
    <row r="96" spans="1:6" x14ac:dyDescent="0.25">
      <c r="A96" s="29" t="s">
        <v>66</v>
      </c>
      <c r="B96">
        <v>6.8966E-2</v>
      </c>
      <c r="D96" s="24">
        <f>'Reserve Analysis'!$U$11*'Special Assement by Unit'!B96</f>
        <v>9517.3079999999991</v>
      </c>
      <c r="F96" s="50">
        <f t="shared" si="5"/>
        <v>1189.6634999999999</v>
      </c>
    </row>
    <row r="97" spans="1:7" x14ac:dyDescent="0.25">
      <c r="A97" s="29" t="s">
        <v>73</v>
      </c>
      <c r="B97">
        <v>3.4483E-2</v>
      </c>
      <c r="D97" s="24">
        <f>'Reserve Analysis'!$U$11*'Special Assement by Unit'!B97</f>
        <v>4758.6539999999995</v>
      </c>
      <c r="F97" s="50">
        <f t="shared" si="5"/>
        <v>594.83174999999994</v>
      </c>
    </row>
    <row r="98" spans="1:7" x14ac:dyDescent="0.25">
      <c r="A98" s="29" t="s">
        <v>74</v>
      </c>
      <c r="B98">
        <v>0.137931</v>
      </c>
      <c r="D98" s="24">
        <f>'Reserve Analysis'!$U$11*'Special Assement by Unit'!B98</f>
        <v>19034.477999999999</v>
      </c>
      <c r="F98" s="50">
        <f t="shared" si="5"/>
        <v>2379.3097499999999</v>
      </c>
    </row>
    <row r="99" spans="1:7" x14ac:dyDescent="0.25">
      <c r="A99" s="29" t="s">
        <v>3</v>
      </c>
      <c r="B99" s="30">
        <f>SUM(B72:B98)</f>
        <v>1.0000060000000002</v>
      </c>
      <c r="D99" s="39">
        <f>SUM(D72:D98)</f>
        <v>138000.82799999995</v>
      </c>
      <c r="F99" s="82">
        <f t="shared" ref="F99" si="6">SUM(F6:F98)</f>
        <v>573499.93675000034</v>
      </c>
    </row>
    <row r="100" spans="1:7" x14ac:dyDescent="0.25">
      <c r="A100" s="29"/>
      <c r="F100" s="50"/>
    </row>
    <row r="101" spans="1:7" x14ac:dyDescent="0.25">
      <c r="A101" s="29"/>
    </row>
    <row r="102" spans="1:7" x14ac:dyDescent="0.25">
      <c r="A102" s="29" t="s">
        <v>37</v>
      </c>
      <c r="D102" s="24">
        <f>D18+D37+D51+D69+D99</f>
        <v>4587999.4939999999</v>
      </c>
      <c r="F102">
        <v>6</v>
      </c>
      <c r="G102" t="s">
        <v>127</v>
      </c>
    </row>
    <row r="103" spans="1:7" x14ac:dyDescent="0.25">
      <c r="A103" s="29"/>
      <c r="F103" s="80">
        <f>F99*F102</f>
        <v>3440999.6205000021</v>
      </c>
      <c r="G103" t="s">
        <v>129</v>
      </c>
    </row>
    <row r="104" spans="1:7" x14ac:dyDescent="0.25">
      <c r="F104" s="81">
        <f>F103/('Reserve Analysis'!U13-'Reserve Analysis'!G14)</f>
        <v>0.79030710586488051</v>
      </c>
      <c r="G104" t="s">
        <v>128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DBD3-69B0-430B-93D0-1B1D28A3C753}">
  <dimension ref="A1:O19"/>
  <sheetViews>
    <sheetView workbookViewId="0">
      <pane xSplit="4" ySplit="3" topLeftCell="L4" activePane="bottomRight" state="frozen"/>
      <selection pane="topRight" activeCell="E1" sqref="E1"/>
      <selection pane="bottomLeft" activeCell="A4" sqref="A4"/>
      <selection pane="bottomRight" activeCell="N5" sqref="N5"/>
    </sheetView>
  </sheetViews>
  <sheetFormatPr defaultRowHeight="15" x14ac:dyDescent="0.25"/>
  <cols>
    <col min="1" max="1" width="52.85546875" customWidth="1"/>
    <col min="2" max="4" width="18.28515625" bestFit="1" customWidth="1"/>
    <col min="5" max="8" width="16.5703125" bestFit="1" customWidth="1"/>
    <col min="9" max="10" width="15" bestFit="1" customWidth="1"/>
    <col min="11" max="11" width="16.5703125" bestFit="1" customWidth="1"/>
    <col min="12" max="13" width="15" bestFit="1" customWidth="1"/>
    <col min="14" max="14" width="18.28515625" bestFit="1" customWidth="1"/>
    <col min="15" max="15" width="46.7109375" bestFit="1" customWidth="1"/>
  </cols>
  <sheetData>
    <row r="1" spans="1:15" x14ac:dyDescent="0.25">
      <c r="A1" s="51" t="s">
        <v>84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52"/>
    </row>
    <row r="2" spans="1:15" x14ac:dyDescent="0.25">
      <c r="A2" s="54" t="s">
        <v>85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52"/>
    </row>
    <row r="3" spans="1:15" ht="42.75" x14ac:dyDescent="0.25">
      <c r="A3" s="55" t="s">
        <v>86</v>
      </c>
      <c r="B3" s="56" t="s">
        <v>87</v>
      </c>
      <c r="C3" s="57" t="s">
        <v>88</v>
      </c>
      <c r="D3" s="58" t="s">
        <v>89</v>
      </c>
      <c r="E3" s="59" t="s">
        <v>90</v>
      </c>
      <c r="F3" s="60" t="s">
        <v>91</v>
      </c>
      <c r="G3" s="61" t="s">
        <v>92</v>
      </c>
      <c r="H3" s="62" t="s">
        <v>93</v>
      </c>
      <c r="I3" s="62" t="s">
        <v>94</v>
      </c>
      <c r="J3" s="62" t="s">
        <v>95</v>
      </c>
      <c r="K3" s="62" t="s">
        <v>96</v>
      </c>
      <c r="L3" s="62" t="s">
        <v>97</v>
      </c>
      <c r="M3" s="62" t="s">
        <v>98</v>
      </c>
      <c r="N3" s="57" t="s">
        <v>99</v>
      </c>
      <c r="O3" s="63" t="s">
        <v>100</v>
      </c>
    </row>
    <row r="4" spans="1:15" x14ac:dyDescent="0.25">
      <c r="A4" s="64" t="s">
        <v>101</v>
      </c>
      <c r="B4" s="65">
        <v>487296</v>
      </c>
      <c r="C4" s="65">
        <v>322219.74</v>
      </c>
      <c r="D4" s="66">
        <f>SUM(D5:D16)</f>
        <v>328509.74</v>
      </c>
      <c r="E4" s="67">
        <f t="shared" ref="E4:M4" si="0">SUM(E5:E16)</f>
        <v>12066.25</v>
      </c>
      <c r="F4" s="67">
        <f t="shared" si="0"/>
        <v>10653.75</v>
      </c>
      <c r="G4" s="67">
        <f t="shared" si="0"/>
        <v>24213.4</v>
      </c>
      <c r="H4" s="67">
        <f t="shared" si="0"/>
        <v>31371.25</v>
      </c>
      <c r="I4" s="67">
        <f t="shared" si="0"/>
        <v>5433.75</v>
      </c>
      <c r="J4" s="67">
        <f t="shared" si="0"/>
        <v>4295.99</v>
      </c>
      <c r="K4" s="67">
        <f t="shared" si="0"/>
        <v>3469.74</v>
      </c>
      <c r="L4" s="67">
        <f t="shared" si="0"/>
        <v>4370</v>
      </c>
      <c r="M4" s="67">
        <f t="shared" si="0"/>
        <v>8268.75</v>
      </c>
      <c r="N4" s="68">
        <f>SUM(N5:N16)</f>
        <v>224366.86</v>
      </c>
      <c r="O4" s="69"/>
    </row>
    <row r="5" spans="1:15" x14ac:dyDescent="0.25">
      <c r="A5" s="56" t="s">
        <v>102</v>
      </c>
      <c r="B5" s="70">
        <v>157855</v>
      </c>
      <c r="C5" s="70">
        <v>106286.25</v>
      </c>
      <c r="D5" s="71">
        <f>C5</f>
        <v>106286.25</v>
      </c>
      <c r="E5" s="72">
        <v>4657.5</v>
      </c>
      <c r="F5" s="73">
        <v>2817.5</v>
      </c>
      <c r="G5" s="70">
        <v>5911.25</v>
      </c>
      <c r="H5" s="70">
        <v>2231.25</v>
      </c>
      <c r="I5" s="70">
        <v>4748.75</v>
      </c>
      <c r="J5" s="70">
        <v>3861.25</v>
      </c>
      <c r="K5" s="70">
        <v>3035</v>
      </c>
      <c r="L5" s="70">
        <v>3775</v>
      </c>
      <c r="M5" s="70">
        <v>7211.25</v>
      </c>
      <c r="N5" s="70">
        <f>D5-SUM(E5:M5)</f>
        <v>68037.5</v>
      </c>
      <c r="O5" s="69"/>
    </row>
    <row r="6" spans="1:15" x14ac:dyDescent="0.25">
      <c r="A6" s="56" t="s">
        <v>103</v>
      </c>
      <c r="B6" s="70">
        <v>45000</v>
      </c>
      <c r="C6" s="70">
        <v>15297.49</v>
      </c>
      <c r="D6" s="71">
        <f t="shared" ref="D6:D15" si="1">C6</f>
        <v>15297.49</v>
      </c>
      <c r="E6" s="72">
        <v>2977.5</v>
      </c>
      <c r="F6" s="73">
        <v>1737.5</v>
      </c>
      <c r="G6" s="70">
        <v>1338.41</v>
      </c>
      <c r="H6" s="73">
        <v>0</v>
      </c>
      <c r="I6" s="73">
        <v>0</v>
      </c>
      <c r="J6" s="73">
        <v>0</v>
      </c>
      <c r="K6" s="73">
        <v>0</v>
      </c>
      <c r="L6" s="70">
        <v>175</v>
      </c>
      <c r="M6" s="70">
        <v>637.5</v>
      </c>
      <c r="N6" s="70">
        <f t="shared" ref="N6:N16" si="2">D6-SUM(E6:M6)</f>
        <v>8431.58</v>
      </c>
      <c r="O6" s="69"/>
    </row>
    <row r="7" spans="1:15" x14ac:dyDescent="0.25">
      <c r="A7" s="56" t="s">
        <v>104</v>
      </c>
      <c r="B7" s="70">
        <v>0</v>
      </c>
      <c r="C7" s="70">
        <v>4600</v>
      </c>
      <c r="D7" s="71">
        <f t="shared" si="1"/>
        <v>4600</v>
      </c>
      <c r="E7" s="72">
        <v>0</v>
      </c>
      <c r="F7" s="73">
        <v>0</v>
      </c>
      <c r="G7" s="70">
        <v>4539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0">
        <f t="shared" si="2"/>
        <v>61</v>
      </c>
      <c r="O7" s="69"/>
    </row>
    <row r="8" spans="1:15" x14ac:dyDescent="0.25">
      <c r="A8" s="56" t="s">
        <v>105</v>
      </c>
      <c r="B8" s="70">
        <v>10200</v>
      </c>
      <c r="C8" s="70">
        <v>10200</v>
      </c>
      <c r="D8" s="71">
        <f t="shared" si="1"/>
        <v>10200</v>
      </c>
      <c r="E8" s="72">
        <v>0</v>
      </c>
      <c r="F8" s="73">
        <v>300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0">
        <f t="shared" si="2"/>
        <v>9900</v>
      </c>
      <c r="O8" s="69"/>
    </row>
    <row r="9" spans="1:15" x14ac:dyDescent="0.25">
      <c r="A9" s="56" t="s">
        <v>106</v>
      </c>
      <c r="B9" s="70">
        <v>5000</v>
      </c>
      <c r="C9" s="70">
        <v>5000</v>
      </c>
      <c r="D9" s="71">
        <f t="shared" si="1"/>
        <v>5000</v>
      </c>
      <c r="E9" s="72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0">
        <f t="shared" si="2"/>
        <v>5000</v>
      </c>
      <c r="O9" s="69"/>
    </row>
    <row r="10" spans="1:15" x14ac:dyDescent="0.25">
      <c r="A10" s="56" t="s">
        <v>107</v>
      </c>
      <c r="B10" s="70">
        <v>62461</v>
      </c>
      <c r="C10" s="70">
        <v>0</v>
      </c>
      <c r="D10" s="71">
        <f t="shared" si="1"/>
        <v>0</v>
      </c>
      <c r="E10" s="72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0">
        <f t="shared" si="2"/>
        <v>0</v>
      </c>
      <c r="O10" s="69"/>
    </row>
    <row r="11" spans="1:15" x14ac:dyDescent="0.25">
      <c r="A11" s="56" t="s">
        <v>108</v>
      </c>
      <c r="B11" s="70">
        <v>139380</v>
      </c>
      <c r="C11" s="70">
        <v>111892.25</v>
      </c>
      <c r="D11" s="71">
        <f t="shared" si="1"/>
        <v>111892.25</v>
      </c>
      <c r="E11" s="72">
        <v>1987.5</v>
      </c>
      <c r="F11" s="73">
        <v>3798.75</v>
      </c>
      <c r="G11" s="70">
        <v>8224.74</v>
      </c>
      <c r="H11" s="70">
        <v>15340</v>
      </c>
      <c r="I11" s="70">
        <v>685</v>
      </c>
      <c r="J11" s="70">
        <v>434.74</v>
      </c>
      <c r="K11" s="70">
        <v>434.74</v>
      </c>
      <c r="L11" s="70">
        <v>420</v>
      </c>
      <c r="M11" s="73">
        <v>420</v>
      </c>
      <c r="N11" s="70">
        <f t="shared" si="2"/>
        <v>80146.78</v>
      </c>
      <c r="O11" s="69"/>
    </row>
    <row r="12" spans="1:15" x14ac:dyDescent="0.25">
      <c r="A12" s="56" t="s">
        <v>109</v>
      </c>
      <c r="B12" s="70">
        <v>61000</v>
      </c>
      <c r="C12" s="70">
        <v>63443.75</v>
      </c>
      <c r="D12" s="71">
        <f t="shared" si="1"/>
        <v>63443.75</v>
      </c>
      <c r="E12" s="72">
        <v>2443.75</v>
      </c>
      <c r="F12" s="73">
        <v>2000</v>
      </c>
      <c r="G12" s="70">
        <v>4200</v>
      </c>
      <c r="H12" s="70">
        <v>13800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0">
        <f t="shared" si="2"/>
        <v>41000</v>
      </c>
      <c r="O12" s="69"/>
    </row>
    <row r="13" spans="1:15" x14ac:dyDescent="0.25">
      <c r="A13" s="56" t="s">
        <v>110</v>
      </c>
      <c r="B13" s="70">
        <v>3000</v>
      </c>
      <c r="C13" s="70">
        <v>3000</v>
      </c>
      <c r="D13" s="71">
        <f t="shared" si="1"/>
        <v>3000</v>
      </c>
      <c r="E13" s="72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0">
        <f t="shared" si="2"/>
        <v>3000</v>
      </c>
      <c r="O13" s="69"/>
    </row>
    <row r="14" spans="1:15" x14ac:dyDescent="0.25">
      <c r="A14" s="56" t="s">
        <v>111</v>
      </c>
      <c r="B14" s="70">
        <v>2400</v>
      </c>
      <c r="C14" s="70">
        <v>1500</v>
      </c>
      <c r="D14" s="71">
        <f t="shared" si="1"/>
        <v>1500</v>
      </c>
      <c r="E14" s="72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0">
        <f t="shared" si="2"/>
        <v>1500</v>
      </c>
      <c r="O14" s="69"/>
    </row>
    <row r="15" spans="1:15" x14ac:dyDescent="0.25">
      <c r="A15" s="56" t="s">
        <v>112</v>
      </c>
      <c r="B15" s="70">
        <v>1000</v>
      </c>
      <c r="C15" s="70">
        <v>1000</v>
      </c>
      <c r="D15" s="71">
        <f t="shared" si="1"/>
        <v>1000</v>
      </c>
      <c r="E15" s="72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0">
        <f t="shared" si="2"/>
        <v>1000</v>
      </c>
      <c r="O15" s="69"/>
    </row>
    <row r="16" spans="1:15" x14ac:dyDescent="0.25">
      <c r="A16" s="56" t="s">
        <v>113</v>
      </c>
      <c r="B16" s="70">
        <v>6290</v>
      </c>
      <c r="C16" s="70">
        <v>6290</v>
      </c>
      <c r="D16" s="71">
        <f>C16</f>
        <v>6290</v>
      </c>
      <c r="E16" s="72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0">
        <f t="shared" si="2"/>
        <v>6290</v>
      </c>
      <c r="O16" s="69"/>
    </row>
    <row r="17" spans="1:15" ht="28.5" x14ac:dyDescent="0.25">
      <c r="A17" s="74" t="s">
        <v>114</v>
      </c>
      <c r="B17" s="65">
        <v>30740</v>
      </c>
      <c r="C17" s="65">
        <v>30740</v>
      </c>
      <c r="D17" s="66">
        <f>C17-D16</f>
        <v>24450</v>
      </c>
      <c r="E17" s="75">
        <v>0</v>
      </c>
      <c r="F17" s="76">
        <v>0</v>
      </c>
      <c r="G17" s="65">
        <v>-9490</v>
      </c>
      <c r="H17" s="76">
        <v>0</v>
      </c>
      <c r="I17" s="76">
        <v>0</v>
      </c>
      <c r="J17" s="76">
        <v>0</v>
      </c>
      <c r="K17" s="65">
        <v>-5330</v>
      </c>
      <c r="L17" s="76">
        <v>0</v>
      </c>
      <c r="M17" s="68"/>
      <c r="N17" s="68">
        <f>D17+SUM(E17:M17)</f>
        <v>9630</v>
      </c>
      <c r="O17" s="77" t="s">
        <v>115</v>
      </c>
    </row>
    <row r="18" spans="1:15" ht="28.5" x14ac:dyDescent="0.25">
      <c r="A18" s="78" t="s">
        <v>116</v>
      </c>
      <c r="B18" s="66">
        <f>B4+B17</f>
        <v>518036</v>
      </c>
      <c r="C18" s="66"/>
      <c r="D18" s="66">
        <f>D4+D17</f>
        <v>352959.74</v>
      </c>
      <c r="E18" s="66">
        <f t="shared" ref="E18:N18" si="3">E4+E17</f>
        <v>12066.25</v>
      </c>
      <c r="F18" s="66">
        <f t="shared" si="3"/>
        <v>10653.75</v>
      </c>
      <c r="G18" s="66">
        <f t="shared" si="3"/>
        <v>14723.400000000001</v>
      </c>
      <c r="H18" s="66">
        <f t="shared" si="3"/>
        <v>31371.25</v>
      </c>
      <c r="I18" s="66">
        <f t="shared" si="3"/>
        <v>5433.75</v>
      </c>
      <c r="J18" s="66">
        <f t="shared" si="3"/>
        <v>4295.99</v>
      </c>
      <c r="K18" s="66">
        <f t="shared" si="3"/>
        <v>-1860.2600000000002</v>
      </c>
      <c r="L18" s="66">
        <f t="shared" si="3"/>
        <v>4370</v>
      </c>
      <c r="M18" s="66">
        <f t="shared" si="3"/>
        <v>8268.75</v>
      </c>
      <c r="N18" s="66">
        <f t="shared" si="3"/>
        <v>233996.86</v>
      </c>
      <c r="O18" s="79"/>
    </row>
    <row r="19" spans="1:15" x14ac:dyDescent="0.25">
      <c r="A19" s="54" t="s">
        <v>117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0C5-84B4-42AF-B1D1-2FEA3CE5542D}">
  <dimension ref="A1:K16"/>
  <sheetViews>
    <sheetView workbookViewId="0"/>
  </sheetViews>
  <sheetFormatPr defaultColWidth="9" defaultRowHeight="15" x14ac:dyDescent="0.25"/>
  <cols>
    <col min="2" max="2" width="11.5703125" customWidth="1"/>
    <col min="3" max="5" width="16.85546875" customWidth="1"/>
    <col min="6" max="6" width="11.7109375" customWidth="1"/>
    <col min="7" max="7" width="12.7109375" customWidth="1"/>
    <col min="8" max="8" width="15.42578125" customWidth="1"/>
    <col min="9" max="9" width="14.42578125" customWidth="1"/>
    <col min="10" max="10" width="10.7109375" bestFit="1" customWidth="1"/>
  </cols>
  <sheetData>
    <row r="1" spans="1:11" x14ac:dyDescent="0.25">
      <c r="A1" t="s">
        <v>0</v>
      </c>
    </row>
    <row r="2" spans="1:11" x14ac:dyDescent="0.25">
      <c r="A2" t="s">
        <v>4</v>
      </c>
    </row>
    <row r="4" spans="1:11" s="3" customFormat="1" x14ac:dyDescent="0.25">
      <c r="A4" s="3" t="s">
        <v>75</v>
      </c>
      <c r="B4" s="3" t="s">
        <v>76</v>
      </c>
      <c r="G4"/>
      <c r="H4"/>
      <c r="I4"/>
      <c r="J4"/>
    </row>
    <row r="5" spans="1:11" s="3" customFormat="1" ht="30" x14ac:dyDescent="0.25">
      <c r="A5" s="3" t="s">
        <v>1</v>
      </c>
      <c r="B5" s="41" t="s">
        <v>77</v>
      </c>
      <c r="C5" s="4"/>
      <c r="D5" s="4"/>
      <c r="E5" s="4"/>
      <c r="F5" s="4"/>
      <c r="G5"/>
      <c r="H5"/>
      <c r="I5"/>
      <c r="J5"/>
      <c r="K5" s="42"/>
    </row>
    <row r="6" spans="1:11" x14ac:dyDescent="0.25">
      <c r="B6" s="43"/>
    </row>
    <row r="7" spans="1:11" x14ac:dyDescent="0.25">
      <c r="B7" s="43"/>
    </row>
    <row r="8" spans="1:11" x14ac:dyDescent="0.25">
      <c r="A8" s="44" t="s">
        <v>2</v>
      </c>
      <c r="B8" s="43">
        <v>0.21579999999999999</v>
      </c>
      <c r="C8" s="24"/>
      <c r="D8" s="24"/>
      <c r="E8" s="24"/>
      <c r="F8" s="24"/>
    </row>
    <row r="9" spans="1:11" x14ac:dyDescent="0.25">
      <c r="A9" s="44">
        <v>300</v>
      </c>
      <c r="B9" s="43">
        <v>0.30980000000000002</v>
      </c>
      <c r="C9" s="24"/>
      <c r="D9" s="24"/>
      <c r="E9" s="24"/>
      <c r="F9" s="24"/>
    </row>
    <row r="10" spans="1:11" x14ac:dyDescent="0.25">
      <c r="A10" s="44">
        <v>400</v>
      </c>
      <c r="B10" s="43">
        <v>0.1993</v>
      </c>
      <c r="C10" s="24"/>
      <c r="D10" s="24"/>
      <c r="E10" s="24"/>
      <c r="F10" s="24"/>
    </row>
    <row r="11" spans="1:11" x14ac:dyDescent="0.25">
      <c r="A11" s="44">
        <v>500</v>
      </c>
      <c r="B11" s="43">
        <v>0.24440000000000001</v>
      </c>
      <c r="C11" s="24"/>
      <c r="D11" s="24"/>
      <c r="E11" s="24"/>
      <c r="F11" s="24"/>
    </row>
    <row r="12" spans="1:11" x14ac:dyDescent="0.25">
      <c r="A12" s="44" t="s">
        <v>67</v>
      </c>
      <c r="B12" s="43">
        <v>3.0700000000000002E-2</v>
      </c>
      <c r="C12" s="24"/>
      <c r="D12" s="24"/>
      <c r="E12" s="24"/>
      <c r="F12" s="24"/>
    </row>
    <row r="13" spans="1:11" x14ac:dyDescent="0.25">
      <c r="B13" s="43"/>
    </row>
    <row r="14" spans="1:11" x14ac:dyDescent="0.25">
      <c r="B14" s="43">
        <f>SUM(B8:B12)</f>
        <v>1</v>
      </c>
      <c r="C14" s="24"/>
      <c r="D14" s="24"/>
      <c r="E14" s="24"/>
      <c r="F14" s="24"/>
    </row>
    <row r="16" spans="1:11" x14ac:dyDescent="0.25">
      <c r="D16" s="24"/>
      <c r="E16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3696-174D-4333-87E8-544F99C67473}">
  <sheetPr>
    <pageSetUpPr fitToPage="1"/>
  </sheetPr>
  <dimension ref="A1:E43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18.85546875" customWidth="1"/>
    <col min="2" max="2" width="10.42578125" bestFit="1" customWidth="1"/>
    <col min="3" max="3" width="15.42578125" style="24" customWidth="1"/>
    <col min="4" max="5" width="9.140625" style="24"/>
  </cols>
  <sheetData>
    <row r="1" spans="1:3" x14ac:dyDescent="0.25">
      <c r="A1" t="s">
        <v>0</v>
      </c>
    </row>
    <row r="2" spans="1:3" x14ac:dyDescent="0.25">
      <c r="A2" t="s">
        <v>6</v>
      </c>
    </row>
    <row r="3" spans="1:3" x14ac:dyDescent="0.25">
      <c r="A3" t="s">
        <v>38</v>
      </c>
    </row>
    <row r="5" spans="1:3" x14ac:dyDescent="0.25">
      <c r="A5" s="25"/>
    </row>
    <row r="6" spans="1:3" ht="45.75" thickBot="1" x14ac:dyDescent="0.3">
      <c r="A6" s="26" t="s">
        <v>7</v>
      </c>
      <c r="B6" s="27" t="s">
        <v>8</v>
      </c>
      <c r="C6" s="28" t="s">
        <v>9</v>
      </c>
    </row>
    <row r="7" spans="1:3" x14ac:dyDescent="0.25">
      <c r="A7" s="29" t="s">
        <v>10</v>
      </c>
      <c r="B7">
        <v>0.10089099999999999</v>
      </c>
      <c r="C7" s="24" t="e">
        <f>ROUND('Reserve Analysis'!$S$8*B7,2)</f>
        <v>#REF!</v>
      </c>
    </row>
    <row r="8" spans="1:3" x14ac:dyDescent="0.25">
      <c r="A8" s="29" t="s">
        <v>11</v>
      </c>
      <c r="B8">
        <v>5.8278000000000003E-2</v>
      </c>
      <c r="C8" s="24" t="e">
        <f>ROUND('Reserve Analysis'!$S$8*B8,2)</f>
        <v>#REF!</v>
      </c>
    </row>
    <row r="9" spans="1:3" x14ac:dyDescent="0.25">
      <c r="A9" s="29" t="s">
        <v>12</v>
      </c>
      <c r="B9">
        <v>5.3025000000000003E-2</v>
      </c>
      <c r="C9" s="24" t="e">
        <f>ROUND('Reserve Analysis'!$S$8*B9,2)</f>
        <v>#REF!</v>
      </c>
    </row>
    <row r="10" spans="1:3" x14ac:dyDescent="0.25">
      <c r="A10" s="29" t="s">
        <v>13</v>
      </c>
      <c r="B10">
        <v>4.9349999999999998E-2</v>
      </c>
      <c r="C10" s="24" t="e">
        <f>ROUND('Reserve Analysis'!$S$8*B10,2)</f>
        <v>#REF!</v>
      </c>
    </row>
    <row r="11" spans="1:3" x14ac:dyDescent="0.25">
      <c r="A11" s="29" t="s">
        <v>14</v>
      </c>
      <c r="B11">
        <v>5.2817999999999997E-2</v>
      </c>
      <c r="C11" s="24" t="e">
        <f>ROUND('Reserve Analysis'!$S$8*B11,2)</f>
        <v>#REF!</v>
      </c>
    </row>
    <row r="12" spans="1:3" x14ac:dyDescent="0.25">
      <c r="A12" s="29" t="s">
        <v>15</v>
      </c>
      <c r="B12">
        <v>7.5889999999999999E-2</v>
      </c>
      <c r="C12" s="24" t="e">
        <f>ROUND('Reserve Analysis'!$S$8*B12,2)</f>
        <v>#REF!</v>
      </c>
    </row>
    <row r="13" spans="1:3" x14ac:dyDescent="0.25">
      <c r="A13" s="29" t="s">
        <v>16</v>
      </c>
      <c r="B13">
        <v>5.3025000000000003E-2</v>
      </c>
      <c r="C13" s="24" t="e">
        <f>ROUND('Reserve Analysis'!$S$8*B13,2)</f>
        <v>#REF!</v>
      </c>
    </row>
    <row r="14" spans="1:3" x14ac:dyDescent="0.25">
      <c r="A14" s="29" t="s">
        <v>17</v>
      </c>
      <c r="B14">
        <v>7.8849000000000002E-2</v>
      </c>
      <c r="C14" s="24" t="e">
        <f>ROUND('Reserve Analysis'!$S$8*B14,2)</f>
        <v>#REF!</v>
      </c>
    </row>
    <row r="15" spans="1:3" x14ac:dyDescent="0.25">
      <c r="A15" s="29" t="s">
        <v>18</v>
      </c>
      <c r="B15">
        <v>5.2817999999999997E-2</v>
      </c>
      <c r="C15" s="24" t="e">
        <f>ROUND('Reserve Analysis'!$S$8*B15,2)</f>
        <v>#REF!</v>
      </c>
    </row>
    <row r="16" spans="1:3" x14ac:dyDescent="0.25">
      <c r="A16" s="29" t="s">
        <v>19</v>
      </c>
      <c r="B16">
        <v>5.3941000000000003E-2</v>
      </c>
      <c r="C16" s="24" t="e">
        <f>ROUND('Reserve Analysis'!$S$8*B16,2)</f>
        <v>#REF!</v>
      </c>
    </row>
    <row r="17" spans="1:3" x14ac:dyDescent="0.25">
      <c r="A17" s="29" t="s">
        <v>20</v>
      </c>
      <c r="B17">
        <v>5.3025000000000003E-2</v>
      </c>
      <c r="C17" s="24" t="e">
        <f>ROUND('Reserve Analysis'!$S$8*B17,2)</f>
        <v>#REF!</v>
      </c>
    </row>
    <row r="18" spans="1:3" x14ac:dyDescent="0.25">
      <c r="A18" s="29" t="s">
        <v>21</v>
      </c>
      <c r="B18">
        <v>5.2817999999999997E-2</v>
      </c>
      <c r="C18" s="24" t="e">
        <f>ROUND('Reserve Analysis'!$S$8*B18,2)</f>
        <v>#REF!</v>
      </c>
    </row>
    <row r="19" spans="1:3" x14ac:dyDescent="0.25">
      <c r="A19" s="29" t="s">
        <v>22</v>
      </c>
      <c r="B19">
        <v>5.3941000000000003E-2</v>
      </c>
      <c r="C19" s="24" t="e">
        <f>ROUND('Reserve Analysis'!$S$8*B19,2)</f>
        <v>#REF!</v>
      </c>
    </row>
    <row r="20" spans="1:3" x14ac:dyDescent="0.25">
      <c r="A20" s="29" t="s">
        <v>23</v>
      </c>
      <c r="B20">
        <v>7.0069000000000006E-2</v>
      </c>
      <c r="C20" s="24" t="e">
        <f>ROUND('Reserve Analysis'!$S$8*B20,2)</f>
        <v>#REF!</v>
      </c>
    </row>
    <row r="21" spans="1:3" x14ac:dyDescent="0.25">
      <c r="A21" s="29" t="s">
        <v>24</v>
      </c>
      <c r="B21">
        <v>6.8539000000000003E-2</v>
      </c>
      <c r="C21" s="24" t="e">
        <f>ROUND('Reserve Analysis'!$S$8*B21,2)</f>
        <v>#REF!</v>
      </c>
    </row>
    <row r="22" spans="1:3" x14ac:dyDescent="0.25">
      <c r="A22" s="29" t="s">
        <v>25</v>
      </c>
      <c r="B22">
        <v>7.2723999999999997E-2</v>
      </c>
      <c r="C22" s="24" t="e">
        <f>ROUND('Reserve Analysis'!$S$8*B22,2)</f>
        <v>#REF!</v>
      </c>
    </row>
    <row r="23" spans="1:3" x14ac:dyDescent="0.25">
      <c r="A23" s="29" t="s">
        <v>3</v>
      </c>
      <c r="B23" s="30">
        <f>SUM(B7:B22)</f>
        <v>1.0000010000000001</v>
      </c>
      <c r="C23" s="30" t="e">
        <f>SUM(C7:C22)</f>
        <v>#REF!</v>
      </c>
    </row>
    <row r="24" spans="1:3" x14ac:dyDescent="0.25">
      <c r="A24" s="29"/>
      <c r="B24" s="31"/>
    </row>
    <row r="25" spans="1:3" x14ac:dyDescent="0.25">
      <c r="A25" s="29"/>
    </row>
    <row r="26" spans="1:3" x14ac:dyDescent="0.25">
      <c r="A26" s="29" t="s">
        <v>26</v>
      </c>
      <c r="B26">
        <v>7.8752000000000003E-2</v>
      </c>
      <c r="C26" s="24" t="e">
        <f>ROUND('Reserve Analysis'!$S$9*B26,2)</f>
        <v>#REF!</v>
      </c>
    </row>
    <row r="27" spans="1:3" x14ac:dyDescent="0.25">
      <c r="A27" s="29" t="s">
        <v>27</v>
      </c>
      <c r="B27">
        <v>0.12601899999999999</v>
      </c>
      <c r="C27" s="24" t="e">
        <f>ROUND('Reserve Analysis'!$S$9*B27,2)</f>
        <v>#REF!</v>
      </c>
    </row>
    <row r="28" spans="1:3" x14ac:dyDescent="0.25">
      <c r="A28" s="29" t="s">
        <v>28</v>
      </c>
      <c r="B28">
        <v>8.1691E-2</v>
      </c>
      <c r="C28" s="24" t="e">
        <f>ROUND('Reserve Analysis'!$S$9*B28,2)</f>
        <v>#REF!</v>
      </c>
    </row>
    <row r="29" spans="1:3" x14ac:dyDescent="0.25">
      <c r="A29" s="29" t="s">
        <v>29</v>
      </c>
      <c r="B29">
        <v>7.8752000000000003E-2</v>
      </c>
      <c r="C29" s="24" t="e">
        <f>ROUND('Reserve Analysis'!$S$9*B29,2)</f>
        <v>#REF!</v>
      </c>
    </row>
    <row r="30" spans="1:3" x14ac:dyDescent="0.25">
      <c r="A30" s="29" t="s">
        <v>30</v>
      </c>
      <c r="B30">
        <v>7.8752000000000003E-2</v>
      </c>
      <c r="C30" s="24" t="e">
        <f>ROUND('Reserve Analysis'!$S$9*B30,2)</f>
        <v>#REF!</v>
      </c>
    </row>
    <row r="31" spans="1:3" x14ac:dyDescent="0.25">
      <c r="A31" s="29" t="s">
        <v>31</v>
      </c>
      <c r="B31">
        <v>8.1691E-2</v>
      </c>
      <c r="C31" s="24" t="e">
        <f>ROUND('Reserve Analysis'!$S$9*B31,2)</f>
        <v>#REF!</v>
      </c>
    </row>
    <row r="32" spans="1:3" x14ac:dyDescent="0.25">
      <c r="A32" s="29" t="s">
        <v>32</v>
      </c>
      <c r="B32">
        <v>7.8752000000000003E-2</v>
      </c>
      <c r="C32" s="24" t="e">
        <f>ROUND('Reserve Analysis'!$S$9*B32,2)</f>
        <v>#REF!</v>
      </c>
    </row>
    <row r="33" spans="1:3" x14ac:dyDescent="0.25">
      <c r="A33" s="29" t="s">
        <v>33</v>
      </c>
      <c r="B33">
        <v>0.104767</v>
      </c>
      <c r="C33" s="24" t="e">
        <f>ROUND('Reserve Analysis'!$S$9*B33,2)</f>
        <v>#REF!</v>
      </c>
    </row>
    <row r="34" spans="1:3" x14ac:dyDescent="0.25">
      <c r="A34" s="29" t="s">
        <v>34</v>
      </c>
      <c r="B34">
        <v>0.107304</v>
      </c>
      <c r="C34" s="24" t="e">
        <f>ROUND('Reserve Analysis'!$S$9*B34,2)</f>
        <v>#REF!</v>
      </c>
    </row>
    <row r="35" spans="1:3" x14ac:dyDescent="0.25">
      <c r="A35" s="29" t="s">
        <v>35</v>
      </c>
      <c r="B35">
        <v>7.8752000000000003E-2</v>
      </c>
      <c r="C35" s="24" t="e">
        <f>ROUND('Reserve Analysis'!$S$9*B35,2)</f>
        <v>#REF!</v>
      </c>
    </row>
    <row r="36" spans="1:3" x14ac:dyDescent="0.25">
      <c r="A36" s="29" t="s">
        <v>36</v>
      </c>
      <c r="B36">
        <v>0.104767</v>
      </c>
      <c r="C36" s="24" t="e">
        <f>ROUND('Reserve Analysis'!$S$9*B36,2)</f>
        <v>#REF!</v>
      </c>
    </row>
    <row r="37" spans="1:3" x14ac:dyDescent="0.25">
      <c r="A37" s="29" t="s">
        <v>3</v>
      </c>
      <c r="B37" s="30">
        <f>SUM(B26:B36)</f>
        <v>0.99999900000000008</v>
      </c>
      <c r="C37" s="30" t="e">
        <f>SUM(C26:C36)</f>
        <v>#REF!</v>
      </c>
    </row>
    <row r="38" spans="1:3" x14ac:dyDescent="0.25">
      <c r="A38" s="29"/>
      <c r="B38" s="31"/>
    </row>
    <row r="39" spans="1:3" x14ac:dyDescent="0.25">
      <c r="A39" s="29"/>
    </row>
    <row r="40" spans="1:3" x14ac:dyDescent="0.25">
      <c r="A40" s="29"/>
    </row>
    <row r="41" spans="1:3" x14ac:dyDescent="0.25">
      <c r="A41" s="29"/>
    </row>
    <row r="42" spans="1:3" x14ac:dyDescent="0.25">
      <c r="A42" s="29" t="s">
        <v>37</v>
      </c>
      <c r="C42" s="24" t="e">
        <f>C23+C37</f>
        <v>#REF!</v>
      </c>
    </row>
    <row r="43" spans="1:3" x14ac:dyDescent="0.25">
      <c r="A43" s="29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Reserve Analysis</vt:lpstr>
      <vt:lpstr>Special Assement by Unit</vt:lpstr>
      <vt:lpstr>Design phase</vt:lpstr>
      <vt:lpstr>Building Percentages</vt:lpstr>
      <vt:lpstr>Waterproof Spec Assmt</vt:lpstr>
    </vt:vector>
  </TitlesOfParts>
  <Company>Tri-State G&amp;T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Payant, Scott</dc:creator>
  <cp:lastModifiedBy>Scott Payant</cp:lastModifiedBy>
  <cp:lastPrinted>2019-01-31T03:06:11Z</cp:lastPrinted>
  <dcterms:created xsi:type="dcterms:W3CDTF">2019-01-30T18:39:49Z</dcterms:created>
  <dcterms:modified xsi:type="dcterms:W3CDTF">2024-11-20T16:15:46Z</dcterms:modified>
</cp:coreProperties>
</file>